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xr:revisionPtr revIDLastSave="0" documentId="13_ncr:1_{AC1973EA-06CC-4D43-8A7A-A7150C5C38EC}" xr6:coauthVersionLast="47" xr6:coauthVersionMax="47" xr10:uidLastSave="{00000000-0000-0000-0000-000000000000}"/>
  <bookViews>
    <workbookView xWindow="-120" yWindow="-120" windowWidth="29040" windowHeight="15840" tabRatio="763" xr2:uid="{00000000-000D-0000-FFFF-FFFF00000000}"/>
  </bookViews>
  <sheets>
    <sheet name="KOPĀ" sheetId="18" r:id="rId1"/>
    <sheet name="Covid-19" sheetId="17" r:id="rId2"/>
    <sheet name="Energo atbalsts" sheetId="20" r:id="rId3"/>
    <sheet name="Atbalsts Ukrainai" sheetId="21" r:id="rId4"/>
    <sheet name="TOTAL" sheetId="16" r:id="rId5"/>
    <sheet name="C-19_ENG" sheetId="22" r:id="rId6"/>
    <sheet name="Energo_ENG" sheetId="23" r:id="rId7"/>
    <sheet name="UKR_ENG" sheetId="24" r:id="rId8"/>
    <sheet name="C-19 ar saņēmējiem" sheetId="19" state="hidden" r:id="rId9"/>
    <sheet name="C-19_izvērsts" sheetId="11" r:id="rId10"/>
    <sheet name="Support measures" sheetId="10" state="hidden" r:id="rId11"/>
  </sheets>
  <definedNames>
    <definedName name="_xlnm._FilterDatabase" localSheetId="9" hidden="1">'C-19_izvērsts'!$A$108:$BZ$500</definedName>
    <definedName name="_Hlk35704184" localSheetId="10">'Support measures'!#REF!</definedName>
    <definedName name="_xlnm.Print_Area" localSheetId="9">'C-19_izvērsts'!$A$1:$BW$509</definedName>
    <definedName name="_xlnm.Print_Titles" localSheetId="10">'Support measures'!$3:$5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21" l="1"/>
  <c r="E7" i="24" s="1"/>
  <c r="BU89" i="11"/>
  <c r="BT89" i="11"/>
  <c r="BS89" i="11"/>
  <c r="BR89" i="11"/>
  <c r="BO89" i="11"/>
  <c r="H44" i="23"/>
  <c r="H43" i="23"/>
  <c r="H42" i="23"/>
  <c r="H39" i="23"/>
  <c r="H18" i="23"/>
  <c r="H19" i="23"/>
  <c r="H20" i="23"/>
  <c r="H21" i="23"/>
  <c r="H22" i="23"/>
  <c r="H23" i="23"/>
  <c r="H24" i="23"/>
  <c r="H25" i="23"/>
  <c r="H26" i="23"/>
  <c r="H27" i="23"/>
  <c r="H28" i="23"/>
  <c r="H29" i="23"/>
  <c r="H30" i="23"/>
  <c r="H31" i="23"/>
  <c r="H17" i="23"/>
  <c r="H8" i="23"/>
  <c r="H6" i="23"/>
  <c r="G31" i="23"/>
  <c r="G30" i="23"/>
  <c r="G29" i="23"/>
  <c r="G27" i="23"/>
  <c r="G26" i="23"/>
  <c r="G23" i="23"/>
  <c r="G22" i="23"/>
  <c r="G20" i="23"/>
  <c r="G19" i="23"/>
  <c r="G18" i="23"/>
  <c r="G17" i="23"/>
  <c r="F41" i="23"/>
  <c r="F40" i="23"/>
  <c r="F37" i="23"/>
  <c r="F36" i="23"/>
  <c r="F35" i="23"/>
  <c r="F34" i="23"/>
  <c r="F31" i="23"/>
  <c r="F30" i="23"/>
  <c r="F29" i="23"/>
  <c r="F27" i="23"/>
  <c r="F26" i="23"/>
  <c r="F23" i="23"/>
  <c r="F22" i="23"/>
  <c r="F21" i="23"/>
  <c r="F20" i="23"/>
  <c r="F19" i="23"/>
  <c r="F18" i="23"/>
  <c r="F17" i="23"/>
  <c r="F11" i="23"/>
  <c r="F12" i="23"/>
  <c r="F13" i="23"/>
  <c r="F14" i="23"/>
  <c r="F15" i="23"/>
  <c r="G44" i="23"/>
  <c r="G43" i="23"/>
  <c r="G42" i="23"/>
  <c r="G39" i="23"/>
  <c r="G32" i="23"/>
  <c r="G8" i="23"/>
  <c r="G6" i="23"/>
  <c r="C10" i="24"/>
  <c r="D10" i="24"/>
  <c r="B7" i="24"/>
  <c r="C7" i="24"/>
  <c r="D7" i="24"/>
  <c r="B8" i="24"/>
  <c r="C8" i="24"/>
  <c r="D8" i="24"/>
  <c r="E8" i="24"/>
  <c r="C6" i="24"/>
  <c r="D6" i="24"/>
  <c r="E6" i="24"/>
  <c r="L4" i="16"/>
  <c r="J14" i="18"/>
  <c r="K14" i="18"/>
  <c r="L14" i="18"/>
  <c r="M14" i="18"/>
  <c r="N14" i="18"/>
  <c r="I14" i="18"/>
  <c r="K40" i="17"/>
  <c r="K39" i="17"/>
  <c r="K38" i="17"/>
  <c r="K37" i="17"/>
  <c r="K36" i="17"/>
  <c r="K35" i="17"/>
  <c r="K34" i="17"/>
  <c r="K33" i="17"/>
  <c r="K32" i="17"/>
  <c r="K31" i="17"/>
  <c r="K30" i="17"/>
  <c r="K29" i="17"/>
  <c r="K27" i="17"/>
  <c r="K26" i="17"/>
  <c r="K25" i="17"/>
  <c r="K24" i="17"/>
  <c r="K22" i="17"/>
  <c r="K21" i="17"/>
  <c r="K20" i="17"/>
  <c r="K19" i="17"/>
  <c r="K18" i="17"/>
  <c r="K17" i="17"/>
  <c r="K16" i="17"/>
  <c r="K15" i="17"/>
  <c r="K14" i="17"/>
  <c r="K12" i="17"/>
  <c r="J40" i="17"/>
  <c r="J39" i="17"/>
  <c r="J38" i="17"/>
  <c r="J37" i="17"/>
  <c r="J36" i="17"/>
  <c r="J35" i="17"/>
  <c r="J34" i="17"/>
  <c r="J33" i="17"/>
  <c r="J32" i="17"/>
  <c r="J31" i="17"/>
  <c r="J30" i="17"/>
  <c r="J29" i="17"/>
  <c r="J27" i="17"/>
  <c r="J26" i="17"/>
  <c r="J25" i="17"/>
  <c r="J24" i="17"/>
  <c r="J22" i="17"/>
  <c r="J21" i="17"/>
  <c r="J20" i="17"/>
  <c r="J19" i="17"/>
  <c r="J18" i="17"/>
  <c r="J17" i="17"/>
  <c r="J16" i="17"/>
  <c r="J15" i="17"/>
  <c r="J14" i="17"/>
  <c r="J12" i="17"/>
  <c r="I40" i="17"/>
  <c r="I39" i="17"/>
  <c r="I38" i="17"/>
  <c r="I37" i="17"/>
  <c r="I36" i="17"/>
  <c r="I35" i="17"/>
  <c r="I34" i="17"/>
  <c r="I33" i="17"/>
  <c r="I32" i="17"/>
  <c r="I31" i="17"/>
  <c r="I30" i="17"/>
  <c r="I29" i="17"/>
  <c r="I27" i="17"/>
  <c r="I26" i="17"/>
  <c r="I25" i="17"/>
  <c r="I24" i="17"/>
  <c r="I22" i="17"/>
  <c r="I21" i="17"/>
  <c r="I20" i="17"/>
  <c r="I19" i="17"/>
  <c r="I18" i="17"/>
  <c r="I17" i="17"/>
  <c r="I16" i="17"/>
  <c r="I15" i="17"/>
  <c r="I14" i="17"/>
  <c r="I12" i="17"/>
  <c r="H40" i="17"/>
  <c r="H39" i="17"/>
  <c r="H38" i="17"/>
  <c r="H37" i="17"/>
  <c r="H36" i="17"/>
  <c r="H35" i="17"/>
  <c r="H34" i="17"/>
  <c r="H33" i="17"/>
  <c r="H32" i="17"/>
  <c r="H31" i="17"/>
  <c r="H30" i="17"/>
  <c r="H29" i="17"/>
  <c r="H27" i="17"/>
  <c r="H26" i="17"/>
  <c r="H25" i="17"/>
  <c r="H24" i="17"/>
  <c r="H22" i="17"/>
  <c r="H21" i="17"/>
  <c r="H20" i="17"/>
  <c r="H19" i="17"/>
  <c r="H18" i="17"/>
  <c r="H17" i="17"/>
  <c r="H16" i="17"/>
  <c r="H15" i="17"/>
  <c r="H14" i="17"/>
  <c r="H12" i="17"/>
  <c r="G40" i="17"/>
  <c r="G39" i="17"/>
  <c r="G38" i="17"/>
  <c r="G37" i="17"/>
  <c r="G36" i="17"/>
  <c r="G35" i="17"/>
  <c r="G34" i="17"/>
  <c r="G33" i="17"/>
  <c r="G32" i="17"/>
  <c r="G31" i="17"/>
  <c r="G30" i="17"/>
  <c r="G29" i="17"/>
  <c r="G27" i="17"/>
  <c r="G26" i="17"/>
  <c r="G25" i="17"/>
  <c r="G24" i="17"/>
  <c r="G22" i="17"/>
  <c r="G21" i="17"/>
  <c r="G20" i="17"/>
  <c r="G19" i="17"/>
  <c r="G18" i="17"/>
  <c r="G17" i="17"/>
  <c r="G16" i="17"/>
  <c r="G15" i="17"/>
  <c r="G14" i="17"/>
  <c r="G12" i="17"/>
  <c r="K9" i="17"/>
  <c r="J9" i="17"/>
  <c r="I9" i="17"/>
  <c r="H9" i="17"/>
  <c r="G9" i="17"/>
  <c r="F9" i="17"/>
  <c r="F40" i="17"/>
  <c r="F39" i="17"/>
  <c r="F38" i="17"/>
  <c r="F37" i="17"/>
  <c r="F36" i="17"/>
  <c r="F35" i="17"/>
  <c r="F34" i="17"/>
  <c r="F33" i="17"/>
  <c r="F32" i="17"/>
  <c r="F31" i="17"/>
  <c r="F30" i="17"/>
  <c r="F29" i="17"/>
  <c r="F27" i="17"/>
  <c r="F26" i="17"/>
  <c r="F25" i="17"/>
  <c r="F24" i="17"/>
  <c r="F22" i="17"/>
  <c r="F21" i="17"/>
  <c r="F20" i="17"/>
  <c r="F19" i="17"/>
  <c r="F18" i="17"/>
  <c r="F17" i="17"/>
  <c r="F16" i="17"/>
  <c r="F15" i="17"/>
  <c r="F14" i="17"/>
  <c r="F12" i="17"/>
  <c r="H8" i="20"/>
  <c r="H25" i="20"/>
  <c r="H24" i="20"/>
  <c r="H17" i="20"/>
  <c r="H21" i="20"/>
  <c r="H20" i="20"/>
  <c r="H22" i="20"/>
  <c r="H23" i="20"/>
  <c r="BN79" i="11" l="1"/>
  <c r="AY245" i="11"/>
  <c r="BW245" i="11"/>
  <c r="AX181" i="11"/>
  <c r="AX245" i="11"/>
  <c r="AY112" i="11"/>
  <c r="AY113" i="11"/>
  <c r="AY125" i="11"/>
  <c r="AY126" i="11"/>
  <c r="AY129" i="11"/>
  <c r="AY130" i="11"/>
  <c r="AY131" i="11"/>
  <c r="AY134" i="11"/>
  <c r="AY135" i="11"/>
  <c r="AY136" i="11"/>
  <c r="AY138" i="11"/>
  <c r="AY139" i="11"/>
  <c r="AY140" i="11"/>
  <c r="AY141" i="11"/>
  <c r="AY142" i="11"/>
  <c r="AY143" i="11"/>
  <c r="AY144" i="11"/>
  <c r="AY145" i="11"/>
  <c r="AY146" i="11"/>
  <c r="AY147" i="11"/>
  <c r="AY148" i="11"/>
  <c r="AY149" i="11"/>
  <c r="AY150" i="11"/>
  <c r="AY151" i="11"/>
  <c r="AY152" i="11"/>
  <c r="AY154" i="11"/>
  <c r="AY155" i="11"/>
  <c r="AY156" i="11"/>
  <c r="AY157" i="11"/>
  <c r="AY159" i="11"/>
  <c r="AY160" i="11"/>
  <c r="AY161" i="11"/>
  <c r="AY162" i="11"/>
  <c r="AY163" i="11"/>
  <c r="AY164" i="11"/>
  <c r="AY165" i="11"/>
  <c r="AY166" i="11"/>
  <c r="AY167" i="11"/>
  <c r="AY168" i="11"/>
  <c r="AY169" i="11"/>
  <c r="AY170" i="11"/>
  <c r="AY171" i="11"/>
  <c r="AY172" i="11"/>
  <c r="AY173" i="11"/>
  <c r="AY174" i="11"/>
  <c r="AY175" i="11"/>
  <c r="AY176" i="11"/>
  <c r="AY177" i="11"/>
  <c r="AY178" i="11"/>
  <c r="AY179" i="11"/>
  <c r="AY180" i="11"/>
  <c r="AY182" i="11"/>
  <c r="AY183" i="11"/>
  <c r="AY184" i="11"/>
  <c r="AY185" i="11"/>
  <c r="AY186" i="11"/>
  <c r="AY187" i="11"/>
  <c r="AY188" i="11"/>
  <c r="AY189" i="11"/>
  <c r="AY190" i="11"/>
  <c r="AY191" i="11"/>
  <c r="AY192" i="11"/>
  <c r="AY193" i="11"/>
  <c r="AY194" i="11"/>
  <c r="AY195" i="11"/>
  <c r="AY196" i="11"/>
  <c r="AY197" i="11"/>
  <c r="AY198" i="11"/>
  <c r="AY200" i="11"/>
  <c r="AY201" i="11"/>
  <c r="AY202" i="11"/>
  <c r="AY203" i="11"/>
  <c r="AY204" i="11"/>
  <c r="AY205" i="11"/>
  <c r="AY206" i="11"/>
  <c r="AY208" i="11"/>
  <c r="AY209" i="11"/>
  <c r="AY210" i="11"/>
  <c r="AY211" i="11"/>
  <c r="AY212" i="11"/>
  <c r="AY213" i="11"/>
  <c r="AY214" i="11"/>
  <c r="AY215" i="11"/>
  <c r="AY216" i="11"/>
  <c r="AY217" i="11"/>
  <c r="AY218" i="11"/>
  <c r="AY219" i="11"/>
  <c r="AY220" i="11"/>
  <c r="AY221" i="11"/>
  <c r="AY222" i="11"/>
  <c r="AY223" i="11"/>
  <c r="AY224" i="11"/>
  <c r="AY225" i="11"/>
  <c r="AY226" i="11"/>
  <c r="AY227" i="11"/>
  <c r="AY228" i="11"/>
  <c r="AY229" i="11"/>
  <c r="AY230" i="11"/>
  <c r="AY231" i="11"/>
  <c r="AY232" i="11"/>
  <c r="AY233" i="11"/>
  <c r="AY234" i="11"/>
  <c r="AY235" i="11"/>
  <c r="AY236" i="11"/>
  <c r="AY237" i="11"/>
  <c r="AY238" i="11"/>
  <c r="AY239" i="11"/>
  <c r="AY240" i="11"/>
  <c r="AY241" i="11"/>
  <c r="AY242" i="11"/>
  <c r="AY243" i="11"/>
  <c r="AY244" i="11"/>
  <c r="AY246" i="11"/>
  <c r="AY247" i="11"/>
  <c r="AY248" i="11"/>
  <c r="AY249" i="11"/>
  <c r="AY250" i="11"/>
  <c r="AY251" i="11"/>
  <c r="AY252" i="11"/>
  <c r="AY253" i="11"/>
  <c r="AY254" i="11"/>
  <c r="AY255" i="11"/>
  <c r="AY256" i="11"/>
  <c r="AY257" i="11"/>
  <c r="AY258" i="11"/>
  <c r="AY259" i="11"/>
  <c r="AY260" i="11"/>
  <c r="AY261" i="11"/>
  <c r="AY262" i="11"/>
  <c r="AX370" i="11"/>
  <c r="AX371" i="11"/>
  <c r="AX488" i="11"/>
  <c r="AX96" i="11"/>
  <c r="AX93" i="11"/>
  <c r="AX94" i="11"/>
  <c r="AX490" i="11"/>
  <c r="AX489" i="11"/>
  <c r="AX487" i="11"/>
  <c r="AX486" i="11"/>
  <c r="AX485" i="11"/>
  <c r="AX484" i="11"/>
  <c r="AX483" i="11"/>
  <c r="AX482" i="11"/>
  <c r="AX481" i="11"/>
  <c r="AX480" i="11"/>
  <c r="AX479" i="11"/>
  <c r="AX478" i="11"/>
  <c r="AX477" i="11"/>
  <c r="AX476" i="11"/>
  <c r="AX475" i="11"/>
  <c r="AX474" i="11"/>
  <c r="AX473" i="11"/>
  <c r="AX472" i="11"/>
  <c r="AX471" i="11"/>
  <c r="AX470" i="11"/>
  <c r="AX469" i="11"/>
  <c r="AX468" i="11"/>
  <c r="AX467" i="11"/>
  <c r="AX466" i="11"/>
  <c r="AX465" i="11"/>
  <c r="AX464" i="11"/>
  <c r="AX463" i="11"/>
  <c r="AX462" i="11"/>
  <c r="AX461" i="11"/>
  <c r="AX460" i="11"/>
  <c r="AX459" i="11"/>
  <c r="AX458" i="11"/>
  <c r="AX457" i="11"/>
  <c r="AX456" i="11"/>
  <c r="AX455" i="11"/>
  <c r="AX454" i="11"/>
  <c r="AX453" i="11"/>
  <c r="AX452" i="11"/>
  <c r="AX451" i="11"/>
  <c r="AX450" i="11"/>
  <c r="AX449" i="11"/>
  <c r="AX448" i="11"/>
  <c r="AX447" i="11"/>
  <c r="AX446" i="11"/>
  <c r="AX445" i="11"/>
  <c r="AX444" i="11"/>
  <c r="AX443" i="11"/>
  <c r="AX442" i="11"/>
  <c r="AX441" i="11"/>
  <c r="AX440" i="11"/>
  <c r="AX439" i="11"/>
  <c r="AX438" i="11"/>
  <c r="AX437" i="11"/>
  <c r="AX436" i="11"/>
  <c r="AX435" i="11"/>
  <c r="AX434" i="11"/>
  <c r="AX433" i="11"/>
  <c r="AX432" i="11"/>
  <c r="AX431" i="11"/>
  <c r="AX430" i="11"/>
  <c r="AX429" i="11"/>
  <c r="AX428" i="11"/>
  <c r="AX427" i="11"/>
  <c r="AX426" i="11"/>
  <c r="AX425" i="11"/>
  <c r="AX424" i="11"/>
  <c r="AX423" i="11"/>
  <c r="AX422" i="11"/>
  <c r="AX421" i="11"/>
  <c r="AX420" i="11"/>
  <c r="AX419" i="11"/>
  <c r="AX418" i="11"/>
  <c r="AX417" i="11"/>
  <c r="AX416" i="11"/>
  <c r="AX415" i="11"/>
  <c r="AX414" i="11"/>
  <c r="AX413" i="11"/>
  <c r="AX412" i="11"/>
  <c r="AX411" i="11"/>
  <c r="AX410" i="11"/>
  <c r="AX409" i="11"/>
  <c r="AX408" i="11"/>
  <c r="AX407" i="11"/>
  <c r="AX406" i="11"/>
  <c r="AX405" i="11"/>
  <c r="AX403" i="11"/>
  <c r="AX402" i="11"/>
  <c r="AX401" i="11"/>
  <c r="AX400" i="11"/>
  <c r="AX399" i="11"/>
  <c r="AX398" i="11"/>
  <c r="AX397" i="11"/>
  <c r="AX396" i="11"/>
  <c r="AX395" i="11"/>
  <c r="AX394" i="11"/>
  <c r="AX391" i="11"/>
  <c r="AX389" i="11"/>
  <c r="AX388" i="11"/>
  <c r="AX387" i="11"/>
  <c r="AX385" i="11"/>
  <c r="AX384" i="11"/>
  <c r="AX383" i="11"/>
  <c r="AX382" i="11"/>
  <c r="AX381" i="11"/>
  <c r="AX380" i="11"/>
  <c r="AX379" i="11"/>
  <c r="AX378" i="11"/>
  <c r="AX377" i="11"/>
  <c r="AX376" i="11"/>
  <c r="AX375" i="11"/>
  <c r="AX374" i="11"/>
  <c r="AX373" i="11"/>
  <c r="AX372" i="11"/>
  <c r="AX369" i="11"/>
  <c r="AX368" i="11"/>
  <c r="AX367" i="11"/>
  <c r="AX366" i="11"/>
  <c r="AX365" i="11"/>
  <c r="AX364" i="11"/>
  <c r="AX363" i="11"/>
  <c r="AX362" i="11"/>
  <c r="AX361" i="11"/>
  <c r="AX360" i="11"/>
  <c r="AX359" i="11"/>
  <c r="AX358" i="11"/>
  <c r="AX357" i="11"/>
  <c r="AX356" i="11"/>
  <c r="AX355" i="11"/>
  <c r="AX354" i="11"/>
  <c r="AX353" i="11"/>
  <c r="AX352" i="11"/>
  <c r="AX350" i="11"/>
  <c r="AX349" i="11"/>
  <c r="AX348" i="11"/>
  <c r="AX347" i="11"/>
  <c r="AX345" i="11"/>
  <c r="AX344" i="11"/>
  <c r="AX343" i="11"/>
  <c r="AX342" i="11"/>
  <c r="AX341" i="11"/>
  <c r="AX340" i="11"/>
  <c r="AX339" i="11"/>
  <c r="AX338" i="11"/>
  <c r="AX337" i="11"/>
  <c r="AX336" i="11"/>
  <c r="AX335" i="11"/>
  <c r="AX334" i="11"/>
  <c r="AX333" i="11"/>
  <c r="AX332" i="11"/>
  <c r="AX331" i="11"/>
  <c r="AX330" i="11"/>
  <c r="AX329" i="11"/>
  <c r="AX328" i="11"/>
  <c r="AX327" i="11"/>
  <c r="AX326" i="11"/>
  <c r="AX325" i="11"/>
  <c r="AX324" i="11"/>
  <c r="AX323" i="11"/>
  <c r="AX322" i="11"/>
  <c r="AX321" i="11"/>
  <c r="AX320" i="11"/>
  <c r="AX319" i="11"/>
  <c r="AX318" i="11"/>
  <c r="AX317" i="11"/>
  <c r="AX315" i="11"/>
  <c r="AX314" i="11"/>
  <c r="AX313" i="11"/>
  <c r="AX312" i="11"/>
  <c r="AX311" i="11"/>
  <c r="AX310" i="11"/>
  <c r="AX309" i="11"/>
  <c r="AX307" i="11"/>
  <c r="AX306" i="11"/>
  <c r="AX305" i="11"/>
  <c r="AX304" i="11"/>
  <c r="AX303" i="11"/>
  <c r="AX302" i="11"/>
  <c r="AX301" i="11"/>
  <c r="AX300" i="11"/>
  <c r="AX299" i="11"/>
  <c r="AX298" i="11"/>
  <c r="AX297" i="11"/>
  <c r="AX296" i="11"/>
  <c r="AX295" i="11"/>
  <c r="AX294" i="11"/>
  <c r="AX293" i="11"/>
  <c r="AX292" i="11"/>
  <c r="AX291" i="11"/>
  <c r="AX290" i="11"/>
  <c r="AX289" i="11"/>
  <c r="AX288" i="11"/>
  <c r="AX287" i="11"/>
  <c r="AX286" i="11"/>
  <c r="AX285" i="11"/>
  <c r="AX284" i="11"/>
  <c r="AX283" i="11"/>
  <c r="AX282" i="11"/>
  <c r="AX280" i="11"/>
  <c r="AX279" i="11"/>
  <c r="AX278" i="11"/>
  <c r="AX277" i="11"/>
  <c r="AX276" i="11"/>
  <c r="AX275" i="11"/>
  <c r="AX274" i="11"/>
  <c r="AX273" i="11"/>
  <c r="AX272" i="11"/>
  <c r="AX271" i="11"/>
  <c r="AX270" i="11"/>
  <c r="AX269" i="11"/>
  <c r="AX268" i="11"/>
  <c r="AX267" i="11"/>
  <c r="AX266" i="11"/>
  <c r="AX265" i="11"/>
  <c r="AX264" i="11"/>
  <c r="AX262" i="11"/>
  <c r="AX261" i="11"/>
  <c r="AX260" i="11"/>
  <c r="AX259" i="11"/>
  <c r="AX258" i="11"/>
  <c r="AX257" i="11"/>
  <c r="AX256" i="11"/>
  <c r="AX255" i="11"/>
  <c r="AX254" i="11"/>
  <c r="AX253" i="11"/>
  <c r="AX252" i="11"/>
  <c r="AX251" i="11"/>
  <c r="AX250" i="11"/>
  <c r="AX249" i="11"/>
  <c r="AX248" i="11"/>
  <c r="AX247" i="11"/>
  <c r="AX246" i="11"/>
  <c r="AX244" i="11"/>
  <c r="AX243" i="11"/>
  <c r="AX242" i="11"/>
  <c r="AX241" i="11"/>
  <c r="AX240" i="11"/>
  <c r="AX239" i="11"/>
  <c r="AX238" i="11"/>
  <c r="AX237" i="11"/>
  <c r="AX236" i="11"/>
  <c r="AX235" i="11"/>
  <c r="AX234" i="11"/>
  <c r="AX233" i="11"/>
  <c r="AX232" i="11"/>
  <c r="AX231" i="11"/>
  <c r="AX230" i="11"/>
  <c r="AX229" i="11"/>
  <c r="AX228" i="11"/>
  <c r="AX227" i="11"/>
  <c r="AX226" i="11"/>
  <c r="AX225" i="11"/>
  <c r="AX224" i="11"/>
  <c r="AX223" i="11"/>
  <c r="AX222" i="11"/>
  <c r="AX221" i="11"/>
  <c r="AX220" i="11"/>
  <c r="AX219" i="11"/>
  <c r="AX218" i="11"/>
  <c r="AX217" i="11"/>
  <c r="AX216" i="11"/>
  <c r="AX215" i="11"/>
  <c r="AX214" i="11"/>
  <c r="AX213" i="11"/>
  <c r="AX212" i="11"/>
  <c r="AX211" i="11"/>
  <c r="AX210" i="11"/>
  <c r="AX209" i="11"/>
  <c r="AX208" i="11"/>
  <c r="AX206" i="11"/>
  <c r="AX205" i="11"/>
  <c r="AX204" i="11"/>
  <c r="AX203" i="11"/>
  <c r="AX202" i="11"/>
  <c r="AX201" i="11"/>
  <c r="AX200" i="11"/>
  <c r="AX198" i="11"/>
  <c r="AX197" i="11"/>
  <c r="AX196" i="11"/>
  <c r="AX195" i="11"/>
  <c r="AX194" i="11"/>
  <c r="AX193" i="11"/>
  <c r="AX192" i="11"/>
  <c r="AX191" i="11"/>
  <c r="AX190" i="11"/>
  <c r="AX189" i="11"/>
  <c r="AX188" i="11"/>
  <c r="AX187" i="11"/>
  <c r="AX186" i="11"/>
  <c r="AX185" i="11"/>
  <c r="AX184" i="11"/>
  <c r="AX183" i="11"/>
  <c r="AX182" i="11"/>
  <c r="AX180" i="11"/>
  <c r="AX179" i="11"/>
  <c r="AX178" i="11"/>
  <c r="AX177" i="11"/>
  <c r="AX176" i="11"/>
  <c r="AX175" i="11"/>
  <c r="AX174" i="11"/>
  <c r="AX173" i="11"/>
  <c r="AX172" i="11"/>
  <c r="AX171" i="11"/>
  <c r="AX170" i="11"/>
  <c r="AX169" i="11"/>
  <c r="AX168" i="11"/>
  <c r="AX167" i="11"/>
  <c r="AX166" i="11"/>
  <c r="AX165" i="11"/>
  <c r="AX164" i="11"/>
  <c r="AX163" i="11"/>
  <c r="AX162" i="11"/>
  <c r="AX161" i="11"/>
  <c r="AX160" i="11"/>
  <c r="AX159" i="11"/>
  <c r="AX157" i="11"/>
  <c r="AX156" i="11"/>
  <c r="AX155" i="11"/>
  <c r="AX154" i="11"/>
  <c r="AX152" i="11"/>
  <c r="AX151" i="11"/>
  <c r="AX150" i="11"/>
  <c r="AX149" i="11"/>
  <c r="AX148" i="11"/>
  <c r="AX147" i="11"/>
  <c r="AX146" i="11"/>
  <c r="AX145" i="11"/>
  <c r="AX144" i="11"/>
  <c r="AX143" i="11"/>
  <c r="AX142" i="11"/>
  <c r="AX141" i="11"/>
  <c r="AX140" i="11"/>
  <c r="AX139" i="11"/>
  <c r="AX138" i="11"/>
  <c r="AX136" i="11"/>
  <c r="AX135" i="11"/>
  <c r="AX134" i="11"/>
  <c r="AX131" i="11"/>
  <c r="AX130" i="11"/>
  <c r="AX129" i="11"/>
  <c r="AX126" i="11"/>
  <c r="AX125" i="11"/>
  <c r="AX113" i="11"/>
  <c r="AX112" i="11"/>
  <c r="AX106" i="11"/>
  <c r="AX97" i="11"/>
  <c r="AX76" i="11"/>
  <c r="AX75" i="11"/>
  <c r="AX73" i="11"/>
  <c r="AX72" i="11"/>
  <c r="AX71" i="11"/>
  <c r="AX70" i="11"/>
  <c r="AX69" i="11"/>
  <c r="AX68" i="11"/>
  <c r="AX67" i="11"/>
  <c r="AX64" i="11"/>
  <c r="AX63" i="11"/>
  <c r="AX62" i="11"/>
  <c r="AX60" i="11"/>
  <c r="AX57" i="11"/>
  <c r="AX55" i="11"/>
  <c r="AX53" i="11"/>
  <c r="AX51" i="11"/>
  <c r="AX49" i="11"/>
  <c r="AX48" i="11"/>
  <c r="AX46" i="11"/>
  <c r="AX44" i="11"/>
  <c r="AX42" i="11"/>
  <c r="AX41" i="11"/>
  <c r="AX40" i="11"/>
  <c r="AX39" i="11"/>
  <c r="AX37" i="11"/>
  <c r="AM500" i="11"/>
  <c r="AM499" i="11"/>
  <c r="AM498" i="11"/>
  <c r="AM496" i="11"/>
  <c r="AM495" i="11"/>
  <c r="AM493" i="11"/>
  <c r="AM490" i="11"/>
  <c r="AM489" i="11"/>
  <c r="AM488" i="11"/>
  <c r="AM487" i="11"/>
  <c r="AM486" i="11"/>
  <c r="AM485" i="11"/>
  <c r="AM484" i="11"/>
  <c r="AM483" i="11"/>
  <c r="AM482" i="11"/>
  <c r="AM481" i="11"/>
  <c r="AM480" i="11"/>
  <c r="AM479" i="11"/>
  <c r="AM478" i="11"/>
  <c r="AM477" i="11"/>
  <c r="AM476" i="11"/>
  <c r="AM475" i="11"/>
  <c r="AM474" i="11"/>
  <c r="AM473" i="11"/>
  <c r="AM472" i="11"/>
  <c r="AM471" i="11"/>
  <c r="AM470" i="11"/>
  <c r="AM469" i="11"/>
  <c r="AM468" i="11"/>
  <c r="AM467" i="11"/>
  <c r="AM466" i="11"/>
  <c r="AM465" i="11"/>
  <c r="AM464" i="11"/>
  <c r="AM463" i="11"/>
  <c r="AM462" i="11"/>
  <c r="AM461" i="11"/>
  <c r="AM460" i="11"/>
  <c r="AM459" i="11"/>
  <c r="AM458" i="11"/>
  <c r="AM457" i="11"/>
  <c r="AM456" i="11"/>
  <c r="AM455" i="11"/>
  <c r="AM454" i="11"/>
  <c r="AM453" i="11"/>
  <c r="AM452" i="11"/>
  <c r="AM451" i="11"/>
  <c r="AM450" i="11"/>
  <c r="AM449" i="11"/>
  <c r="AM448" i="11"/>
  <c r="AM447" i="11"/>
  <c r="AM446" i="11"/>
  <c r="AM445" i="11"/>
  <c r="AM444" i="11"/>
  <c r="AM443" i="11"/>
  <c r="AM442" i="11"/>
  <c r="AM441" i="11"/>
  <c r="AM440" i="11"/>
  <c r="AM439" i="11"/>
  <c r="AM438" i="11"/>
  <c r="AM437" i="11"/>
  <c r="AM436" i="11"/>
  <c r="AM435" i="11"/>
  <c r="AM434" i="11"/>
  <c r="AM433" i="11"/>
  <c r="AM432" i="11"/>
  <c r="AM431" i="11"/>
  <c r="AM430" i="11"/>
  <c r="AM429" i="11"/>
  <c r="AM428" i="11"/>
  <c r="AM427" i="11"/>
  <c r="AM426" i="11"/>
  <c r="AM425" i="11"/>
  <c r="AM424" i="11"/>
  <c r="AM423" i="11"/>
  <c r="AM422" i="11"/>
  <c r="AM421" i="11"/>
  <c r="AM420" i="11"/>
  <c r="AM419" i="11"/>
  <c r="AM418" i="11"/>
  <c r="AM417" i="11"/>
  <c r="AM416" i="11"/>
  <c r="AM415" i="11"/>
  <c r="AM414" i="11"/>
  <c r="AM413" i="11"/>
  <c r="AM412" i="11"/>
  <c r="AM411" i="11"/>
  <c r="AM410" i="11"/>
  <c r="AM409" i="11"/>
  <c r="AM408" i="11"/>
  <c r="AM407" i="11"/>
  <c r="AM406" i="11"/>
  <c r="AM405" i="11"/>
  <c r="AM404" i="11"/>
  <c r="AM403" i="11"/>
  <c r="AM402" i="11"/>
  <c r="AM401" i="11"/>
  <c r="AM400" i="11"/>
  <c r="AM399" i="11"/>
  <c r="AM398" i="11"/>
  <c r="AM397" i="11"/>
  <c r="AM396" i="11"/>
  <c r="AM395" i="11"/>
  <c r="AM394" i="11"/>
  <c r="AM393" i="11"/>
  <c r="AM392" i="11"/>
  <c r="AM391" i="11"/>
  <c r="AM389" i="11"/>
  <c r="AM388" i="11"/>
  <c r="AM387" i="11"/>
  <c r="AM385" i="11"/>
  <c r="AM384" i="11"/>
  <c r="AM383" i="11"/>
  <c r="AM382" i="11"/>
  <c r="AM381" i="11"/>
  <c r="AM380" i="11"/>
  <c r="AM379" i="11"/>
  <c r="AM378" i="11"/>
  <c r="AM377" i="11"/>
  <c r="AM376" i="11"/>
  <c r="AM375" i="11"/>
  <c r="AM374" i="11"/>
  <c r="AM373" i="11"/>
  <c r="AM372" i="11"/>
  <c r="AM371" i="11"/>
  <c r="AM370" i="11"/>
  <c r="AM369" i="11"/>
  <c r="AM368" i="11"/>
  <c r="AM367" i="11"/>
  <c r="AM366" i="11"/>
  <c r="AM365" i="11"/>
  <c r="AM364" i="11"/>
  <c r="AM363" i="11"/>
  <c r="AM362" i="11"/>
  <c r="AM361" i="11"/>
  <c r="AM360" i="11"/>
  <c r="AM359" i="11"/>
  <c r="AM358" i="11"/>
  <c r="AM357" i="11"/>
  <c r="AM356" i="11"/>
  <c r="AM355" i="11"/>
  <c r="AM354" i="11"/>
  <c r="AM353" i="11"/>
  <c r="AM352" i="11"/>
  <c r="AM350" i="11"/>
  <c r="AM349" i="11"/>
  <c r="AM348" i="11"/>
  <c r="AM347" i="11"/>
  <c r="AM345" i="11"/>
  <c r="AM344" i="11"/>
  <c r="AM343" i="11"/>
  <c r="AM342" i="11"/>
  <c r="AM341" i="11"/>
  <c r="AM340" i="11"/>
  <c r="AM339" i="11"/>
  <c r="AM338" i="11"/>
  <c r="AM337" i="11"/>
  <c r="AM336" i="11"/>
  <c r="AM335" i="11"/>
  <c r="AM334" i="11"/>
  <c r="AM333" i="11"/>
  <c r="AM332" i="11"/>
  <c r="AM331" i="11"/>
  <c r="AM330" i="11"/>
  <c r="AM329" i="11"/>
  <c r="AM328" i="11"/>
  <c r="AM327" i="11"/>
  <c r="AM326" i="11"/>
  <c r="AM325" i="11"/>
  <c r="AM324" i="11"/>
  <c r="AM323" i="11"/>
  <c r="AM322" i="11"/>
  <c r="AM321" i="11"/>
  <c r="AM320" i="11"/>
  <c r="AM319" i="11"/>
  <c r="AM318" i="11"/>
  <c r="AM317" i="11"/>
  <c r="AM315" i="11"/>
  <c r="AM314" i="11"/>
  <c r="AM313" i="11"/>
  <c r="AM312" i="11"/>
  <c r="AM311" i="11"/>
  <c r="AM310" i="11"/>
  <c r="AM309" i="11"/>
  <c r="AM308" i="11"/>
  <c r="AM307" i="11"/>
  <c r="AM306" i="11"/>
  <c r="AM305" i="11"/>
  <c r="AM304" i="11"/>
  <c r="AM303" i="11"/>
  <c r="AM302" i="11"/>
  <c r="AM301" i="11"/>
  <c r="AM300" i="11"/>
  <c r="AM299" i="11"/>
  <c r="AM298" i="11"/>
  <c r="AM297" i="11"/>
  <c r="AM296" i="11"/>
  <c r="AM295" i="11"/>
  <c r="AM294" i="11"/>
  <c r="AM293" i="11"/>
  <c r="AM292" i="11"/>
  <c r="AM291" i="11"/>
  <c r="AM290" i="11"/>
  <c r="AM289" i="11"/>
  <c r="AM288" i="11"/>
  <c r="AM287" i="11"/>
  <c r="AM286" i="11"/>
  <c r="AM285" i="11"/>
  <c r="AM284" i="11"/>
  <c r="AM283" i="11"/>
  <c r="AM282" i="11"/>
  <c r="AM280" i="11"/>
  <c r="AM279" i="11"/>
  <c r="AM278" i="11"/>
  <c r="AM277" i="11"/>
  <c r="AM276" i="11"/>
  <c r="AM275" i="11"/>
  <c r="AM274" i="11"/>
  <c r="AM273" i="11"/>
  <c r="AM272" i="11"/>
  <c r="AM271" i="11"/>
  <c r="AM270" i="11"/>
  <c r="AM269" i="11"/>
  <c r="AM268" i="11"/>
  <c r="AM267" i="11"/>
  <c r="AM266" i="11"/>
  <c r="AM265" i="11"/>
  <c r="AM264" i="11"/>
  <c r="AM262" i="11"/>
  <c r="AM261" i="11"/>
  <c r="AM260" i="11"/>
  <c r="AM259" i="11"/>
  <c r="AM258" i="11"/>
  <c r="AM257" i="11"/>
  <c r="AM256" i="11"/>
  <c r="AM255" i="11"/>
  <c r="AM254" i="11"/>
  <c r="AM253" i="11"/>
  <c r="AM252" i="11"/>
  <c r="AM251" i="11"/>
  <c r="AM250" i="11"/>
  <c r="AM249" i="11"/>
  <c r="AM248" i="11"/>
  <c r="AM247" i="11"/>
  <c r="AM246" i="11"/>
  <c r="AM245" i="11"/>
  <c r="AM244" i="11"/>
  <c r="AM243" i="11"/>
  <c r="AM242" i="11"/>
  <c r="AM241" i="11"/>
  <c r="AM240" i="11"/>
  <c r="AM239" i="11"/>
  <c r="AM238" i="11"/>
  <c r="AM237" i="11"/>
  <c r="AM236" i="11"/>
  <c r="AM235" i="11"/>
  <c r="AM234" i="11"/>
  <c r="AM233" i="11"/>
  <c r="AM232" i="11"/>
  <c r="AM231" i="11"/>
  <c r="AM230" i="11"/>
  <c r="AM229" i="11"/>
  <c r="AM228" i="11"/>
  <c r="AM227" i="11"/>
  <c r="AM226" i="11"/>
  <c r="AM225" i="11"/>
  <c r="AM224" i="11"/>
  <c r="AM223" i="11"/>
  <c r="AM222" i="11"/>
  <c r="AM221" i="11"/>
  <c r="AM220" i="11"/>
  <c r="AM219" i="11"/>
  <c r="AM218" i="11"/>
  <c r="AM217" i="11"/>
  <c r="AM216" i="11"/>
  <c r="AM215" i="11"/>
  <c r="AM214" i="11"/>
  <c r="AM213" i="11"/>
  <c r="AM212" i="11"/>
  <c r="AM211" i="11"/>
  <c r="AM210" i="11"/>
  <c r="AM209" i="11"/>
  <c r="AM208" i="11"/>
  <c r="AM207" i="11"/>
  <c r="AM206" i="11"/>
  <c r="AM205" i="11"/>
  <c r="AM204" i="11"/>
  <c r="AM203" i="11"/>
  <c r="AM202" i="11"/>
  <c r="AM201" i="11"/>
  <c r="AM200" i="11"/>
  <c r="AM199" i="11"/>
  <c r="AM198" i="11"/>
  <c r="AM197" i="11"/>
  <c r="AM196" i="11"/>
  <c r="AM195" i="11"/>
  <c r="AM194" i="11"/>
  <c r="AM193" i="11"/>
  <c r="AM192" i="11"/>
  <c r="AM191" i="11"/>
  <c r="AM190" i="11"/>
  <c r="AM189" i="11"/>
  <c r="AM188" i="11"/>
  <c r="AM187" i="11"/>
  <c r="AM186" i="11"/>
  <c r="AM185" i="11"/>
  <c r="AM184" i="11"/>
  <c r="AM183" i="11"/>
  <c r="AM182" i="11"/>
  <c r="AM181" i="11"/>
  <c r="AM180" i="11"/>
  <c r="AM179" i="11"/>
  <c r="AM178" i="11"/>
  <c r="AM177" i="11"/>
  <c r="AM176" i="11"/>
  <c r="AM175" i="11"/>
  <c r="AM174" i="11"/>
  <c r="AM173" i="11"/>
  <c r="AM172" i="11"/>
  <c r="AM171" i="11"/>
  <c r="AM170" i="11"/>
  <c r="AM169" i="11"/>
  <c r="AM168" i="11"/>
  <c r="AM167" i="11"/>
  <c r="AM166" i="11"/>
  <c r="AM165" i="11"/>
  <c r="AM164" i="11"/>
  <c r="AM163" i="11"/>
  <c r="AM162" i="11"/>
  <c r="AM161" i="11"/>
  <c r="AM160" i="11"/>
  <c r="AM159" i="11"/>
  <c r="AM158" i="11"/>
  <c r="AM157" i="11"/>
  <c r="AM156" i="11"/>
  <c r="AM155" i="11"/>
  <c r="AM154" i="11"/>
  <c r="AM153" i="11"/>
  <c r="AM152" i="11"/>
  <c r="AM151" i="11"/>
  <c r="AM150" i="11"/>
  <c r="AM149" i="11"/>
  <c r="AM148" i="11"/>
  <c r="AM147" i="11"/>
  <c r="AM146" i="11"/>
  <c r="AM145" i="11"/>
  <c r="AM144" i="11"/>
  <c r="AM143" i="11"/>
  <c r="AM142" i="11"/>
  <c r="AM141" i="11"/>
  <c r="AM140" i="11"/>
  <c r="AM139" i="11"/>
  <c r="AM138" i="11"/>
  <c r="AM137" i="11"/>
  <c r="AM136" i="11"/>
  <c r="AM135" i="11"/>
  <c r="AM134" i="11"/>
  <c r="AM133" i="11"/>
  <c r="AM132" i="11"/>
  <c r="AM131" i="11"/>
  <c r="AM130" i="11"/>
  <c r="AM129" i="11"/>
  <c r="AM128" i="11"/>
  <c r="AM127" i="11"/>
  <c r="AM126" i="11"/>
  <c r="AM125" i="11"/>
  <c r="AM124" i="11"/>
  <c r="AM122" i="11"/>
  <c r="AM121" i="11"/>
  <c r="AM120" i="11"/>
  <c r="AM119" i="11"/>
  <c r="AM118" i="11"/>
  <c r="AM117" i="11"/>
  <c r="AM116" i="11"/>
  <c r="AM115" i="11"/>
  <c r="AM113" i="11"/>
  <c r="AM112" i="11"/>
  <c r="AM111" i="11"/>
  <c r="AM110" i="11"/>
  <c r="AM109" i="11"/>
  <c r="AM106" i="11"/>
  <c r="AM97" i="11"/>
  <c r="AM96" i="11"/>
  <c r="AM94" i="11"/>
  <c r="AM93" i="11"/>
  <c r="AM92" i="11"/>
  <c r="AM91" i="11"/>
  <c r="AM89" i="11"/>
  <c r="AM87" i="11"/>
  <c r="AM85" i="11"/>
  <c r="AM83" i="11"/>
  <c r="AM81" i="11"/>
  <c r="AM79" i="11"/>
  <c r="AM76" i="11"/>
  <c r="AM75" i="11"/>
  <c r="AM73" i="11"/>
  <c r="AM72" i="11"/>
  <c r="AM71" i="11"/>
  <c r="AM70" i="11"/>
  <c r="AM69" i="11"/>
  <c r="AM68" i="11"/>
  <c r="AM67" i="11"/>
  <c r="AM64" i="11"/>
  <c r="AM63" i="11"/>
  <c r="AM62" i="11"/>
  <c r="AM60" i="11"/>
  <c r="AM57" i="11"/>
  <c r="AM55" i="11"/>
  <c r="AM53" i="11"/>
  <c r="AM51" i="11"/>
  <c r="AM49" i="11"/>
  <c r="AM48" i="11"/>
  <c r="AM46" i="11"/>
  <c r="AM44" i="11"/>
  <c r="AM42" i="11"/>
  <c r="AM41" i="11"/>
  <c r="AM40" i="11"/>
  <c r="AM39" i="11"/>
  <c r="AM37" i="11"/>
  <c r="AM31" i="11"/>
  <c r="AM28" i="11"/>
  <c r="AM26" i="11"/>
  <c r="AM24" i="11"/>
  <c r="AM22" i="11"/>
  <c r="AM20" i="11"/>
  <c r="AM19" i="11"/>
  <c r="AM18" i="11"/>
  <c r="AM17" i="11"/>
  <c r="AM16" i="11"/>
  <c r="AM15" i="11"/>
  <c r="AM14" i="11"/>
  <c r="AM13" i="11"/>
  <c r="AM12" i="11"/>
  <c r="AM11" i="11"/>
  <c r="AL500" i="11"/>
  <c r="AL499" i="11"/>
  <c r="AL498" i="11"/>
  <c r="AL496" i="11"/>
  <c r="AL495" i="11"/>
  <c r="AL493" i="11"/>
  <c r="AL490" i="11"/>
  <c r="AL489" i="11"/>
  <c r="AL488" i="11"/>
  <c r="AL487" i="11"/>
  <c r="AL486" i="11"/>
  <c r="AL485" i="11"/>
  <c r="AL484" i="11"/>
  <c r="AL483" i="11"/>
  <c r="AL482" i="11"/>
  <c r="AL481" i="11"/>
  <c r="AL480" i="11"/>
  <c r="AL479" i="11"/>
  <c r="AL478" i="11"/>
  <c r="AL477" i="11"/>
  <c r="AL476" i="11"/>
  <c r="AL475" i="11"/>
  <c r="AL474" i="11"/>
  <c r="AL473" i="11"/>
  <c r="AL472" i="11"/>
  <c r="AL471" i="11"/>
  <c r="AL470" i="11"/>
  <c r="AL469" i="11"/>
  <c r="AL468" i="11"/>
  <c r="AL467" i="11"/>
  <c r="AL466" i="11"/>
  <c r="AL465" i="11"/>
  <c r="AL464" i="11"/>
  <c r="AL463" i="11"/>
  <c r="AL462" i="11"/>
  <c r="AL461" i="11"/>
  <c r="AL460" i="11"/>
  <c r="AL459" i="11"/>
  <c r="AL458" i="11"/>
  <c r="AL457" i="11"/>
  <c r="AL456" i="11"/>
  <c r="AL455" i="11"/>
  <c r="AL454" i="11"/>
  <c r="AL453" i="11"/>
  <c r="AL452" i="11"/>
  <c r="AL451" i="11"/>
  <c r="AL450" i="11"/>
  <c r="AL449" i="11"/>
  <c r="AL448" i="11"/>
  <c r="AL447" i="11"/>
  <c r="AL446" i="11"/>
  <c r="AL445" i="11"/>
  <c r="AL444" i="11"/>
  <c r="AL443" i="11"/>
  <c r="AL442" i="11"/>
  <c r="AL441" i="11"/>
  <c r="AL440" i="11"/>
  <c r="AL439" i="11"/>
  <c r="AL438" i="11"/>
  <c r="AL437" i="11"/>
  <c r="AL436" i="11"/>
  <c r="AL435" i="11"/>
  <c r="AL434" i="11"/>
  <c r="AL433" i="11"/>
  <c r="AL432" i="11"/>
  <c r="AL431" i="11"/>
  <c r="AL430" i="11"/>
  <c r="AL429" i="11"/>
  <c r="AL428" i="11"/>
  <c r="AL427" i="11"/>
  <c r="AL426" i="11"/>
  <c r="AL425" i="11"/>
  <c r="AL424" i="11"/>
  <c r="AL423" i="11"/>
  <c r="AL422" i="11"/>
  <c r="AL421" i="11"/>
  <c r="AL420" i="11"/>
  <c r="AL419" i="11"/>
  <c r="AL418" i="11"/>
  <c r="AL417" i="11"/>
  <c r="AL416" i="11"/>
  <c r="AL415" i="11"/>
  <c r="AL414" i="11"/>
  <c r="AL413" i="11"/>
  <c r="AL412" i="11"/>
  <c r="AL411" i="11"/>
  <c r="AL410" i="11"/>
  <c r="AL409" i="11"/>
  <c r="AL408" i="11"/>
  <c r="AL407" i="11"/>
  <c r="AL406" i="11"/>
  <c r="AL405" i="11"/>
  <c r="AL404" i="11"/>
  <c r="AL403" i="11"/>
  <c r="AL402" i="11"/>
  <c r="AL401" i="11"/>
  <c r="AL400" i="11"/>
  <c r="AL399" i="11"/>
  <c r="AL398" i="11"/>
  <c r="AL397" i="11"/>
  <c r="AL396" i="11"/>
  <c r="AL395" i="11"/>
  <c r="AL394" i="11"/>
  <c r="AL393" i="11"/>
  <c r="AL392" i="11"/>
  <c r="AL391" i="11"/>
  <c r="AL389" i="11"/>
  <c r="AL388" i="11"/>
  <c r="AL387" i="11"/>
  <c r="AL385" i="11"/>
  <c r="AL384" i="11"/>
  <c r="AL383" i="11"/>
  <c r="AL382" i="11"/>
  <c r="AL381" i="11"/>
  <c r="AL380" i="11"/>
  <c r="AL379" i="11"/>
  <c r="AL378" i="11"/>
  <c r="AL377" i="11"/>
  <c r="AL376" i="11"/>
  <c r="AL375" i="11"/>
  <c r="AL374" i="11"/>
  <c r="AL373" i="11"/>
  <c r="AL372" i="11"/>
  <c r="AL371" i="11"/>
  <c r="AL370" i="11"/>
  <c r="AL369" i="11"/>
  <c r="AL368" i="11"/>
  <c r="AL367" i="11"/>
  <c r="AL366" i="11"/>
  <c r="AL365" i="11"/>
  <c r="AL364" i="11"/>
  <c r="AL363" i="11"/>
  <c r="AL362" i="11"/>
  <c r="AL361" i="11"/>
  <c r="AL360" i="11"/>
  <c r="AL359" i="11"/>
  <c r="AL358" i="11"/>
  <c r="AL357" i="11"/>
  <c r="AL356" i="11"/>
  <c r="AL355" i="11"/>
  <c r="AL354" i="11"/>
  <c r="AL353" i="11"/>
  <c r="AL352" i="11"/>
  <c r="AL350" i="11"/>
  <c r="AL349" i="11"/>
  <c r="AL348" i="11"/>
  <c r="AL347" i="11"/>
  <c r="AL345" i="11"/>
  <c r="AL344" i="11"/>
  <c r="AL343" i="11"/>
  <c r="AL342" i="11"/>
  <c r="AL341" i="11"/>
  <c r="AL340" i="11"/>
  <c r="AL339" i="11"/>
  <c r="AL338" i="11"/>
  <c r="AL337" i="11"/>
  <c r="AL336" i="11"/>
  <c r="AL335" i="11"/>
  <c r="AL334" i="11"/>
  <c r="AL333" i="11"/>
  <c r="AL332" i="11"/>
  <c r="AL331" i="11"/>
  <c r="AL330" i="11"/>
  <c r="AL329" i="11"/>
  <c r="AL328" i="11"/>
  <c r="AL327" i="11"/>
  <c r="AL326" i="11"/>
  <c r="AL325" i="11"/>
  <c r="AL324" i="11"/>
  <c r="AL323" i="11"/>
  <c r="AL322" i="11"/>
  <c r="AL321" i="11"/>
  <c r="AL320" i="11"/>
  <c r="AL319" i="11"/>
  <c r="AL318" i="11"/>
  <c r="AL317" i="11"/>
  <c r="AL315" i="11"/>
  <c r="AL314" i="11"/>
  <c r="AL313" i="11"/>
  <c r="AL312" i="11"/>
  <c r="AL311" i="11"/>
  <c r="AL310" i="11"/>
  <c r="AL309" i="11"/>
  <c r="AL308" i="11"/>
  <c r="AL307" i="11"/>
  <c r="AL306" i="11"/>
  <c r="AL305" i="11"/>
  <c r="AL304" i="11"/>
  <c r="AL303" i="11"/>
  <c r="AL302" i="11"/>
  <c r="AL301" i="11"/>
  <c r="AL300" i="11"/>
  <c r="AL299" i="11"/>
  <c r="AL298" i="11"/>
  <c r="AL297" i="11"/>
  <c r="AL296" i="11"/>
  <c r="AL295" i="11"/>
  <c r="AL294" i="11"/>
  <c r="AL293" i="11"/>
  <c r="AL292" i="11"/>
  <c r="AL291" i="11"/>
  <c r="AL290" i="11"/>
  <c r="AL289" i="11"/>
  <c r="AL288" i="11"/>
  <c r="AL287" i="11"/>
  <c r="AL286" i="11"/>
  <c r="AL285" i="11"/>
  <c r="AL284" i="11"/>
  <c r="AL283" i="11"/>
  <c r="AL282" i="11"/>
  <c r="AL280" i="11"/>
  <c r="AL279" i="11"/>
  <c r="AL278" i="11"/>
  <c r="AL277" i="11"/>
  <c r="AL276" i="11"/>
  <c r="AL275" i="11"/>
  <c r="AL274" i="11"/>
  <c r="AL273" i="11"/>
  <c r="AL272" i="11"/>
  <c r="AL271" i="11"/>
  <c r="AL270" i="11"/>
  <c r="AL269" i="11"/>
  <c r="AL268" i="11"/>
  <c r="AL267" i="11"/>
  <c r="AL266" i="11"/>
  <c r="AL265" i="11"/>
  <c r="AL264" i="11"/>
  <c r="AL262" i="11"/>
  <c r="AL261" i="11"/>
  <c r="AL260" i="11"/>
  <c r="AL259" i="11"/>
  <c r="AL258" i="11"/>
  <c r="AL257" i="11"/>
  <c r="AL256" i="11"/>
  <c r="AL255" i="11"/>
  <c r="AL254" i="11"/>
  <c r="AL253" i="11"/>
  <c r="AL252" i="11"/>
  <c r="AL251" i="11"/>
  <c r="AL250" i="11"/>
  <c r="AL249" i="11"/>
  <c r="AL248" i="11"/>
  <c r="AL247" i="11"/>
  <c r="AL246" i="11"/>
  <c r="AL245" i="11"/>
  <c r="AL244" i="11"/>
  <c r="AL243" i="11"/>
  <c r="AL242" i="11"/>
  <c r="AL241" i="11"/>
  <c r="AL240" i="11"/>
  <c r="AL239" i="11"/>
  <c r="AL238" i="11"/>
  <c r="AL237" i="11"/>
  <c r="AL236" i="11"/>
  <c r="AL235" i="11"/>
  <c r="AL234" i="11"/>
  <c r="AL233" i="11"/>
  <c r="AL232" i="11"/>
  <c r="AL231" i="11"/>
  <c r="AL230" i="11"/>
  <c r="AL229" i="11"/>
  <c r="AL228" i="11"/>
  <c r="AL227" i="11"/>
  <c r="AL226" i="11"/>
  <c r="AL225" i="11"/>
  <c r="AL224" i="11"/>
  <c r="AL223" i="11"/>
  <c r="AL222" i="11"/>
  <c r="AL221" i="11"/>
  <c r="AL220" i="11"/>
  <c r="AL219" i="11"/>
  <c r="AL218" i="11"/>
  <c r="AL217" i="11"/>
  <c r="AL216" i="11"/>
  <c r="AL215" i="11"/>
  <c r="AL214" i="11"/>
  <c r="AL213" i="11"/>
  <c r="AL212" i="11"/>
  <c r="AL211" i="11"/>
  <c r="AL210" i="11"/>
  <c r="AL209" i="11"/>
  <c r="AL208" i="11"/>
  <c r="AL207" i="11"/>
  <c r="AL206" i="11"/>
  <c r="AL205" i="11"/>
  <c r="AL204" i="11"/>
  <c r="AL203" i="11"/>
  <c r="AL202" i="11"/>
  <c r="AL201" i="11"/>
  <c r="AL200" i="11"/>
  <c r="AL199" i="11"/>
  <c r="AL198" i="11"/>
  <c r="AL197" i="11"/>
  <c r="AL196" i="11"/>
  <c r="AL195" i="11"/>
  <c r="AL194" i="11"/>
  <c r="AL193" i="11"/>
  <c r="AL192" i="11"/>
  <c r="AL191" i="11"/>
  <c r="AL190" i="11"/>
  <c r="AL189" i="11"/>
  <c r="AL188" i="11"/>
  <c r="AL187" i="11"/>
  <c r="AL186" i="11"/>
  <c r="AL185" i="11"/>
  <c r="AL184" i="11"/>
  <c r="AL183" i="11"/>
  <c r="AL182" i="11"/>
  <c r="AL181" i="11"/>
  <c r="AL180" i="11"/>
  <c r="AL179" i="11"/>
  <c r="AL178" i="11"/>
  <c r="AL177" i="11"/>
  <c r="AL176" i="11"/>
  <c r="AL175" i="11"/>
  <c r="AL174" i="11"/>
  <c r="AL173" i="11"/>
  <c r="AL172" i="11"/>
  <c r="AL171" i="11"/>
  <c r="AL170" i="11"/>
  <c r="AL169" i="11"/>
  <c r="AL168" i="11"/>
  <c r="AL167" i="11"/>
  <c r="AL166" i="11"/>
  <c r="AL165" i="11"/>
  <c r="AL164" i="11"/>
  <c r="AL163" i="11"/>
  <c r="AL162" i="11"/>
  <c r="AL161" i="11"/>
  <c r="AL160" i="11"/>
  <c r="AL159" i="11"/>
  <c r="AL158" i="11"/>
  <c r="AL157" i="11"/>
  <c r="AL156" i="11"/>
  <c r="AL155" i="11"/>
  <c r="AL154" i="11"/>
  <c r="AL153" i="11"/>
  <c r="AL152" i="11"/>
  <c r="AL151" i="11"/>
  <c r="AL150" i="11"/>
  <c r="AL149" i="11"/>
  <c r="AL148" i="11"/>
  <c r="AL147" i="11"/>
  <c r="AL146" i="11"/>
  <c r="AL145" i="11"/>
  <c r="AL144" i="11"/>
  <c r="AL143" i="11"/>
  <c r="AL142" i="11"/>
  <c r="AL141" i="11"/>
  <c r="AL140" i="11"/>
  <c r="AL139" i="11"/>
  <c r="AL138" i="11"/>
  <c r="AL137" i="11"/>
  <c r="AL136" i="11"/>
  <c r="AL135" i="11"/>
  <c r="AL134" i="11"/>
  <c r="AL133" i="11"/>
  <c r="AL132" i="11"/>
  <c r="AL131" i="11"/>
  <c r="AL130" i="11"/>
  <c r="AL129" i="11"/>
  <c r="AL128" i="11"/>
  <c r="AL127" i="11"/>
  <c r="AL126" i="11"/>
  <c r="AL125" i="11"/>
  <c r="AL124" i="11"/>
  <c r="AL122" i="11"/>
  <c r="AL121" i="11"/>
  <c r="AL120" i="11"/>
  <c r="AL119" i="11"/>
  <c r="AL118" i="11"/>
  <c r="AL117" i="11"/>
  <c r="AL116" i="11"/>
  <c r="AL115" i="11"/>
  <c r="AL113" i="11"/>
  <c r="AL112" i="11"/>
  <c r="AL111" i="11"/>
  <c r="AL110" i="11"/>
  <c r="AL109" i="11"/>
  <c r="AL106" i="11"/>
  <c r="AL97" i="11"/>
  <c r="AL96" i="11"/>
  <c r="AL94" i="11"/>
  <c r="AL93" i="11"/>
  <c r="AL92" i="11"/>
  <c r="AL91" i="11"/>
  <c r="AL89" i="11"/>
  <c r="AL87" i="11"/>
  <c r="AL85" i="11"/>
  <c r="AL83" i="11"/>
  <c r="AL81" i="11"/>
  <c r="AL79" i="11"/>
  <c r="AL76" i="11"/>
  <c r="AL75" i="11"/>
  <c r="AL73" i="11"/>
  <c r="AL72" i="11"/>
  <c r="AL71" i="11"/>
  <c r="AL70" i="11"/>
  <c r="AL69" i="11"/>
  <c r="AL68" i="11"/>
  <c r="AL67" i="11"/>
  <c r="AL64" i="11"/>
  <c r="AL63" i="11"/>
  <c r="AL62" i="11"/>
  <c r="AL60" i="11"/>
  <c r="AL57" i="11"/>
  <c r="AL55" i="11"/>
  <c r="AL53" i="11"/>
  <c r="AL51" i="11"/>
  <c r="AL49" i="11"/>
  <c r="AL48" i="11"/>
  <c r="AL46" i="11"/>
  <c r="AL44" i="11"/>
  <c r="AL42" i="11"/>
  <c r="AL41" i="11"/>
  <c r="AL40" i="11"/>
  <c r="AL39" i="11"/>
  <c r="AL37" i="11"/>
  <c r="AL31" i="11"/>
  <c r="AL28" i="11"/>
  <c r="AL26" i="11"/>
  <c r="AL24" i="11"/>
  <c r="AL22" i="11"/>
  <c r="AL20" i="11"/>
  <c r="AL19" i="11"/>
  <c r="AL18" i="11"/>
  <c r="AL17" i="11"/>
  <c r="AL16" i="11"/>
  <c r="AL15" i="11"/>
  <c r="AL14" i="11"/>
  <c r="AL13" i="11"/>
  <c r="AL12" i="11"/>
  <c r="AL11" i="11"/>
  <c r="BJ95" i="11"/>
  <c r="BI95" i="11"/>
  <c r="AK22" i="11"/>
  <c r="AK11" i="11"/>
  <c r="AG22" i="11"/>
  <c r="AF22" i="11"/>
  <c r="AG500" i="11"/>
  <c r="AG499" i="11"/>
  <c r="AG498" i="11"/>
  <c r="AG496" i="11"/>
  <c r="AG495" i="11"/>
  <c r="AG493" i="11"/>
  <c r="AG490" i="11"/>
  <c r="AG489" i="11"/>
  <c r="AG488" i="11"/>
  <c r="AG487" i="11"/>
  <c r="AG486" i="11"/>
  <c r="AG485" i="11"/>
  <c r="AG484" i="11"/>
  <c r="AG483" i="11"/>
  <c r="AG482" i="11"/>
  <c r="AG481" i="11"/>
  <c r="AG480" i="11"/>
  <c r="AG479" i="11"/>
  <c r="AG478" i="11"/>
  <c r="AG477" i="11"/>
  <c r="AG476" i="11"/>
  <c r="AG475" i="11"/>
  <c r="AG474" i="11"/>
  <c r="AG473" i="11"/>
  <c r="AG472" i="11"/>
  <c r="AG471" i="11"/>
  <c r="AG470" i="11"/>
  <c r="AG469" i="11"/>
  <c r="AG468" i="11"/>
  <c r="AG467" i="11"/>
  <c r="AG466" i="11"/>
  <c r="AG465" i="11"/>
  <c r="AG464" i="11"/>
  <c r="AG463" i="11"/>
  <c r="AG462" i="11"/>
  <c r="AG461" i="11"/>
  <c r="AG460" i="11"/>
  <c r="AG459" i="11"/>
  <c r="AG458" i="11"/>
  <c r="AG457" i="11"/>
  <c r="AG456" i="11"/>
  <c r="AG455" i="11"/>
  <c r="AG454" i="11"/>
  <c r="AG453" i="11"/>
  <c r="AG452" i="11"/>
  <c r="AG451" i="11"/>
  <c r="AG450" i="11"/>
  <c r="AG449" i="11"/>
  <c r="AG448" i="11"/>
  <c r="AG447" i="11"/>
  <c r="AG446" i="11"/>
  <c r="AG445" i="11"/>
  <c r="AG444" i="11"/>
  <c r="AG443" i="11"/>
  <c r="AG442" i="11"/>
  <c r="AG441" i="11"/>
  <c r="AG440" i="11"/>
  <c r="AG439" i="11"/>
  <c r="AG438" i="11"/>
  <c r="AG437" i="11"/>
  <c r="AG436" i="11"/>
  <c r="AG435" i="11"/>
  <c r="AG434" i="11"/>
  <c r="AG433" i="11"/>
  <c r="AG432" i="11"/>
  <c r="AG431" i="11"/>
  <c r="AG430" i="11"/>
  <c r="AG429" i="11"/>
  <c r="AG428" i="11"/>
  <c r="AG427" i="11"/>
  <c r="AG426" i="11"/>
  <c r="AG425" i="11"/>
  <c r="AG424" i="11"/>
  <c r="AG423" i="11"/>
  <c r="AG422" i="11"/>
  <c r="AG421" i="11"/>
  <c r="AG420" i="11"/>
  <c r="AG419" i="11"/>
  <c r="AG418" i="11"/>
  <c r="AG417" i="11"/>
  <c r="AG416" i="11"/>
  <c r="AG415" i="11"/>
  <c r="AG414" i="11"/>
  <c r="AG413" i="11"/>
  <c r="AG412" i="11"/>
  <c r="AG411" i="11"/>
  <c r="AG410" i="11"/>
  <c r="AG409" i="11"/>
  <c r="AG408" i="11"/>
  <c r="AG407" i="11"/>
  <c r="AG406" i="11"/>
  <c r="AG405" i="11"/>
  <c r="AG404" i="11"/>
  <c r="AG403" i="11"/>
  <c r="AG402" i="11"/>
  <c r="AG401" i="11"/>
  <c r="AG400" i="11"/>
  <c r="AG399" i="11"/>
  <c r="AG398" i="11"/>
  <c r="AG397" i="11"/>
  <c r="AG396" i="11"/>
  <c r="AG395" i="11"/>
  <c r="AG394" i="11"/>
  <c r="AG393" i="11"/>
  <c r="AG392" i="11"/>
  <c r="AG391" i="11"/>
  <c r="AG389" i="11"/>
  <c r="AG388" i="11"/>
  <c r="AG387" i="11"/>
  <c r="AG385" i="11"/>
  <c r="AG384" i="11"/>
  <c r="AG383" i="11"/>
  <c r="AG382" i="11"/>
  <c r="AG381" i="11"/>
  <c r="AG380" i="11"/>
  <c r="AG379" i="11"/>
  <c r="AG378" i="11"/>
  <c r="AG377" i="11"/>
  <c r="AG376" i="11"/>
  <c r="AG375" i="11"/>
  <c r="AG374" i="11"/>
  <c r="AG373" i="11"/>
  <c r="AG372" i="11"/>
  <c r="AG371" i="11"/>
  <c r="AG370" i="11"/>
  <c r="AG369" i="11"/>
  <c r="AG368" i="11"/>
  <c r="AG367" i="11"/>
  <c r="AG366" i="11"/>
  <c r="AG365" i="11"/>
  <c r="AG364" i="11"/>
  <c r="AG363" i="11"/>
  <c r="AG362" i="11"/>
  <c r="AG361" i="11"/>
  <c r="AG360" i="11"/>
  <c r="AG359" i="11"/>
  <c r="AG358" i="11"/>
  <c r="AG357" i="11"/>
  <c r="AG356" i="11"/>
  <c r="AG355" i="11"/>
  <c r="AG354" i="11"/>
  <c r="AG353" i="11"/>
  <c r="AG352" i="11"/>
  <c r="AG350" i="11"/>
  <c r="AG349" i="11"/>
  <c r="AG348" i="11"/>
  <c r="AG347" i="11"/>
  <c r="AG345" i="11"/>
  <c r="AG344" i="11"/>
  <c r="AG343" i="11"/>
  <c r="AG342" i="11"/>
  <c r="AG341" i="11"/>
  <c r="AG340" i="11"/>
  <c r="AG339" i="11"/>
  <c r="AG338" i="11"/>
  <c r="AG337" i="11"/>
  <c r="AG336" i="11"/>
  <c r="AG335" i="11"/>
  <c r="AG334" i="11"/>
  <c r="AG333" i="11"/>
  <c r="AG332" i="11"/>
  <c r="AG331" i="11"/>
  <c r="AG330" i="11"/>
  <c r="AG329" i="11"/>
  <c r="AG328" i="11"/>
  <c r="AG327" i="11"/>
  <c r="AG326" i="11"/>
  <c r="AG325" i="11"/>
  <c r="AG324" i="11"/>
  <c r="AG323" i="11"/>
  <c r="AG322" i="11"/>
  <c r="AG321" i="11"/>
  <c r="AG320" i="11"/>
  <c r="AG319" i="11"/>
  <c r="AG318" i="11"/>
  <c r="AG317" i="11"/>
  <c r="AG315" i="11"/>
  <c r="AG314" i="11"/>
  <c r="AG313" i="11"/>
  <c r="AG312" i="11"/>
  <c r="AG311" i="11"/>
  <c r="AG310" i="11"/>
  <c r="AG309" i="11"/>
  <c r="AG308" i="11"/>
  <c r="AG307" i="11"/>
  <c r="AG306" i="11"/>
  <c r="AG305" i="11"/>
  <c r="AG304" i="11"/>
  <c r="AG303" i="11"/>
  <c r="AG302" i="11"/>
  <c r="AG301" i="11"/>
  <c r="AG300" i="11"/>
  <c r="AG299" i="11"/>
  <c r="AG298" i="11"/>
  <c r="AG297" i="11"/>
  <c r="AG296" i="11"/>
  <c r="AG295" i="11"/>
  <c r="AG294" i="11"/>
  <c r="AG293" i="11"/>
  <c r="AG292" i="11"/>
  <c r="AG291" i="11"/>
  <c r="AG290" i="11"/>
  <c r="AG289" i="11"/>
  <c r="AG288" i="11"/>
  <c r="AG287" i="11"/>
  <c r="AG286" i="11"/>
  <c r="AG285" i="11"/>
  <c r="AG284" i="11"/>
  <c r="AG283" i="11"/>
  <c r="AG282" i="11"/>
  <c r="AG280" i="11"/>
  <c r="AG279" i="11"/>
  <c r="AG278" i="11"/>
  <c r="AG277" i="11"/>
  <c r="AG276" i="11"/>
  <c r="AG275" i="11"/>
  <c r="AG274" i="11"/>
  <c r="AG273" i="11"/>
  <c r="AG272" i="11"/>
  <c r="AG271" i="11"/>
  <c r="AG270" i="11"/>
  <c r="AG269" i="11"/>
  <c r="AG268" i="11"/>
  <c r="AG267" i="11"/>
  <c r="AG266" i="11"/>
  <c r="AG265" i="11"/>
  <c r="AG264" i="11"/>
  <c r="AG262" i="11"/>
  <c r="AG261" i="11"/>
  <c r="AG260" i="11"/>
  <c r="AG259" i="11"/>
  <c r="AG258" i="11"/>
  <c r="AG257" i="11"/>
  <c r="AG256" i="11"/>
  <c r="AG255" i="11"/>
  <c r="AG254" i="11"/>
  <c r="AG253" i="11"/>
  <c r="AG252" i="11"/>
  <c r="AG251" i="11"/>
  <c r="AG250" i="11"/>
  <c r="AG249" i="11"/>
  <c r="AG248" i="11"/>
  <c r="AG247" i="11"/>
  <c r="AG246" i="11"/>
  <c r="AG245" i="11"/>
  <c r="AG244" i="11"/>
  <c r="AG243" i="11"/>
  <c r="AG242" i="11"/>
  <c r="AG241" i="11"/>
  <c r="AG240" i="11"/>
  <c r="AG239" i="11"/>
  <c r="AG238" i="11"/>
  <c r="AG237" i="11"/>
  <c r="AG236" i="11"/>
  <c r="AG235" i="11"/>
  <c r="AG234" i="11"/>
  <c r="AG233" i="11"/>
  <c r="AG232" i="11"/>
  <c r="AG231" i="11"/>
  <c r="AG230" i="11"/>
  <c r="AG229" i="11"/>
  <c r="AG228" i="11"/>
  <c r="AG227" i="11"/>
  <c r="AG226" i="11"/>
  <c r="AG225" i="11"/>
  <c r="AG224" i="11"/>
  <c r="AG223" i="11"/>
  <c r="AG222" i="11"/>
  <c r="AG221" i="11"/>
  <c r="AG220" i="11"/>
  <c r="AG219" i="11"/>
  <c r="AG218" i="11"/>
  <c r="AG217" i="11"/>
  <c r="AG216" i="11"/>
  <c r="AG215" i="11"/>
  <c r="AG214" i="11"/>
  <c r="AG213" i="11"/>
  <c r="AG212" i="11"/>
  <c r="AG211" i="11"/>
  <c r="AG210" i="11"/>
  <c r="AG209" i="11"/>
  <c r="AG208" i="11"/>
  <c r="AG207" i="11"/>
  <c r="AG206" i="11"/>
  <c r="AG205" i="11"/>
  <c r="AG204" i="11"/>
  <c r="AG203" i="11"/>
  <c r="AG202" i="11"/>
  <c r="AG201" i="11"/>
  <c r="AG200" i="11"/>
  <c r="AG199" i="11"/>
  <c r="AG198" i="11"/>
  <c r="AG197" i="11"/>
  <c r="AG196" i="11"/>
  <c r="AG195" i="11"/>
  <c r="AG194" i="11"/>
  <c r="AG193" i="11"/>
  <c r="AG192" i="11"/>
  <c r="AG191" i="11"/>
  <c r="AG190" i="11"/>
  <c r="AG189" i="11"/>
  <c r="AG188" i="11"/>
  <c r="AG187" i="11"/>
  <c r="AG186" i="11"/>
  <c r="AG185" i="11"/>
  <c r="AG184" i="11"/>
  <c r="AG183" i="11"/>
  <c r="AG182" i="11"/>
  <c r="AG181" i="11"/>
  <c r="AG180" i="11"/>
  <c r="AG179" i="11"/>
  <c r="AG178" i="11"/>
  <c r="AG177" i="11"/>
  <c r="AG176" i="11"/>
  <c r="AG175" i="11"/>
  <c r="AG174" i="11"/>
  <c r="AG173" i="11"/>
  <c r="AG172" i="11"/>
  <c r="AG171" i="11"/>
  <c r="AG170" i="11"/>
  <c r="AG169" i="11"/>
  <c r="AG168" i="11"/>
  <c r="AG167" i="11"/>
  <c r="AG166" i="11"/>
  <c r="AG165" i="11"/>
  <c r="AG164" i="11"/>
  <c r="AG163" i="11"/>
  <c r="AG162" i="11"/>
  <c r="AG161" i="11"/>
  <c r="AG160" i="11"/>
  <c r="AG159" i="11"/>
  <c r="AG158" i="11"/>
  <c r="AG157" i="11"/>
  <c r="AG156" i="11"/>
  <c r="AG155" i="11"/>
  <c r="AG154" i="11"/>
  <c r="AG153" i="11"/>
  <c r="AG152" i="11"/>
  <c r="AG151" i="11"/>
  <c r="AG150" i="11"/>
  <c r="AG149" i="11"/>
  <c r="AG148" i="11"/>
  <c r="AG147" i="11"/>
  <c r="AG146" i="11"/>
  <c r="AG145" i="11"/>
  <c r="AG144" i="11"/>
  <c r="AG143" i="11"/>
  <c r="AG142" i="11"/>
  <c r="AG141" i="11"/>
  <c r="AG140" i="11"/>
  <c r="AG139" i="11"/>
  <c r="AG138" i="11"/>
  <c r="AG137" i="11"/>
  <c r="AG136" i="11"/>
  <c r="AG135" i="11"/>
  <c r="AG134" i="11"/>
  <c r="AG133" i="11"/>
  <c r="AG132" i="11"/>
  <c r="AG131" i="11"/>
  <c r="AG130" i="11"/>
  <c r="AG129" i="11"/>
  <c r="AG128" i="11"/>
  <c r="AG127" i="11"/>
  <c r="AG126" i="11"/>
  <c r="AG125" i="11"/>
  <c r="AG124" i="11"/>
  <c r="AG122" i="11"/>
  <c r="AG121" i="11"/>
  <c r="AG120" i="11"/>
  <c r="AG119" i="11"/>
  <c r="AG118" i="11"/>
  <c r="AG117" i="11"/>
  <c r="AG116" i="11"/>
  <c r="AG115" i="11"/>
  <c r="AG113" i="11"/>
  <c r="AG112" i="11"/>
  <c r="AG111" i="11"/>
  <c r="AG110" i="11"/>
  <c r="AG109" i="11"/>
  <c r="AG106" i="11"/>
  <c r="AG97" i="11"/>
  <c r="AG96" i="11"/>
  <c r="AG94" i="11"/>
  <c r="AG93" i="11"/>
  <c r="AG89" i="11"/>
  <c r="AG87" i="11"/>
  <c r="AG85" i="11"/>
  <c r="AG76" i="11"/>
  <c r="AG75" i="11"/>
  <c r="AG73" i="11"/>
  <c r="AG72" i="11"/>
  <c r="AG71" i="11"/>
  <c r="AG70" i="11"/>
  <c r="AG69" i="11"/>
  <c r="AG68" i="11"/>
  <c r="AG67" i="11"/>
  <c r="AG64" i="11"/>
  <c r="AG63" i="11"/>
  <c r="AG62" i="11"/>
  <c r="AG60" i="11"/>
  <c r="AG57" i="11"/>
  <c r="AG55" i="11"/>
  <c r="AG53" i="11"/>
  <c r="AG51" i="11"/>
  <c r="AG49" i="11"/>
  <c r="AG48" i="11"/>
  <c r="AG46" i="11"/>
  <c r="AG44" i="11"/>
  <c r="AG42" i="11"/>
  <c r="AG41" i="11"/>
  <c r="AG40" i="11"/>
  <c r="AG39" i="11"/>
  <c r="AG37" i="11"/>
  <c r="AG31" i="11"/>
  <c r="AG28" i="11"/>
  <c r="AG26" i="11"/>
  <c r="AG24" i="11"/>
  <c r="AG20" i="11"/>
  <c r="AG19" i="11"/>
  <c r="AG18" i="11"/>
  <c r="AG17" i="11"/>
  <c r="AG16" i="11"/>
  <c r="AG15" i="11"/>
  <c r="AG14" i="11"/>
  <c r="AG13" i="11"/>
  <c r="AG12" i="11"/>
  <c r="AG11" i="11"/>
  <c r="AG95" i="11" l="1"/>
  <c r="BN500" i="11"/>
  <c r="BN497" i="11"/>
  <c r="BN494" i="11"/>
  <c r="BN492" i="11"/>
  <c r="BN491" i="11" s="1"/>
  <c r="BN489" i="11"/>
  <c r="BN484" i="11"/>
  <c r="BN475" i="11"/>
  <c r="BN390" i="11" s="1"/>
  <c r="BN467" i="11"/>
  <c r="BN437" i="11"/>
  <c r="BN431" i="11"/>
  <c r="BN389" i="11"/>
  <c r="BN386" i="11"/>
  <c r="BN385" i="11"/>
  <c r="BN384" i="11"/>
  <c r="BN383" i="11"/>
  <c r="BN382" i="11"/>
  <c r="BN370" i="11"/>
  <c r="BN367" i="11"/>
  <c r="BN366" i="11"/>
  <c r="BN358" i="11"/>
  <c r="BN356" i="11"/>
  <c r="BN354" i="11"/>
  <c r="BN351" i="11" s="1"/>
  <c r="BN352" i="11"/>
  <c r="BN346" i="11"/>
  <c r="BN345" i="11"/>
  <c r="BN344" i="11"/>
  <c r="BN343" i="11"/>
  <c r="BN342" i="11"/>
  <c r="BN341" i="11"/>
  <c r="BN316" i="11" s="1"/>
  <c r="BN340" i="11"/>
  <c r="BN314" i="11"/>
  <c r="BN313" i="11"/>
  <c r="BN304" i="11"/>
  <c r="BN281" i="11"/>
  <c r="BN280" i="11"/>
  <c r="BN273" i="11"/>
  <c r="BN263" i="11" s="1"/>
  <c r="BN262" i="11"/>
  <c r="BN261" i="11"/>
  <c r="BN260" i="11"/>
  <c r="BN259" i="11"/>
  <c r="BN258" i="11"/>
  <c r="BN255" i="11"/>
  <c r="BN254" i="11"/>
  <c r="BN253" i="11"/>
  <c r="BN252" i="11"/>
  <c r="BN249" i="11"/>
  <c r="BN248" i="11"/>
  <c r="BN247" i="11"/>
  <c r="BN246" i="11"/>
  <c r="BN245" i="11"/>
  <c r="BN243" i="11"/>
  <c r="BN242" i="11"/>
  <c r="BN241" i="11"/>
  <c r="BN240" i="11"/>
  <c r="BN239" i="11"/>
  <c r="BN238" i="11"/>
  <c r="BN237" i="11"/>
  <c r="BN236" i="11"/>
  <c r="BN235" i="11"/>
  <c r="BN234" i="11"/>
  <c r="BN233" i="11"/>
  <c r="BN231" i="11"/>
  <c r="BN230" i="11"/>
  <c r="BN226" i="11"/>
  <c r="BN225" i="11"/>
  <c r="BN224" i="11"/>
  <c r="BN222" i="11"/>
  <c r="BN218" i="11"/>
  <c r="BN212" i="11"/>
  <c r="BN187" i="11"/>
  <c r="BN182" i="11"/>
  <c r="BN172" i="11"/>
  <c r="BN128" i="11"/>
  <c r="BN127" i="11"/>
  <c r="BN108" i="11"/>
  <c r="BN106" i="11"/>
  <c r="BN95" i="11" s="1"/>
  <c r="BN97" i="11"/>
  <c r="BN92" i="11"/>
  <c r="BN91" i="11"/>
  <c r="AX91" i="11" s="1"/>
  <c r="Q91" i="11" s="1"/>
  <c r="BN88" i="11"/>
  <c r="G28" i="17" s="1"/>
  <c r="BN86" i="11"/>
  <c r="BN84" i="11"/>
  <c r="BN83" i="11"/>
  <c r="AG83" i="11" s="1"/>
  <c r="AG82" i="11" s="1"/>
  <c r="BN81" i="11"/>
  <c r="AG79" i="11"/>
  <c r="AG78" i="11" s="1"/>
  <c r="BN75" i="11"/>
  <c r="BN60" i="11"/>
  <c r="BN59" i="11"/>
  <c r="BN56" i="11"/>
  <c r="BN52" i="11"/>
  <c r="BN50" i="11"/>
  <c r="BN47" i="11"/>
  <c r="BN45" i="11"/>
  <c r="BN44" i="11"/>
  <c r="BN43" i="11" s="1"/>
  <c r="BN38" i="11"/>
  <c r="BN30" i="11"/>
  <c r="BN27" i="11"/>
  <c r="BN25" i="11"/>
  <c r="BN23" i="11"/>
  <c r="BN21" i="11"/>
  <c r="G13" i="17" s="1"/>
  <c r="BN10" i="11"/>
  <c r="G11" i="17" s="1"/>
  <c r="Z28" i="11"/>
  <c r="V28" i="11"/>
  <c r="Z11" i="11"/>
  <c r="Q22" i="11"/>
  <c r="Q21" i="11" s="1"/>
  <c r="Q16" i="11"/>
  <c r="Q28" i="11"/>
  <c r="Q27" i="11" s="1"/>
  <c r="Q26" i="11"/>
  <c r="Q25" i="11" s="1"/>
  <c r="Q24" i="11"/>
  <c r="Q23" i="11" s="1"/>
  <c r="Q500" i="11"/>
  <c r="Q499" i="11"/>
  <c r="Q498" i="11"/>
  <c r="Q495" i="11"/>
  <c r="Q494" i="11" s="1"/>
  <c r="Q493" i="11"/>
  <c r="Q492" i="11" s="1"/>
  <c r="Q404" i="11"/>
  <c r="Q393" i="11"/>
  <c r="Q392" i="11"/>
  <c r="Q371" i="11"/>
  <c r="Q370" i="11"/>
  <c r="Q308" i="11"/>
  <c r="Q245" i="11"/>
  <c r="Q207" i="11"/>
  <c r="Q199" i="11"/>
  <c r="Q181" i="11"/>
  <c r="Q158" i="11"/>
  <c r="Q153" i="11"/>
  <c r="Q137" i="11"/>
  <c r="Q133" i="11"/>
  <c r="Q132" i="11"/>
  <c r="Q128" i="11"/>
  <c r="Q127" i="11"/>
  <c r="Q124" i="11"/>
  <c r="Q122" i="11"/>
  <c r="Q121" i="11"/>
  <c r="Q120" i="11"/>
  <c r="Q119" i="11"/>
  <c r="Q118" i="11"/>
  <c r="Q117" i="11"/>
  <c r="Q116" i="11"/>
  <c r="Q115" i="11"/>
  <c r="Q111" i="11"/>
  <c r="Q110" i="11"/>
  <c r="Q109" i="11"/>
  <c r="Q96" i="11"/>
  <c r="Q89" i="11"/>
  <c r="Q88" i="11" s="1"/>
  <c r="Q87" i="11"/>
  <c r="Q85" i="11"/>
  <c r="Q84" i="11" s="1"/>
  <c r="Q83" i="11"/>
  <c r="Q82" i="11" s="1"/>
  <c r="Q81" i="11"/>
  <c r="Q80" i="11" s="1"/>
  <c r="Q79" i="11"/>
  <c r="Q78" i="11" s="1"/>
  <c r="Q11" i="11"/>
  <c r="N11" i="11"/>
  <c r="K11" i="11"/>
  <c r="BT497" i="11"/>
  <c r="BT494" i="11"/>
  <c r="BT492" i="11"/>
  <c r="BT390" i="11"/>
  <c r="BT386" i="11"/>
  <c r="BT351" i="11"/>
  <c r="BT346" i="11"/>
  <c r="BT316" i="11"/>
  <c r="BT281" i="11"/>
  <c r="BT263" i="11"/>
  <c r="BT108" i="11"/>
  <c r="BT95" i="11"/>
  <c r="BT90" i="11"/>
  <c r="BT88" i="11"/>
  <c r="BT86" i="11"/>
  <c r="BT84" i="11"/>
  <c r="BT82" i="11"/>
  <c r="BT80" i="11"/>
  <c r="BT78" i="11"/>
  <c r="BT59" i="11"/>
  <c r="BT56" i="11"/>
  <c r="BT52" i="11"/>
  <c r="BT50" i="11"/>
  <c r="BT47" i="11"/>
  <c r="BT45" i="11"/>
  <c r="BT43" i="11"/>
  <c r="BT38" i="11"/>
  <c r="BT30" i="11"/>
  <c r="BT27" i="11"/>
  <c r="BT25" i="11"/>
  <c r="BT23" i="11"/>
  <c r="BT21" i="11"/>
  <c r="BT10" i="11"/>
  <c r="BS497" i="11"/>
  <c r="BS494" i="11"/>
  <c r="BS492" i="11"/>
  <c r="BS390" i="11"/>
  <c r="BS386" i="11"/>
  <c r="BS351" i="11"/>
  <c r="BS346" i="11"/>
  <c r="BS316" i="11"/>
  <c r="BS281" i="11"/>
  <c r="BS263" i="11"/>
  <c r="BS108" i="11"/>
  <c r="BS95" i="11"/>
  <c r="BS90" i="11"/>
  <c r="BS88" i="11"/>
  <c r="BS86" i="11"/>
  <c r="BS84" i="11"/>
  <c r="BS82" i="11"/>
  <c r="BS80" i="11"/>
  <c r="BS78" i="11"/>
  <c r="BS59" i="11"/>
  <c r="BS56" i="11"/>
  <c r="BS52" i="11"/>
  <c r="BS50" i="11"/>
  <c r="BS47" i="11"/>
  <c r="BS45" i="11"/>
  <c r="BS43" i="11"/>
  <c r="BS38" i="11"/>
  <c r="BS30" i="11"/>
  <c r="BS27" i="11"/>
  <c r="BS25" i="11"/>
  <c r="BS23" i="11"/>
  <c r="BS21" i="11"/>
  <c r="BS10" i="11"/>
  <c r="AM492" i="11"/>
  <c r="AM88" i="11"/>
  <c r="AM86" i="11"/>
  <c r="AM84" i="11"/>
  <c r="AM82" i="11"/>
  <c r="AM80" i="11"/>
  <c r="AM78" i="11"/>
  <c r="AM56" i="11"/>
  <c r="AM50" i="11"/>
  <c r="AM45" i="11"/>
  <c r="AM43" i="11"/>
  <c r="AM27" i="11"/>
  <c r="AM25" i="11"/>
  <c r="AM23" i="11"/>
  <c r="AM21" i="11"/>
  <c r="AL492" i="11"/>
  <c r="AL88" i="11"/>
  <c r="AL86" i="11"/>
  <c r="AL84" i="11"/>
  <c r="AL82" i="11"/>
  <c r="AL80" i="11"/>
  <c r="AL78" i="11"/>
  <c r="AL56" i="11"/>
  <c r="AL50" i="11"/>
  <c r="AL45" i="11"/>
  <c r="AL43" i="11"/>
  <c r="AL27" i="11"/>
  <c r="AL25" i="11"/>
  <c r="AL23" i="11"/>
  <c r="AL21" i="11"/>
  <c r="AK500" i="11"/>
  <c r="AK499" i="11"/>
  <c r="AK498" i="11"/>
  <c r="AK496" i="11"/>
  <c r="AK495" i="11"/>
  <c r="AK493" i="11"/>
  <c r="AK492" i="11" s="1"/>
  <c r="AK490" i="11"/>
  <c r="AK489" i="11"/>
  <c r="AK488" i="11"/>
  <c r="AK487" i="11"/>
  <c r="AK486" i="11"/>
  <c r="AK485" i="11"/>
  <c r="AK484" i="11"/>
  <c r="AK483" i="11"/>
  <c r="AK482" i="11"/>
  <c r="AK481" i="11"/>
  <c r="AK480" i="11"/>
  <c r="AK479" i="11"/>
  <c r="AK478" i="11"/>
  <c r="AK477" i="11"/>
  <c r="AK476" i="11"/>
  <c r="AK475" i="11"/>
  <c r="AK474" i="11"/>
  <c r="AK473" i="11"/>
  <c r="AK472" i="11"/>
  <c r="AK471" i="11"/>
  <c r="AK470" i="11"/>
  <c r="AK469" i="11"/>
  <c r="AK468" i="11"/>
  <c r="AK467" i="11"/>
  <c r="AK466" i="11"/>
  <c r="AK465" i="11"/>
  <c r="AK464" i="11"/>
  <c r="AK463" i="11"/>
  <c r="AK462" i="11"/>
  <c r="AK461" i="11"/>
  <c r="AK460" i="11"/>
  <c r="AK459" i="11"/>
  <c r="AK458" i="11"/>
  <c r="AK457" i="11"/>
  <c r="AK456" i="11"/>
  <c r="AK455" i="11"/>
  <c r="AK454" i="11"/>
  <c r="AK453" i="11"/>
  <c r="AK452" i="11"/>
  <c r="AK451" i="11"/>
  <c r="AK450" i="11"/>
  <c r="AK449" i="11"/>
  <c r="AK448" i="11"/>
  <c r="AK447" i="11"/>
  <c r="AK446" i="11"/>
  <c r="AK445" i="11"/>
  <c r="AK444" i="11"/>
  <c r="AK443" i="11"/>
  <c r="AK442" i="11"/>
  <c r="AK441" i="11"/>
  <c r="AK440" i="11"/>
  <c r="AK439" i="11"/>
  <c r="AK438" i="11"/>
  <c r="AK437" i="11"/>
  <c r="AK436" i="11"/>
  <c r="AK435" i="11"/>
  <c r="AK434" i="11"/>
  <c r="AK433" i="11"/>
  <c r="AK432" i="11"/>
  <c r="AK431" i="11"/>
  <c r="AK430" i="11"/>
  <c r="AK429" i="11"/>
  <c r="AK428" i="11"/>
  <c r="AK427" i="11"/>
  <c r="AK426" i="11"/>
  <c r="AK425" i="11"/>
  <c r="AK424" i="11"/>
  <c r="AK423" i="11"/>
  <c r="AK422" i="11"/>
  <c r="AK421" i="11"/>
  <c r="AK420" i="11"/>
  <c r="AK419" i="11"/>
  <c r="AK418" i="11"/>
  <c r="AK417" i="11"/>
  <c r="AK416" i="11"/>
  <c r="AK415" i="11"/>
  <c r="AK414" i="11"/>
  <c r="AK413" i="11"/>
  <c r="AK412" i="11"/>
  <c r="AK411" i="11"/>
  <c r="AK410" i="11"/>
  <c r="AK409" i="11"/>
  <c r="AK408" i="11"/>
  <c r="AK407" i="11"/>
  <c r="AK406" i="11"/>
  <c r="AK405" i="11"/>
  <c r="AK404" i="11"/>
  <c r="AK403" i="11"/>
  <c r="AK402" i="11"/>
  <c r="AK401" i="11"/>
  <c r="AK400" i="11"/>
  <c r="AK399" i="11"/>
  <c r="AK398" i="11"/>
  <c r="AK397" i="11"/>
  <c r="AK396" i="11"/>
  <c r="AK395" i="11"/>
  <c r="AK394" i="11"/>
  <c r="AK393" i="11"/>
  <c r="AK392" i="11"/>
  <c r="AK391" i="11"/>
  <c r="AK389" i="11"/>
  <c r="AK388" i="11"/>
  <c r="AK387" i="11"/>
  <c r="AK385" i="11"/>
  <c r="AK384" i="11"/>
  <c r="AK383" i="11"/>
  <c r="AK382" i="11"/>
  <c r="AK381" i="11"/>
  <c r="AK380" i="11"/>
  <c r="AK379" i="11"/>
  <c r="AK378" i="11"/>
  <c r="AK377" i="11"/>
  <c r="AK376" i="11"/>
  <c r="AK375" i="11"/>
  <c r="AK374" i="11"/>
  <c r="AK373" i="11"/>
  <c r="AK372" i="11"/>
  <c r="AK371" i="11"/>
  <c r="AK370" i="11"/>
  <c r="AK369" i="11"/>
  <c r="AK368" i="11"/>
  <c r="AK367" i="11"/>
  <c r="AK366" i="11"/>
  <c r="AK365" i="11"/>
  <c r="AK364" i="11"/>
  <c r="AK363" i="11"/>
  <c r="AK362" i="11"/>
  <c r="AK361" i="11"/>
  <c r="AK360" i="11"/>
  <c r="AK359" i="11"/>
  <c r="AK358" i="11"/>
  <c r="AK357" i="11"/>
  <c r="AK356" i="11"/>
  <c r="AK355" i="11"/>
  <c r="AK354" i="11"/>
  <c r="AK353" i="11"/>
  <c r="AK352" i="11"/>
  <c r="AK350" i="11"/>
  <c r="AK349" i="11"/>
  <c r="AK348" i="11"/>
  <c r="AK347" i="11"/>
  <c r="AK345" i="11"/>
  <c r="AK344" i="11"/>
  <c r="AK343" i="11"/>
  <c r="AK342" i="11"/>
  <c r="AK341" i="11"/>
  <c r="AK340" i="11"/>
  <c r="AK339" i="11"/>
  <c r="AK338" i="11"/>
  <c r="AK337" i="11"/>
  <c r="AK336" i="11"/>
  <c r="AK335" i="11"/>
  <c r="AK334" i="11"/>
  <c r="AK333" i="11"/>
  <c r="AK332" i="11"/>
  <c r="AK331" i="11"/>
  <c r="AK330" i="11"/>
  <c r="AK329" i="11"/>
  <c r="AK328" i="11"/>
  <c r="AK327" i="11"/>
  <c r="AK326" i="11"/>
  <c r="AK325" i="11"/>
  <c r="AK324" i="11"/>
  <c r="AK323" i="11"/>
  <c r="AK322" i="11"/>
  <c r="AK321" i="11"/>
  <c r="AK320" i="11"/>
  <c r="AK319" i="11"/>
  <c r="AK318" i="11"/>
  <c r="AK317" i="11"/>
  <c r="AK315" i="11"/>
  <c r="AK314" i="11"/>
  <c r="AK313" i="11"/>
  <c r="AK312" i="11"/>
  <c r="AK311" i="11"/>
  <c r="AK310" i="11"/>
  <c r="AK309" i="11"/>
  <c r="AK308" i="11"/>
  <c r="AK307" i="11"/>
  <c r="AK306" i="11"/>
  <c r="AK305" i="11"/>
  <c r="AK304" i="11"/>
  <c r="AK303" i="11"/>
  <c r="AK302" i="11"/>
  <c r="AK301" i="11"/>
  <c r="AK300" i="11"/>
  <c r="AK299" i="11"/>
  <c r="AK298" i="11"/>
  <c r="AK297" i="11"/>
  <c r="AK296" i="11"/>
  <c r="AK295" i="11"/>
  <c r="AK294" i="11"/>
  <c r="AK293" i="11"/>
  <c r="AK292" i="11"/>
  <c r="AK291" i="11"/>
  <c r="AK290" i="11"/>
  <c r="AK289" i="11"/>
  <c r="AK288" i="11"/>
  <c r="AK287" i="11"/>
  <c r="AK286" i="11"/>
  <c r="AK285" i="11"/>
  <c r="AK284" i="11"/>
  <c r="AK283" i="11"/>
  <c r="AK282" i="11"/>
  <c r="AK280" i="11"/>
  <c r="AK279" i="11"/>
  <c r="AK278" i="11"/>
  <c r="AK277" i="11"/>
  <c r="AK276" i="11"/>
  <c r="AK275" i="11"/>
  <c r="AK274" i="11"/>
  <c r="AK273" i="11"/>
  <c r="AK272" i="11"/>
  <c r="AK271" i="11"/>
  <c r="AK270" i="11"/>
  <c r="AK269" i="11"/>
  <c r="AK268" i="11"/>
  <c r="AK267" i="11"/>
  <c r="AK266" i="11"/>
  <c r="AK265" i="11"/>
  <c r="AK264" i="11"/>
  <c r="AK262" i="11"/>
  <c r="AK261" i="11"/>
  <c r="AK260" i="11"/>
  <c r="AK259" i="11"/>
  <c r="AK258" i="11"/>
  <c r="AK257" i="11"/>
  <c r="AK256" i="11"/>
  <c r="AK255" i="11"/>
  <c r="AK254" i="11"/>
  <c r="AK253" i="11"/>
  <c r="AK252" i="11"/>
  <c r="AK251" i="11"/>
  <c r="AK250" i="11"/>
  <c r="AK249" i="11"/>
  <c r="AK248" i="11"/>
  <c r="AK247" i="11"/>
  <c r="AK246" i="11"/>
  <c r="AK245" i="11"/>
  <c r="AK244" i="11"/>
  <c r="AK243" i="11"/>
  <c r="AK242" i="11"/>
  <c r="AK241" i="11"/>
  <c r="AK240" i="11"/>
  <c r="AK239" i="11"/>
  <c r="AK238" i="11"/>
  <c r="AK237" i="11"/>
  <c r="AK236" i="11"/>
  <c r="AK235" i="11"/>
  <c r="AK234" i="11"/>
  <c r="AK233" i="11"/>
  <c r="AK232" i="11"/>
  <c r="AK231" i="11"/>
  <c r="AK230" i="11"/>
  <c r="AK229" i="11"/>
  <c r="AK228" i="11"/>
  <c r="AK227" i="11"/>
  <c r="AK226" i="11"/>
  <c r="AK225" i="11"/>
  <c r="AK224" i="11"/>
  <c r="AK223" i="11"/>
  <c r="AK222" i="11"/>
  <c r="AK221" i="11"/>
  <c r="AK220" i="11"/>
  <c r="AK219" i="11"/>
  <c r="AK218" i="11"/>
  <c r="AK217" i="11"/>
  <c r="AK216" i="11"/>
  <c r="AK215" i="11"/>
  <c r="AK214" i="11"/>
  <c r="AK213" i="11"/>
  <c r="AK212" i="11"/>
  <c r="AK211" i="11"/>
  <c r="AK210" i="11"/>
  <c r="AK209" i="11"/>
  <c r="AK208" i="11"/>
  <c r="AK207" i="11"/>
  <c r="AK206" i="11"/>
  <c r="AK205" i="11"/>
  <c r="AK204" i="11"/>
  <c r="AK203" i="11"/>
  <c r="AK202" i="11"/>
  <c r="AK201" i="11"/>
  <c r="AK200" i="11"/>
  <c r="AK199" i="11"/>
  <c r="AK198" i="11"/>
  <c r="AK197" i="11"/>
  <c r="AK196" i="11"/>
  <c r="AK195" i="11"/>
  <c r="AK194" i="11"/>
  <c r="AK193" i="11"/>
  <c r="AK192" i="11"/>
  <c r="AK191" i="11"/>
  <c r="AK190" i="11"/>
  <c r="AK189" i="11"/>
  <c r="AK188" i="11"/>
  <c r="AK187" i="11"/>
  <c r="AK186" i="11"/>
  <c r="AK185" i="11"/>
  <c r="AK184" i="11"/>
  <c r="AK183" i="11"/>
  <c r="AK182" i="11"/>
  <c r="AK181" i="11"/>
  <c r="AK180" i="11"/>
  <c r="AK179" i="11"/>
  <c r="AK178" i="11"/>
  <c r="AK177" i="11"/>
  <c r="AK176" i="11"/>
  <c r="AK175" i="11"/>
  <c r="AK174" i="11"/>
  <c r="AK173" i="11"/>
  <c r="AK172" i="11"/>
  <c r="AK171" i="11"/>
  <c r="AK170" i="11"/>
  <c r="AK169" i="11"/>
  <c r="AK168" i="11"/>
  <c r="AK167" i="11"/>
  <c r="AK166" i="11"/>
  <c r="AK165" i="11"/>
  <c r="AK164" i="11"/>
  <c r="AK163" i="11"/>
  <c r="AK162" i="11"/>
  <c r="AK161" i="11"/>
  <c r="AK160" i="11"/>
  <c r="AK159" i="11"/>
  <c r="AK158" i="11"/>
  <c r="AK157" i="11"/>
  <c r="AK156" i="11"/>
  <c r="AK155" i="11"/>
  <c r="AK154" i="11"/>
  <c r="AK153" i="11"/>
  <c r="AK152" i="11"/>
  <c r="AK151" i="11"/>
  <c r="AK150" i="11"/>
  <c r="AK149" i="11"/>
  <c r="AK148" i="11"/>
  <c r="AK147" i="11"/>
  <c r="AK146" i="11"/>
  <c r="AK145" i="11"/>
  <c r="AK144" i="11"/>
  <c r="AK143" i="11"/>
  <c r="AK142" i="11"/>
  <c r="AK141" i="11"/>
  <c r="AK140" i="11"/>
  <c r="AK139" i="11"/>
  <c r="AK138" i="11"/>
  <c r="AK137" i="11"/>
  <c r="AK136" i="11"/>
  <c r="AK135" i="11"/>
  <c r="AK134" i="11"/>
  <c r="AK133" i="11"/>
  <c r="AK132" i="11"/>
  <c r="AK131" i="11"/>
  <c r="AK130" i="11"/>
  <c r="AK129" i="11"/>
  <c r="AK128" i="11"/>
  <c r="AK127" i="11"/>
  <c r="AK126" i="11"/>
  <c r="AK125" i="11"/>
  <c r="AK124" i="11"/>
  <c r="AK122" i="11"/>
  <c r="AK121" i="11"/>
  <c r="AK120" i="11"/>
  <c r="AK119" i="11"/>
  <c r="AK118" i="11"/>
  <c r="AK117" i="11"/>
  <c r="AK116" i="11"/>
  <c r="AK115" i="11"/>
  <c r="AK113" i="11"/>
  <c r="AK112" i="11"/>
  <c r="AK111" i="11"/>
  <c r="AK110" i="11"/>
  <c r="AK109" i="11"/>
  <c r="AK106" i="11"/>
  <c r="AK97" i="11"/>
  <c r="AK96" i="11"/>
  <c r="AK94" i="11"/>
  <c r="AK93" i="11"/>
  <c r="AK92" i="11"/>
  <c r="AK91" i="11"/>
  <c r="AK89" i="11"/>
  <c r="AK88" i="11" s="1"/>
  <c r="AK87" i="11"/>
  <c r="AK86" i="11" s="1"/>
  <c r="AK85" i="11"/>
  <c r="AK84" i="11" s="1"/>
  <c r="AK83" i="11"/>
  <c r="AK82" i="11" s="1"/>
  <c r="AK81" i="11"/>
  <c r="AK80" i="11" s="1"/>
  <c r="AK79" i="11"/>
  <c r="AK78" i="11" s="1"/>
  <c r="AK76" i="11"/>
  <c r="AK75" i="11"/>
  <c r="AK73" i="11"/>
  <c r="AK72" i="11"/>
  <c r="AK71" i="11"/>
  <c r="AK70" i="11"/>
  <c r="AK69" i="11"/>
  <c r="AK68" i="11"/>
  <c r="AK67" i="11"/>
  <c r="AK64" i="11"/>
  <c r="AK63" i="11"/>
  <c r="AK62" i="11"/>
  <c r="AK60" i="11"/>
  <c r="AK57" i="11"/>
  <c r="AK56" i="11" s="1"/>
  <c r="AK55" i="11"/>
  <c r="AK53" i="11"/>
  <c r="AK51" i="11"/>
  <c r="AK50" i="11" s="1"/>
  <c r="AK49" i="11"/>
  <c r="AK48" i="11"/>
  <c r="AK46" i="11"/>
  <c r="AK45" i="11" s="1"/>
  <c r="AK44" i="11"/>
  <c r="AK43" i="11" s="1"/>
  <c r="AK42" i="11"/>
  <c r="AK41" i="11"/>
  <c r="AK40" i="11"/>
  <c r="AK39" i="11"/>
  <c r="AK37" i="11"/>
  <c r="AK31" i="11"/>
  <c r="AK28" i="11"/>
  <c r="AK27" i="11" s="1"/>
  <c r="AK26" i="11"/>
  <c r="AK25" i="11" s="1"/>
  <c r="AK24" i="11"/>
  <c r="AK23" i="11" s="1"/>
  <c r="AK21" i="11"/>
  <c r="AK20" i="11"/>
  <c r="AK19" i="11"/>
  <c r="AK18" i="11"/>
  <c r="AK17" i="11"/>
  <c r="AK16" i="11"/>
  <c r="AK14" i="11"/>
  <c r="AK13" i="11"/>
  <c r="BR497" i="11"/>
  <c r="BR494" i="11"/>
  <c r="BR492" i="11"/>
  <c r="BR390" i="11"/>
  <c r="BR386" i="11"/>
  <c r="BR351" i="11"/>
  <c r="BR346" i="11"/>
  <c r="BR316" i="11"/>
  <c r="BR281" i="11"/>
  <c r="BR263" i="11"/>
  <c r="BR108" i="11"/>
  <c r="BR95" i="11"/>
  <c r="BR90" i="11"/>
  <c r="BR88" i="11"/>
  <c r="I28" i="17" s="1"/>
  <c r="BR86" i="11"/>
  <c r="BR84" i="11"/>
  <c r="BR82" i="11"/>
  <c r="BR80" i="11"/>
  <c r="BR78" i="11"/>
  <c r="BR59" i="11"/>
  <c r="BR56" i="11"/>
  <c r="BR52" i="11"/>
  <c r="BR50" i="11"/>
  <c r="BR47" i="11"/>
  <c r="BR45" i="11"/>
  <c r="BR43" i="11"/>
  <c r="BR38" i="11"/>
  <c r="BR30" i="11"/>
  <c r="BR27" i="11"/>
  <c r="BR25" i="11"/>
  <c r="BR23" i="11"/>
  <c r="BR21" i="11"/>
  <c r="I13" i="17" s="1"/>
  <c r="BR18" i="11"/>
  <c r="BR15" i="11"/>
  <c r="AK15" i="11" s="1"/>
  <c r="BR12" i="11"/>
  <c r="AK12" i="11" s="1"/>
  <c r="BR11" i="11"/>
  <c r="BR10" i="11" s="1"/>
  <c r="I11" i="17" s="1"/>
  <c r="AX497" i="11"/>
  <c r="AX494" i="11"/>
  <c r="AX492" i="11"/>
  <c r="Q490" i="11"/>
  <c r="Q489" i="11"/>
  <c r="Q488" i="11"/>
  <c r="Q487" i="11"/>
  <c r="Q486" i="11"/>
  <c r="Q485" i="11"/>
  <c r="Q484" i="11"/>
  <c r="Q483" i="11"/>
  <c r="Q482" i="11"/>
  <c r="Q481" i="11"/>
  <c r="Q480" i="11"/>
  <c r="Q479" i="11"/>
  <c r="Q478" i="11"/>
  <c r="Q477" i="11"/>
  <c r="Q476" i="11"/>
  <c r="Q475" i="11"/>
  <c r="Q474" i="11"/>
  <c r="Q473" i="11"/>
  <c r="Q472" i="11"/>
  <c r="Q471" i="11"/>
  <c r="Q470" i="11"/>
  <c r="Q469" i="11"/>
  <c r="Q467" i="11"/>
  <c r="Q466" i="11"/>
  <c r="Q465" i="11"/>
  <c r="Q464" i="11"/>
  <c r="Q463" i="11"/>
  <c r="Q462" i="11"/>
  <c r="Q461" i="11"/>
  <c r="Q460" i="11"/>
  <c r="Q459" i="11"/>
  <c r="Q458" i="11"/>
  <c r="Q457" i="11"/>
  <c r="Q456" i="11"/>
  <c r="Q455" i="11"/>
  <c r="Q454" i="11"/>
  <c r="Q453" i="11"/>
  <c r="Q452" i="11"/>
  <c r="Q451" i="11"/>
  <c r="Q450" i="11"/>
  <c r="Q449" i="11"/>
  <c r="Q448" i="11"/>
  <c r="Q447" i="11"/>
  <c r="Q446" i="11"/>
  <c r="Q445" i="11"/>
  <c r="Q444" i="11"/>
  <c r="Q443" i="11"/>
  <c r="Q442" i="11"/>
  <c r="Q441" i="11"/>
  <c r="Q440" i="11"/>
  <c r="Q439" i="11"/>
  <c r="Q438" i="11"/>
  <c r="Q437" i="11"/>
  <c r="Q436" i="11"/>
  <c r="Q435" i="11"/>
  <c r="Q434" i="11"/>
  <c r="Q433" i="11"/>
  <c r="Q432" i="11"/>
  <c r="Q431" i="11"/>
  <c r="Q430" i="11"/>
  <c r="Q429" i="11"/>
  <c r="Q428" i="11"/>
  <c r="Q427" i="11"/>
  <c r="Q426" i="11"/>
  <c r="Q425" i="11"/>
  <c r="Q424" i="11"/>
  <c r="Q423" i="11"/>
  <c r="Q422" i="11"/>
  <c r="Q421" i="11"/>
  <c r="Q420" i="11"/>
  <c r="Q419" i="11"/>
  <c r="Q418" i="11"/>
  <c r="Q417" i="11"/>
  <c r="Q416" i="11"/>
  <c r="Q415" i="11"/>
  <c r="Q414" i="11"/>
  <c r="Q413" i="11"/>
  <c r="Q412" i="11"/>
  <c r="Q411" i="11"/>
  <c r="Q410" i="11"/>
  <c r="Q409" i="11"/>
  <c r="Q408" i="11"/>
  <c r="Q407" i="11"/>
  <c r="Q406" i="11"/>
  <c r="Q405" i="11"/>
  <c r="Q403" i="11"/>
  <c r="Q402" i="11"/>
  <c r="Q401" i="11"/>
  <c r="Q400" i="11"/>
  <c r="Q399" i="11"/>
  <c r="Q398" i="11"/>
  <c r="Q397" i="11"/>
  <c r="Q396" i="11"/>
  <c r="Q395" i="11"/>
  <c r="Q394" i="11"/>
  <c r="Q391" i="11"/>
  <c r="Q389" i="11"/>
  <c r="Q388" i="11"/>
  <c r="Q387" i="11"/>
  <c r="Q385" i="11"/>
  <c r="Q384" i="11"/>
  <c r="Q383" i="11"/>
  <c r="Q382" i="11"/>
  <c r="Q381" i="11"/>
  <c r="Q380" i="11"/>
  <c r="Q379" i="11"/>
  <c r="Q378" i="11"/>
  <c r="Q377" i="11"/>
  <c r="Q376" i="11"/>
  <c r="Q375" i="11"/>
  <c r="Q374" i="11"/>
  <c r="Q373" i="11"/>
  <c r="Q372" i="11"/>
  <c r="Q369" i="11"/>
  <c r="Q368" i="11"/>
  <c r="Q367" i="11"/>
  <c r="Q366" i="11"/>
  <c r="Q365" i="11"/>
  <c r="Q364" i="11"/>
  <c r="Q363" i="11"/>
  <c r="Q362" i="11"/>
  <c r="Q361" i="11"/>
  <c r="Q360" i="11"/>
  <c r="Q359" i="11"/>
  <c r="Q358" i="11"/>
  <c r="Q357" i="11"/>
  <c r="Q356" i="11"/>
  <c r="Q355" i="11"/>
  <c r="Q354" i="11"/>
  <c r="Q353" i="11"/>
  <c r="Q352" i="11"/>
  <c r="Q350" i="11"/>
  <c r="Q349" i="11"/>
  <c r="Q348" i="11"/>
  <c r="Q347" i="11"/>
  <c r="Q345" i="11"/>
  <c r="Q344" i="11"/>
  <c r="Q343" i="11"/>
  <c r="Q342" i="11"/>
  <c r="Q341" i="11"/>
  <c r="Q340" i="11"/>
  <c r="Q339" i="11"/>
  <c r="Q338" i="11"/>
  <c r="Q337" i="11"/>
  <c r="Q336" i="11"/>
  <c r="Q335" i="11"/>
  <c r="Q334" i="11"/>
  <c r="Q333" i="11"/>
  <c r="Q332" i="11"/>
  <c r="Q331" i="11"/>
  <c r="Q330" i="11"/>
  <c r="Q329" i="11"/>
  <c r="Q328" i="11"/>
  <c r="Q327" i="11"/>
  <c r="Q326" i="11"/>
  <c r="Q325" i="11"/>
  <c r="Q324" i="11"/>
  <c r="Q323" i="11"/>
  <c r="Q322" i="11"/>
  <c r="Q321" i="11"/>
  <c r="Q320" i="11"/>
  <c r="Q319" i="11"/>
  <c r="Q318" i="11"/>
  <c r="Q317" i="11"/>
  <c r="Q315" i="11"/>
  <c r="Q314" i="11"/>
  <c r="Q313" i="11"/>
  <c r="Q312" i="11"/>
  <c r="Q311" i="11"/>
  <c r="Q310" i="11"/>
  <c r="Q309" i="11"/>
  <c r="Q307" i="11"/>
  <c r="Q306" i="11"/>
  <c r="Q305" i="11"/>
  <c r="Q303" i="11"/>
  <c r="Q302" i="11"/>
  <c r="Q301" i="11"/>
  <c r="Q300" i="11"/>
  <c r="Q299" i="11"/>
  <c r="Q298" i="11"/>
  <c r="Q297" i="11"/>
  <c r="Q296" i="11"/>
  <c r="Q295" i="11"/>
  <c r="Q294" i="11"/>
  <c r="Q293" i="11"/>
  <c r="Q292" i="11"/>
  <c r="Q291" i="11"/>
  <c r="Q290" i="11"/>
  <c r="Q289" i="11"/>
  <c r="Q288" i="11"/>
  <c r="Q287" i="11"/>
  <c r="Q286" i="11"/>
  <c r="Q285" i="11"/>
  <c r="Q284" i="11"/>
  <c r="Q283" i="11"/>
  <c r="Q282" i="11"/>
  <c r="Q280" i="11"/>
  <c r="Q279" i="11"/>
  <c r="Q278" i="11"/>
  <c r="Q277" i="11"/>
  <c r="Q276" i="11"/>
  <c r="Q275" i="11"/>
  <c r="Q274" i="11"/>
  <c r="Q273" i="11"/>
  <c r="Q272" i="11"/>
  <c r="Q271" i="11"/>
  <c r="Q270" i="11"/>
  <c r="Q269" i="11"/>
  <c r="Q268" i="11"/>
  <c r="Q267" i="11"/>
  <c r="Q266" i="11"/>
  <c r="Q265" i="11"/>
  <c r="Q264" i="11"/>
  <c r="Q262" i="11"/>
  <c r="Q261" i="11"/>
  <c r="Q260" i="11"/>
  <c r="Q259" i="11"/>
  <c r="Q258" i="11"/>
  <c r="Q257" i="11"/>
  <c r="Q256" i="11"/>
  <c r="Q255" i="11"/>
  <c r="Q254" i="11"/>
  <c r="Q253" i="11"/>
  <c r="Q252" i="11"/>
  <c r="Q251" i="11"/>
  <c r="Q250" i="11"/>
  <c r="Q249" i="11"/>
  <c r="Q248" i="11"/>
  <c r="Q247" i="11"/>
  <c r="Q246" i="11"/>
  <c r="Q244" i="11"/>
  <c r="Q243" i="11"/>
  <c r="Q242" i="11"/>
  <c r="Q241" i="11"/>
  <c r="Q240" i="11"/>
  <c r="Q239" i="11"/>
  <c r="Q238" i="11"/>
  <c r="Q237" i="11"/>
  <c r="Q236" i="11"/>
  <c r="Q235" i="11"/>
  <c r="Q234" i="11"/>
  <c r="Q233" i="11"/>
  <c r="Q232" i="11"/>
  <c r="Q231" i="11"/>
  <c r="Q230" i="11"/>
  <c r="Q229" i="11"/>
  <c r="Q228" i="11"/>
  <c r="Q227" i="11"/>
  <c r="Q226" i="11"/>
  <c r="Q225" i="11"/>
  <c r="Q224" i="11"/>
  <c r="Q223" i="11"/>
  <c r="Q222" i="11"/>
  <c r="Q221" i="11"/>
  <c r="Q220" i="11"/>
  <c r="Q219" i="11"/>
  <c r="Q218" i="11"/>
  <c r="Q217" i="11"/>
  <c r="Q216" i="11"/>
  <c r="Q215" i="11"/>
  <c r="Q214" i="11"/>
  <c r="Q213" i="11"/>
  <c r="Q212" i="11"/>
  <c r="Q211" i="11"/>
  <c r="Q210" i="11"/>
  <c r="Q209" i="11"/>
  <c r="Q208" i="11"/>
  <c r="Q206" i="11"/>
  <c r="Q205" i="11"/>
  <c r="Q204" i="11"/>
  <c r="Q203" i="11"/>
  <c r="Q202" i="11"/>
  <c r="Q201" i="11"/>
  <c r="Q200" i="11"/>
  <c r="Q198" i="11"/>
  <c r="Q197" i="11"/>
  <c r="Q196" i="11"/>
  <c r="Q195" i="11"/>
  <c r="Q194" i="11"/>
  <c r="Q193" i="11"/>
  <c r="Q192" i="11"/>
  <c r="Q191" i="11"/>
  <c r="Q190" i="11"/>
  <c r="Q189" i="11"/>
  <c r="Q188" i="11"/>
  <c r="Q187" i="11"/>
  <c r="Q186" i="11"/>
  <c r="Q185" i="11"/>
  <c r="Q184" i="11"/>
  <c r="Q183" i="11"/>
  <c r="Q182" i="11"/>
  <c r="Q180" i="11"/>
  <c r="Q171" i="11"/>
  <c r="Q170" i="11"/>
  <c r="Q169" i="11"/>
  <c r="Q168" i="11"/>
  <c r="Q167" i="11"/>
  <c r="Q166" i="11"/>
  <c r="Q165" i="11"/>
  <c r="Q164" i="11"/>
  <c r="Q163" i="11"/>
  <c r="Q162" i="11"/>
  <c r="Q161" i="11"/>
  <c r="Q160" i="11"/>
  <c r="Q159" i="11"/>
  <c r="Q157" i="11"/>
  <c r="Q156" i="11"/>
  <c r="Q155" i="11"/>
  <c r="Q154" i="11"/>
  <c r="Q152" i="11"/>
  <c r="Q151" i="11"/>
  <c r="Q150" i="11"/>
  <c r="Q149" i="11"/>
  <c r="Q148" i="11"/>
  <c r="Q147" i="11"/>
  <c r="Q146" i="11"/>
  <c r="Q145" i="11"/>
  <c r="Q144" i="11"/>
  <c r="Q143" i="11"/>
  <c r="Q142" i="11"/>
  <c r="Q141" i="11"/>
  <c r="Q140" i="11"/>
  <c r="Q139" i="11"/>
  <c r="Q138" i="11"/>
  <c r="Q136" i="11"/>
  <c r="Q135" i="11"/>
  <c r="Q134" i="11"/>
  <c r="Q131" i="11"/>
  <c r="Q130" i="11"/>
  <c r="Q129" i="11"/>
  <c r="Q126" i="11"/>
  <c r="Q125" i="11"/>
  <c r="Q113" i="11"/>
  <c r="Q112" i="11"/>
  <c r="Q106" i="11"/>
  <c r="Q97" i="11"/>
  <c r="Q94" i="11"/>
  <c r="Q93" i="11"/>
  <c r="AX88" i="11"/>
  <c r="F28" i="17" s="1"/>
  <c r="AX86" i="11"/>
  <c r="AX84" i="11"/>
  <c r="AX82" i="11"/>
  <c r="AX80" i="11"/>
  <c r="AX78" i="11"/>
  <c r="Q76" i="11"/>
  <c r="Q75" i="11"/>
  <c r="Q73" i="11"/>
  <c r="Q72" i="11"/>
  <c r="Q71" i="11"/>
  <c r="Q70" i="11"/>
  <c r="Q69" i="11"/>
  <c r="Q68" i="11"/>
  <c r="Q67" i="11"/>
  <c r="Q64" i="11"/>
  <c r="Q63" i="11"/>
  <c r="Q62" i="11"/>
  <c r="Q60" i="11"/>
  <c r="AX56" i="11"/>
  <c r="Q55" i="11"/>
  <c r="Q53" i="11"/>
  <c r="Q49" i="11"/>
  <c r="Q48" i="11"/>
  <c r="AX45" i="11"/>
  <c r="AX43" i="11"/>
  <c r="Q42" i="11"/>
  <c r="Q41" i="11"/>
  <c r="Q40" i="11"/>
  <c r="Q39" i="11"/>
  <c r="Q37" i="11"/>
  <c r="AX31" i="11"/>
  <c r="Q31" i="11" s="1"/>
  <c r="AX27" i="11"/>
  <c r="AX25" i="11"/>
  <c r="AX23" i="11"/>
  <c r="AX21" i="11"/>
  <c r="F13" i="17" s="1"/>
  <c r="AX10" i="11"/>
  <c r="F11" i="17" s="1"/>
  <c r="AG492" i="11"/>
  <c r="AG88" i="11"/>
  <c r="AG86" i="11"/>
  <c r="AG84" i="11"/>
  <c r="AG56" i="11"/>
  <c r="AG50" i="11"/>
  <c r="AG45" i="11"/>
  <c r="AG43" i="11"/>
  <c r="AG27" i="11"/>
  <c r="AG25" i="11"/>
  <c r="AG23" i="11"/>
  <c r="AG21" i="11"/>
  <c r="M10" i="18"/>
  <c r="L10" i="18"/>
  <c r="F10" i="18"/>
  <c r="E10" i="18"/>
  <c r="AK494" i="11" l="1"/>
  <c r="AG92" i="11"/>
  <c r="AX92" i="11"/>
  <c r="Q92" i="11" s="1"/>
  <c r="AK95" i="11"/>
  <c r="BN82" i="11"/>
  <c r="BS491" i="11"/>
  <c r="Q44" i="11"/>
  <c r="BT491" i="11"/>
  <c r="BR491" i="11"/>
  <c r="AK47" i="11"/>
  <c r="AM38" i="11"/>
  <c r="BN78" i="11"/>
  <c r="AM47" i="11"/>
  <c r="BN9" i="11"/>
  <c r="G10" i="17" s="1"/>
  <c r="AM494" i="11"/>
  <c r="AG81" i="11"/>
  <c r="AG80" i="11" s="1"/>
  <c r="BN80" i="11"/>
  <c r="AX50" i="11"/>
  <c r="Q51" i="11"/>
  <c r="Q46" i="11"/>
  <c r="BT107" i="11"/>
  <c r="AM497" i="11"/>
  <c r="BN29" i="11"/>
  <c r="BN90" i="11"/>
  <c r="AG91" i="11"/>
  <c r="BT9" i="11"/>
  <c r="Q57" i="11"/>
  <c r="AM95" i="11"/>
  <c r="AL47" i="11"/>
  <c r="AL497" i="11"/>
  <c r="BN107" i="11"/>
  <c r="BT77" i="11"/>
  <c r="BT29" i="11"/>
  <c r="AG47" i="11"/>
  <c r="BS29" i="11"/>
  <c r="BS107" i="11"/>
  <c r="AL95" i="11"/>
  <c r="BS9" i="11"/>
  <c r="AG30" i="11"/>
  <c r="AL38" i="11"/>
  <c r="AL494" i="11"/>
  <c r="AM30" i="11"/>
  <c r="AM90" i="11"/>
  <c r="BS77" i="11"/>
  <c r="AM263" i="11"/>
  <c r="AX95" i="11"/>
  <c r="AM108" i="11"/>
  <c r="AM390" i="11"/>
  <c r="AL263" i="11"/>
  <c r="AM386" i="11"/>
  <c r="AM351" i="11"/>
  <c r="AM346" i="11"/>
  <c r="AX47" i="11"/>
  <c r="AK52" i="11"/>
  <c r="AL30" i="11"/>
  <c r="AM59" i="11"/>
  <c r="AM316" i="11"/>
  <c r="AK497" i="11"/>
  <c r="AK491" i="11" s="1"/>
  <c r="AL90" i="11"/>
  <c r="AM52" i="11"/>
  <c r="AM281" i="11"/>
  <c r="AL390" i="11"/>
  <c r="AK38" i="11"/>
  <c r="AK90" i="11"/>
  <c r="AL346" i="11"/>
  <c r="AL108" i="11"/>
  <c r="AL351" i="11"/>
  <c r="AX491" i="11"/>
  <c r="BR29" i="11"/>
  <c r="BR77" i="11"/>
  <c r="I23" i="17" s="1"/>
  <c r="AL59" i="11"/>
  <c r="AL316" i="11"/>
  <c r="AK263" i="11"/>
  <c r="AK59" i="11"/>
  <c r="AL386" i="11"/>
  <c r="AG52" i="11"/>
  <c r="AK30" i="11"/>
  <c r="AL52" i="11"/>
  <c r="AL281" i="11"/>
  <c r="AX346" i="11"/>
  <c r="AK351" i="11"/>
  <c r="AK316" i="11"/>
  <c r="AK108" i="11"/>
  <c r="AK386" i="11"/>
  <c r="AK390" i="11"/>
  <c r="AK346" i="11"/>
  <c r="AK281" i="11"/>
  <c r="AG494" i="11"/>
  <c r="AK10" i="11"/>
  <c r="AK9" i="11" s="1"/>
  <c r="AX59" i="11"/>
  <c r="AX386" i="11"/>
  <c r="BR9" i="11"/>
  <c r="I10" i="17" s="1"/>
  <c r="Q497" i="11"/>
  <c r="Q491" i="11" s="1"/>
  <c r="BR107" i="11"/>
  <c r="AG38" i="11"/>
  <c r="AG386" i="11"/>
  <c r="AX9" i="11"/>
  <c r="F10" i="17" s="1"/>
  <c r="AX52" i="11"/>
  <c r="AX30" i="11"/>
  <c r="AX263" i="11"/>
  <c r="AG59" i="11"/>
  <c r="AX316" i="11"/>
  <c r="AX351" i="11"/>
  <c r="AG497" i="11"/>
  <c r="AG281" i="11"/>
  <c r="AX38" i="11"/>
  <c r="Q10" i="11"/>
  <c r="Q9" i="11" s="1"/>
  <c r="AG108" i="11"/>
  <c r="AG390" i="11"/>
  <c r="AG263" i="11"/>
  <c r="AG351" i="11"/>
  <c r="AG346" i="11"/>
  <c r="AG316" i="11"/>
  <c r="G43" i="20"/>
  <c r="G42" i="20"/>
  <c r="G39" i="20"/>
  <c r="G32" i="20"/>
  <c r="G23" i="20"/>
  <c r="G20" i="20"/>
  <c r="G19" i="20"/>
  <c r="G18" i="20"/>
  <c r="G8" i="20" l="1"/>
  <c r="AG90" i="11"/>
  <c r="AG77" i="11" s="1"/>
  <c r="AX90" i="11"/>
  <c r="BS7" i="11"/>
  <c r="BS8" i="11" s="1"/>
  <c r="AM77" i="11"/>
  <c r="BT7" i="11"/>
  <c r="BT8" i="11" s="1"/>
  <c r="BN77" i="11"/>
  <c r="AM491" i="11"/>
  <c r="AL77" i="11"/>
  <c r="AM29" i="11"/>
  <c r="AL491" i="11"/>
  <c r="AK77" i="11"/>
  <c r="AK29" i="11"/>
  <c r="AG29" i="11"/>
  <c r="AX77" i="11"/>
  <c r="F23" i="17" s="1"/>
  <c r="AM107" i="11"/>
  <c r="AL107" i="11"/>
  <c r="AL29" i="11"/>
  <c r="BR7" i="11"/>
  <c r="AM10" i="11"/>
  <c r="AM9" i="11" s="1"/>
  <c r="AK107" i="11"/>
  <c r="AL10" i="11"/>
  <c r="AL9" i="11" s="1"/>
  <c r="AG491" i="11"/>
  <c r="AX29" i="11"/>
  <c r="AG107" i="11"/>
  <c r="G6" i="20"/>
  <c r="C7" i="21"/>
  <c r="BN7" i="11" l="1"/>
  <c r="G23" i="17"/>
  <c r="BR8" i="11"/>
  <c r="I7" i="17"/>
  <c r="AK7" i="11"/>
  <c r="AM7" i="11"/>
  <c r="AL7" i="11"/>
  <c r="G7" i="20"/>
  <c r="G7" i="23" s="1"/>
  <c r="M8" i="18"/>
  <c r="F8" i="18"/>
  <c r="F17" i="20"/>
  <c r="F21" i="20"/>
  <c r="F20" i="20"/>
  <c r="F22" i="20"/>
  <c r="F23" i="20"/>
  <c r="BN8" i="11" l="1"/>
  <c r="G7" i="17"/>
  <c r="B8" i="21"/>
  <c r="B7" i="21"/>
  <c r="B6" i="21"/>
  <c r="C6" i="21"/>
  <c r="BW262" i="11" l="1"/>
  <c r="BH262" i="11"/>
  <c r="AW262" i="11" s="1"/>
  <c r="P262" i="11" s="1"/>
  <c r="BW261" i="11"/>
  <c r="BH261" i="11"/>
  <c r="AA261" i="11" s="1"/>
  <c r="BW260" i="11"/>
  <c r="BH260" i="11"/>
  <c r="AA260" i="11" s="1"/>
  <c r="BC262" i="11"/>
  <c r="AT262" i="11" s="1"/>
  <c r="M262" i="11" s="1"/>
  <c r="AZ262" i="11"/>
  <c r="S262" i="11" s="1"/>
  <c r="AU262" i="11"/>
  <c r="AR262" i="11"/>
  <c r="K262" i="11" s="1"/>
  <c r="AQ262" i="11"/>
  <c r="J262" i="11" s="1"/>
  <c r="AN262" i="11"/>
  <c r="AJ262" i="11"/>
  <c r="AI262" i="11"/>
  <c r="AH262" i="11"/>
  <c r="AF262" i="11"/>
  <c r="AE262" i="11"/>
  <c r="AD262" i="11"/>
  <c r="AC262" i="11"/>
  <c r="AB262" i="11"/>
  <c r="AA262" i="11"/>
  <c r="Z262" i="11"/>
  <c r="Y262" i="11"/>
  <c r="X262" i="11"/>
  <c r="W262" i="11"/>
  <c r="U262" i="11"/>
  <c r="T262" i="11"/>
  <c r="N262" i="11"/>
  <c r="BC261" i="11"/>
  <c r="AT261" i="11" s="1"/>
  <c r="M261" i="11" s="1"/>
  <c r="AZ261" i="11"/>
  <c r="S261" i="11" s="1"/>
  <c r="AU261" i="11"/>
  <c r="N261" i="11" s="1"/>
  <c r="AR261" i="11"/>
  <c r="K261" i="11" s="1"/>
  <c r="AQ261" i="11"/>
  <c r="J261" i="11" s="1"/>
  <c r="AN261" i="11"/>
  <c r="AJ261" i="11"/>
  <c r="AI261" i="11"/>
  <c r="AH261" i="11"/>
  <c r="AF261" i="11"/>
  <c r="AE261" i="11"/>
  <c r="AD261" i="11"/>
  <c r="AC261" i="11"/>
  <c r="AB261" i="11"/>
  <c r="Z261" i="11"/>
  <c r="Y261" i="11"/>
  <c r="X261" i="11"/>
  <c r="W261" i="11"/>
  <c r="U261" i="11"/>
  <c r="T261" i="11"/>
  <c r="BC260" i="11"/>
  <c r="AS260" i="11" s="1"/>
  <c r="L260" i="11" s="1"/>
  <c r="AZ260" i="11"/>
  <c r="S260" i="11" s="1"/>
  <c r="AU260" i="11"/>
  <c r="N260" i="11" s="1"/>
  <c r="AR260" i="11"/>
  <c r="K260" i="11" s="1"/>
  <c r="AQ260" i="11"/>
  <c r="AN260" i="11"/>
  <c r="AJ260" i="11"/>
  <c r="AI260" i="11"/>
  <c r="AH260" i="11"/>
  <c r="AF260" i="11"/>
  <c r="AE260" i="11"/>
  <c r="AD260" i="11"/>
  <c r="AC260" i="11"/>
  <c r="AB260" i="11"/>
  <c r="Z260" i="11"/>
  <c r="Y260" i="11"/>
  <c r="X260" i="11"/>
  <c r="W260" i="11"/>
  <c r="U260" i="11"/>
  <c r="T260" i="11"/>
  <c r="J260" i="11"/>
  <c r="BW259" i="11"/>
  <c r="BH259" i="11"/>
  <c r="AA259" i="11" s="1"/>
  <c r="BC259" i="11"/>
  <c r="AT259" i="11" s="1"/>
  <c r="M259" i="11" s="1"/>
  <c r="AZ259" i="11"/>
  <c r="S259" i="11" s="1"/>
  <c r="AW259" i="11"/>
  <c r="P259" i="11" s="1"/>
  <c r="AU259" i="11"/>
  <c r="N259" i="11" s="1"/>
  <c r="AR259" i="11"/>
  <c r="K259" i="11" s="1"/>
  <c r="AQ259" i="11"/>
  <c r="J259" i="11" s="1"/>
  <c r="AN259" i="11"/>
  <c r="AJ259" i="11"/>
  <c r="AI259" i="11"/>
  <c r="AH259" i="11"/>
  <c r="AF259" i="11"/>
  <c r="AE259" i="11"/>
  <c r="AD259" i="11"/>
  <c r="AC259" i="11"/>
  <c r="AB259" i="11"/>
  <c r="Z259" i="11"/>
  <c r="Y259" i="11"/>
  <c r="X259" i="11"/>
  <c r="W259" i="11"/>
  <c r="U259" i="11"/>
  <c r="T259" i="11"/>
  <c r="BW258" i="11"/>
  <c r="BH258" i="11"/>
  <c r="AV258" i="11" s="1"/>
  <c r="O258" i="11" s="1"/>
  <c r="BC258" i="11"/>
  <c r="AS258" i="11" s="1"/>
  <c r="L258" i="11" s="1"/>
  <c r="AZ258" i="11"/>
  <c r="S258" i="11" s="1"/>
  <c r="AU258" i="11"/>
  <c r="N258" i="11" s="1"/>
  <c r="AR258" i="11"/>
  <c r="K258" i="11" s="1"/>
  <c r="AQ258" i="11"/>
  <c r="J258" i="11" s="1"/>
  <c r="AN258" i="11"/>
  <c r="AJ258" i="11"/>
  <c r="AI258" i="11"/>
  <c r="AH258" i="11"/>
  <c r="AF258" i="11"/>
  <c r="AE258" i="11"/>
  <c r="AD258" i="11"/>
  <c r="AC258" i="11"/>
  <c r="AB258" i="11"/>
  <c r="AA258" i="11"/>
  <c r="Z258" i="11"/>
  <c r="Y258" i="11"/>
  <c r="X258" i="11"/>
  <c r="W258" i="11"/>
  <c r="U258" i="11"/>
  <c r="T258" i="11"/>
  <c r="BH500" i="11"/>
  <c r="V258" i="11" l="1"/>
  <c r="AW258" i="11"/>
  <c r="AP258" i="11" s="1"/>
  <c r="V259" i="11"/>
  <c r="AV259" i="11"/>
  <c r="O259" i="11" s="1"/>
  <c r="R259" i="11"/>
  <c r="V260" i="11"/>
  <c r="V261" i="11"/>
  <c r="V262" i="11"/>
  <c r="AV260" i="11"/>
  <c r="O260" i="11" s="1"/>
  <c r="R261" i="11"/>
  <c r="R258" i="11"/>
  <c r="R260" i="11"/>
  <c r="R262" i="11"/>
  <c r="AV262" i="11"/>
  <c r="O262" i="11" s="1"/>
  <c r="AV261" i="11"/>
  <c r="O261" i="11" s="1"/>
  <c r="AW261" i="11"/>
  <c r="P261" i="11" s="1"/>
  <c r="AW260" i="11"/>
  <c r="P260" i="11" s="1"/>
  <c r="AP262" i="11"/>
  <c r="AS262" i="11"/>
  <c r="L262" i="11" s="1"/>
  <c r="AS261" i="11"/>
  <c r="L261" i="11" s="1"/>
  <c r="AT260" i="11"/>
  <c r="M260" i="11" s="1"/>
  <c r="AS259" i="11"/>
  <c r="L259" i="11" s="1"/>
  <c r="AP259" i="11"/>
  <c r="P258" i="11"/>
  <c r="AT258" i="11"/>
  <c r="M258" i="11" s="1"/>
  <c r="AP261" i="11" l="1"/>
  <c r="AP260" i="11"/>
  <c r="BU88" i="11" l="1"/>
  <c r="BO106" i="11"/>
  <c r="BH106" i="11"/>
  <c r="F44" i="23"/>
  <c r="E44" i="23"/>
  <c r="D44" i="23"/>
  <c r="C44" i="23"/>
  <c r="F42" i="23"/>
  <c r="F43" i="23"/>
  <c r="E41" i="23"/>
  <c r="E42" i="23"/>
  <c r="E43" i="23"/>
  <c r="E40" i="23"/>
  <c r="E36" i="23"/>
  <c r="E37" i="23"/>
  <c r="D35" i="23"/>
  <c r="D36" i="23"/>
  <c r="D37" i="23"/>
  <c r="E34" i="23"/>
  <c r="E18" i="23"/>
  <c r="E19" i="23"/>
  <c r="E20" i="23"/>
  <c r="E21" i="23"/>
  <c r="E22" i="23"/>
  <c r="E23" i="23"/>
  <c r="E26" i="23"/>
  <c r="E27" i="23"/>
  <c r="E29" i="23"/>
  <c r="E30" i="23"/>
  <c r="E31" i="23"/>
  <c r="E17" i="23"/>
  <c r="E11" i="23"/>
  <c r="E12" i="23"/>
  <c r="E13" i="23"/>
  <c r="E14" i="23"/>
  <c r="E15" i="23"/>
  <c r="E10" i="23"/>
  <c r="E9" i="24"/>
  <c r="D34" i="20"/>
  <c r="D34" i="23" s="1"/>
  <c r="F32" i="20"/>
  <c r="AY106" i="11" l="1"/>
  <c r="E9" i="21"/>
  <c r="E10" i="24" s="1"/>
  <c r="N10" i="18" l="1"/>
  <c r="N9" i="16" s="1"/>
  <c r="G10" i="18"/>
  <c r="G11" i="18" l="1"/>
  <c r="G9" i="16"/>
  <c r="F8" i="20"/>
  <c r="F6" i="20" s="1"/>
  <c r="BH257" i="11"/>
  <c r="AW257" i="11" s="1"/>
  <c r="P257" i="11" s="1"/>
  <c r="BH256" i="11"/>
  <c r="AA256" i="11" s="1"/>
  <c r="T256" i="11"/>
  <c r="U256" i="11"/>
  <c r="W256" i="11"/>
  <c r="X256" i="11"/>
  <c r="Y256" i="11"/>
  <c r="Z256" i="11"/>
  <c r="AB256" i="11"/>
  <c r="AC256" i="11"/>
  <c r="AD256" i="11"/>
  <c r="AE256" i="11"/>
  <c r="AF256" i="11"/>
  <c r="AH256" i="11"/>
  <c r="AI256" i="11"/>
  <c r="AJ256" i="11"/>
  <c r="AN256" i="11"/>
  <c r="AQ256" i="11"/>
  <c r="J256" i="11" s="1"/>
  <c r="AR256" i="11"/>
  <c r="K256" i="11" s="1"/>
  <c r="AU256" i="11"/>
  <c r="AZ256" i="11"/>
  <c r="S256" i="11" s="1"/>
  <c r="BC256" i="11"/>
  <c r="V256" i="11" s="1"/>
  <c r="BW256" i="11"/>
  <c r="BW255" i="11"/>
  <c r="BH255" i="11"/>
  <c r="AW255" i="11" s="1"/>
  <c r="P255" i="11" s="1"/>
  <c r="BC255" i="11"/>
  <c r="AT255" i="11" s="1"/>
  <c r="M255" i="11" s="1"/>
  <c r="AZ255" i="11"/>
  <c r="S255" i="11" s="1"/>
  <c r="AU255" i="11"/>
  <c r="N255" i="11" s="1"/>
  <c r="AR255" i="11"/>
  <c r="K255" i="11" s="1"/>
  <c r="AQ255" i="11"/>
  <c r="J255" i="11" s="1"/>
  <c r="AN255" i="11"/>
  <c r="AJ255" i="11"/>
  <c r="AI255" i="11"/>
  <c r="AH255" i="11"/>
  <c r="AF255" i="11"/>
  <c r="AE255" i="11"/>
  <c r="AD255" i="11"/>
  <c r="AC255" i="11"/>
  <c r="AB255" i="11"/>
  <c r="Z255" i="11"/>
  <c r="Y255" i="11"/>
  <c r="X255" i="11"/>
  <c r="W255" i="11"/>
  <c r="U255" i="11"/>
  <c r="T255" i="11"/>
  <c r="BW257" i="11"/>
  <c r="BC257" i="11"/>
  <c r="V257" i="11" s="1"/>
  <c r="AZ257" i="11"/>
  <c r="S257" i="11" s="1"/>
  <c r="AU257" i="11"/>
  <c r="N257" i="11" s="1"/>
  <c r="AR257" i="11"/>
  <c r="AQ257" i="11"/>
  <c r="J257" i="11" s="1"/>
  <c r="AN257" i="11"/>
  <c r="AJ257" i="11"/>
  <c r="AI257" i="11"/>
  <c r="AH257" i="11"/>
  <c r="AF257" i="11"/>
  <c r="AE257" i="11"/>
  <c r="AD257" i="11"/>
  <c r="AC257" i="11"/>
  <c r="AB257" i="11"/>
  <c r="Z257" i="11"/>
  <c r="Y257" i="11"/>
  <c r="X257" i="11"/>
  <c r="W257" i="11"/>
  <c r="U257" i="11"/>
  <c r="T257" i="11"/>
  <c r="AH31" i="11"/>
  <c r="AN31" i="11"/>
  <c r="AJ31" i="11"/>
  <c r="AI22" i="11"/>
  <c r="AJ22" i="11"/>
  <c r="AJ21" i="11" s="1"/>
  <c r="AJ24" i="11"/>
  <c r="AJ23" i="11" s="1"/>
  <c r="AI24" i="11"/>
  <c r="BQ6" i="11"/>
  <c r="AJ6" i="11"/>
  <c r="BQ497" i="11"/>
  <c r="BQ494" i="11"/>
  <c r="BQ492" i="11"/>
  <c r="BQ390" i="11"/>
  <c r="BQ386" i="11"/>
  <c r="BQ351" i="11"/>
  <c r="BQ346" i="11"/>
  <c r="BQ316" i="11"/>
  <c r="BQ281" i="11"/>
  <c r="BQ263" i="11"/>
  <c r="BQ108" i="11"/>
  <c r="BQ95" i="11"/>
  <c r="BQ90" i="11"/>
  <c r="BQ88" i="11"/>
  <c r="BQ86" i="11"/>
  <c r="BQ84" i="11"/>
  <c r="BQ82" i="11"/>
  <c r="BQ80" i="11"/>
  <c r="BQ78" i="11"/>
  <c r="BQ59" i="11"/>
  <c r="BQ56" i="11"/>
  <c r="BQ52" i="11"/>
  <c r="BQ50" i="11"/>
  <c r="BQ47" i="11"/>
  <c r="BQ45" i="11"/>
  <c r="BQ43" i="11"/>
  <c r="BQ38" i="11"/>
  <c r="BQ30" i="11"/>
  <c r="BQ27" i="11"/>
  <c r="BQ25" i="11"/>
  <c r="BQ23" i="11"/>
  <c r="BQ21" i="11"/>
  <c r="BQ18" i="11"/>
  <c r="BQ15" i="11"/>
  <c r="BQ12" i="11"/>
  <c r="AJ12" i="11" s="1"/>
  <c r="BQ11" i="11"/>
  <c r="AJ11" i="11" s="1"/>
  <c r="AJ499" i="11"/>
  <c r="AJ498" i="11"/>
  <c r="AJ496" i="11"/>
  <c r="AJ495" i="11"/>
  <c r="AJ493" i="11"/>
  <c r="AJ492" i="11" s="1"/>
  <c r="AJ490" i="11"/>
  <c r="AJ489" i="11"/>
  <c r="AJ488" i="11"/>
  <c r="AJ487" i="11"/>
  <c r="AJ486" i="11"/>
  <c r="AJ485" i="11"/>
  <c r="AJ484" i="11"/>
  <c r="AJ483" i="11"/>
  <c r="AJ482" i="11"/>
  <c r="AJ481" i="11"/>
  <c r="AJ480" i="11"/>
  <c r="AJ479" i="11"/>
  <c r="AJ478" i="11"/>
  <c r="AJ477" i="11"/>
  <c r="AJ476" i="11"/>
  <c r="AJ475" i="11"/>
  <c r="AJ474" i="11"/>
  <c r="AJ473" i="11"/>
  <c r="AJ472" i="11"/>
  <c r="AJ471" i="11"/>
  <c r="AJ470" i="11"/>
  <c r="AJ469" i="11"/>
  <c r="AJ468" i="11"/>
  <c r="AJ467" i="11"/>
  <c r="AJ466" i="11"/>
  <c r="AJ465" i="11"/>
  <c r="AJ464" i="11"/>
  <c r="AJ463" i="11"/>
  <c r="AJ462" i="11"/>
  <c r="AJ461" i="11"/>
  <c r="AJ460" i="11"/>
  <c r="AJ459" i="11"/>
  <c r="AJ458" i="11"/>
  <c r="AJ457" i="11"/>
  <c r="AJ456" i="11"/>
  <c r="AJ455" i="11"/>
  <c r="AJ454" i="11"/>
  <c r="AJ453" i="11"/>
  <c r="AJ452" i="11"/>
  <c r="AJ451" i="11"/>
  <c r="AJ450" i="11"/>
  <c r="AJ449" i="11"/>
  <c r="AJ448" i="11"/>
  <c r="AJ447" i="11"/>
  <c r="AJ446" i="11"/>
  <c r="AJ445" i="11"/>
  <c r="AJ444" i="11"/>
  <c r="AJ443" i="11"/>
  <c r="AJ442" i="11"/>
  <c r="AJ441" i="11"/>
  <c r="AJ440" i="11"/>
  <c r="AJ439" i="11"/>
  <c r="AJ438" i="11"/>
  <c r="AJ437" i="11"/>
  <c r="AJ436" i="11"/>
  <c r="AJ435" i="11"/>
  <c r="AJ434" i="11"/>
  <c r="AJ433" i="11"/>
  <c r="AJ432" i="11"/>
  <c r="AJ431" i="11"/>
  <c r="AJ430" i="11"/>
  <c r="AJ429" i="11"/>
  <c r="AJ428" i="11"/>
  <c r="AJ427" i="11"/>
  <c r="AJ426" i="11"/>
  <c r="AJ425" i="11"/>
  <c r="AJ424" i="11"/>
  <c r="AJ423" i="11"/>
  <c r="AJ422" i="11"/>
  <c r="AJ421" i="11"/>
  <c r="AJ420" i="11"/>
  <c r="AJ419" i="11"/>
  <c r="AJ418" i="11"/>
  <c r="AJ417" i="11"/>
  <c r="AJ416" i="11"/>
  <c r="AJ415" i="11"/>
  <c r="AJ414" i="11"/>
  <c r="AJ413" i="11"/>
  <c r="AJ412" i="11"/>
  <c r="AJ411" i="11"/>
  <c r="AJ410" i="11"/>
  <c r="AJ409" i="11"/>
  <c r="AJ408" i="11"/>
  <c r="AJ407" i="11"/>
  <c r="AJ406" i="11"/>
  <c r="AJ405" i="11"/>
  <c r="AJ404" i="11"/>
  <c r="AJ403" i="11"/>
  <c r="AJ402" i="11"/>
  <c r="AJ401" i="11"/>
  <c r="AJ400" i="11"/>
  <c r="AJ399" i="11"/>
  <c r="AJ398" i="11"/>
  <c r="AJ397" i="11"/>
  <c r="AJ396" i="11"/>
  <c r="AJ395" i="11"/>
  <c r="AJ394" i="11"/>
  <c r="AJ393" i="11"/>
  <c r="AJ392" i="11"/>
  <c r="AJ391" i="11"/>
  <c r="AJ389" i="11"/>
  <c r="AJ388" i="11"/>
  <c r="AJ387" i="11"/>
  <c r="AJ385" i="11"/>
  <c r="AJ384" i="11"/>
  <c r="AJ383" i="11"/>
  <c r="AJ382" i="11"/>
  <c r="AJ381" i="11"/>
  <c r="AJ380" i="11"/>
  <c r="AJ379" i="11"/>
  <c r="AJ378" i="11"/>
  <c r="AJ377" i="11"/>
  <c r="AJ376" i="11"/>
  <c r="AJ375" i="11"/>
  <c r="AJ374" i="11"/>
  <c r="AJ373" i="11"/>
  <c r="AJ372" i="11"/>
  <c r="AJ371" i="11"/>
  <c r="AJ370" i="11"/>
  <c r="AJ369" i="11"/>
  <c r="AJ368" i="11"/>
  <c r="AJ367" i="11"/>
  <c r="AJ366" i="11"/>
  <c r="AJ365" i="11"/>
  <c r="AJ364" i="11"/>
  <c r="AJ363" i="11"/>
  <c r="AJ362" i="11"/>
  <c r="AJ361" i="11"/>
  <c r="AJ360" i="11"/>
  <c r="AJ359" i="11"/>
  <c r="AJ358" i="11"/>
  <c r="AJ357" i="11"/>
  <c r="AJ356" i="11"/>
  <c r="AJ355" i="11"/>
  <c r="AJ354" i="11"/>
  <c r="AJ353" i="11"/>
  <c r="AJ352" i="11"/>
  <c r="AJ350" i="11"/>
  <c r="AJ349" i="11"/>
  <c r="AJ348" i="11"/>
  <c r="AJ347" i="11"/>
  <c r="AJ345" i="11"/>
  <c r="AJ344" i="11"/>
  <c r="AJ343" i="11"/>
  <c r="AJ342" i="11"/>
  <c r="AJ341" i="11"/>
  <c r="AJ340" i="11"/>
  <c r="AJ339" i="11"/>
  <c r="AJ338" i="11"/>
  <c r="AJ337" i="11"/>
  <c r="AJ336" i="11"/>
  <c r="AJ335" i="11"/>
  <c r="AJ334" i="11"/>
  <c r="AJ333" i="11"/>
  <c r="AJ332" i="11"/>
  <c r="AJ331" i="11"/>
  <c r="AJ330" i="11"/>
  <c r="AJ329" i="11"/>
  <c r="AJ328" i="11"/>
  <c r="AJ327" i="11"/>
  <c r="AJ326" i="11"/>
  <c r="AJ325" i="11"/>
  <c r="AJ324" i="11"/>
  <c r="AJ323" i="11"/>
  <c r="AJ322" i="11"/>
  <c r="AJ321" i="11"/>
  <c r="AJ320" i="11"/>
  <c r="AJ319" i="11"/>
  <c r="AJ318" i="11"/>
  <c r="AJ317" i="11"/>
  <c r="AJ315" i="11"/>
  <c r="AJ314" i="11"/>
  <c r="AJ313" i="11"/>
  <c r="AJ312" i="11"/>
  <c r="AJ311" i="11"/>
  <c r="AJ310" i="11"/>
  <c r="AJ309" i="11"/>
  <c r="AJ308" i="11"/>
  <c r="AJ307" i="11"/>
  <c r="AJ306" i="11"/>
  <c r="AJ305" i="11"/>
  <c r="AJ304" i="11"/>
  <c r="AJ303" i="11"/>
  <c r="AJ302" i="11"/>
  <c r="AJ301" i="11"/>
  <c r="AJ300" i="11"/>
  <c r="AJ299" i="11"/>
  <c r="AJ298" i="11"/>
  <c r="AJ297" i="11"/>
  <c r="AJ296" i="11"/>
  <c r="AJ295" i="11"/>
  <c r="AJ294" i="11"/>
  <c r="AJ293" i="11"/>
  <c r="AJ292" i="11"/>
  <c r="AJ291" i="11"/>
  <c r="AJ290" i="11"/>
  <c r="AJ289" i="11"/>
  <c r="AJ288" i="11"/>
  <c r="AJ287" i="11"/>
  <c r="AJ286" i="11"/>
  <c r="AJ285" i="11"/>
  <c r="AJ284" i="11"/>
  <c r="AJ283" i="11"/>
  <c r="AJ282" i="11"/>
  <c r="AJ280" i="11"/>
  <c r="AJ279" i="11"/>
  <c r="AJ278" i="11"/>
  <c r="AJ277" i="11"/>
  <c r="AJ276" i="11"/>
  <c r="AJ275" i="11"/>
  <c r="AJ274" i="11"/>
  <c r="AJ273" i="11"/>
  <c r="AJ272" i="11"/>
  <c r="AJ271" i="11"/>
  <c r="AJ270" i="11"/>
  <c r="AJ269" i="11"/>
  <c r="AJ268" i="11"/>
  <c r="AJ267" i="11"/>
  <c r="AJ266" i="11"/>
  <c r="AJ265" i="11"/>
  <c r="AJ264" i="11"/>
  <c r="AJ254" i="11"/>
  <c r="AJ253" i="11"/>
  <c r="AJ252" i="11"/>
  <c r="AJ251" i="11"/>
  <c r="AJ250" i="11"/>
  <c r="AJ249" i="11"/>
  <c r="AJ248" i="11"/>
  <c r="AJ247" i="11"/>
  <c r="AJ246" i="11"/>
  <c r="AJ245" i="11"/>
  <c r="AJ244" i="11"/>
  <c r="AJ243" i="11"/>
  <c r="AJ242" i="11"/>
  <c r="AJ241" i="11"/>
  <c r="AJ240" i="11"/>
  <c r="AJ239" i="11"/>
  <c r="AJ238" i="11"/>
  <c r="AJ237" i="11"/>
  <c r="AJ236" i="11"/>
  <c r="AJ235" i="11"/>
  <c r="AJ234" i="11"/>
  <c r="AJ233" i="11"/>
  <c r="AJ232" i="11"/>
  <c r="AJ231" i="11"/>
  <c r="AJ230" i="11"/>
  <c r="AJ229" i="11"/>
  <c r="AJ228" i="11"/>
  <c r="AJ227" i="11"/>
  <c r="AJ226" i="11"/>
  <c r="AJ225" i="11"/>
  <c r="AJ224" i="11"/>
  <c r="AJ223" i="11"/>
  <c r="AJ222" i="11"/>
  <c r="AJ221" i="11"/>
  <c r="AJ220" i="11"/>
  <c r="AJ219" i="11"/>
  <c r="AJ218" i="11"/>
  <c r="AJ217" i="11"/>
  <c r="AJ216" i="11"/>
  <c r="AJ215" i="11"/>
  <c r="AJ214" i="11"/>
  <c r="AJ213" i="11"/>
  <c r="AJ212" i="11"/>
  <c r="AJ211" i="11"/>
  <c r="AJ210" i="11"/>
  <c r="AJ209" i="11"/>
  <c r="AJ208" i="11"/>
  <c r="AJ207" i="11"/>
  <c r="AJ206" i="11"/>
  <c r="AJ205" i="11"/>
  <c r="AJ204" i="11"/>
  <c r="AJ203" i="11"/>
  <c r="AJ202" i="11"/>
  <c r="AJ201" i="11"/>
  <c r="AJ200" i="11"/>
  <c r="AJ199" i="11"/>
  <c r="AJ198" i="11"/>
  <c r="AJ197" i="11"/>
  <c r="AJ196" i="11"/>
  <c r="AJ195" i="11"/>
  <c r="AJ194" i="11"/>
  <c r="AJ193" i="11"/>
  <c r="AJ192" i="11"/>
  <c r="AJ191" i="11"/>
  <c r="AJ190" i="11"/>
  <c r="AJ189" i="11"/>
  <c r="AJ188" i="11"/>
  <c r="AJ187" i="11"/>
  <c r="AJ186" i="11"/>
  <c r="AJ185" i="11"/>
  <c r="AJ184" i="11"/>
  <c r="AJ183" i="11"/>
  <c r="AJ182" i="11"/>
  <c r="AJ181" i="11"/>
  <c r="AJ180" i="11"/>
  <c r="AJ179" i="11"/>
  <c r="AJ178" i="11"/>
  <c r="AJ177" i="11"/>
  <c r="AJ176" i="11"/>
  <c r="AJ175" i="11"/>
  <c r="AJ174" i="11"/>
  <c r="AJ173" i="11"/>
  <c r="AJ172" i="11"/>
  <c r="AJ171" i="11"/>
  <c r="AJ170" i="11"/>
  <c r="AJ169" i="11"/>
  <c r="AJ168" i="11"/>
  <c r="AJ167" i="11"/>
  <c r="AJ166" i="11"/>
  <c r="AJ165" i="11"/>
  <c r="AJ164" i="11"/>
  <c r="AJ163" i="11"/>
  <c r="AJ162" i="11"/>
  <c r="AJ161" i="11"/>
  <c r="AJ160" i="11"/>
  <c r="AJ159" i="11"/>
  <c r="AJ158" i="11"/>
  <c r="AJ157" i="11"/>
  <c r="AJ156" i="11"/>
  <c r="AJ155" i="11"/>
  <c r="AJ154" i="11"/>
  <c r="AJ153" i="11"/>
  <c r="AJ152" i="11"/>
  <c r="AJ151" i="11"/>
  <c r="AJ150" i="11"/>
  <c r="AJ149" i="11"/>
  <c r="AJ148" i="11"/>
  <c r="AJ147" i="11"/>
  <c r="AJ146" i="11"/>
  <c r="AJ145" i="11"/>
  <c r="AJ144" i="11"/>
  <c r="AJ143" i="11"/>
  <c r="AJ142" i="11"/>
  <c r="AJ141" i="11"/>
  <c r="AJ140" i="11"/>
  <c r="AJ139" i="11"/>
  <c r="AJ138" i="11"/>
  <c r="AJ137" i="11"/>
  <c r="AJ136" i="11"/>
  <c r="AJ135" i="11"/>
  <c r="AJ134" i="11"/>
  <c r="AJ133" i="11"/>
  <c r="AJ132" i="11"/>
  <c r="AJ131" i="11"/>
  <c r="AJ130" i="11"/>
  <c r="AJ129" i="11"/>
  <c r="AJ128" i="11"/>
  <c r="AJ127" i="11"/>
  <c r="AJ126" i="11"/>
  <c r="AJ125" i="11"/>
  <c r="AJ124" i="11"/>
  <c r="AJ122" i="11"/>
  <c r="AJ121" i="11"/>
  <c r="AJ120" i="11"/>
  <c r="AJ119" i="11"/>
  <c r="AJ118" i="11"/>
  <c r="AJ117" i="11"/>
  <c r="AJ116" i="11"/>
  <c r="AJ115" i="11"/>
  <c r="AJ113" i="11"/>
  <c r="AJ112" i="11"/>
  <c r="AJ111" i="11"/>
  <c r="AJ110" i="11"/>
  <c r="AJ109" i="11"/>
  <c r="AJ106" i="11"/>
  <c r="AJ97" i="11"/>
  <c r="AJ96" i="11"/>
  <c r="AJ94" i="11"/>
  <c r="AJ93" i="11"/>
  <c r="AJ92" i="11"/>
  <c r="AJ91" i="11"/>
  <c r="AJ89" i="11"/>
  <c r="AJ88" i="11" s="1"/>
  <c r="AJ87" i="11"/>
  <c r="AJ86" i="11" s="1"/>
  <c r="AJ85" i="11"/>
  <c r="AJ84" i="11" s="1"/>
  <c r="AJ83" i="11"/>
  <c r="AJ82" i="11" s="1"/>
  <c r="AJ81" i="11"/>
  <c r="AJ80" i="11" s="1"/>
  <c r="AJ79" i="11"/>
  <c r="AJ78" i="11" s="1"/>
  <c r="AJ76" i="11"/>
  <c r="AJ75" i="11"/>
  <c r="AJ73" i="11"/>
  <c r="AJ72" i="11"/>
  <c r="AJ71" i="11"/>
  <c r="AJ70" i="11"/>
  <c r="AJ69" i="11"/>
  <c r="AJ68" i="11"/>
  <c r="AJ67" i="11"/>
  <c r="AJ64" i="11"/>
  <c r="AJ63" i="11"/>
  <c r="AJ62" i="11"/>
  <c r="AJ60" i="11"/>
  <c r="AJ57" i="11"/>
  <c r="AJ56" i="11" s="1"/>
  <c r="AJ55" i="11"/>
  <c r="AJ53" i="11"/>
  <c r="AJ51" i="11"/>
  <c r="AJ50" i="11" s="1"/>
  <c r="AJ49" i="11"/>
  <c r="AJ48" i="11"/>
  <c r="AJ46" i="11"/>
  <c r="AJ45" i="11" s="1"/>
  <c r="AJ44" i="11"/>
  <c r="AJ43" i="11" s="1"/>
  <c r="AJ42" i="11"/>
  <c r="AJ41" i="11"/>
  <c r="AJ40" i="11"/>
  <c r="AJ39" i="11"/>
  <c r="AJ37" i="11"/>
  <c r="AJ28" i="11"/>
  <c r="AJ27" i="11" s="1"/>
  <c r="AJ26" i="11"/>
  <c r="AJ25" i="11" s="1"/>
  <c r="AJ20" i="11"/>
  <c r="AJ19" i="11"/>
  <c r="AJ18" i="11"/>
  <c r="AJ17" i="11"/>
  <c r="AJ16" i="11"/>
  <c r="AJ15" i="11"/>
  <c r="AJ14" i="11"/>
  <c r="AJ13" i="11"/>
  <c r="L8" i="18" l="1"/>
  <c r="E8" i="18"/>
  <c r="R256" i="11"/>
  <c r="R257" i="11"/>
  <c r="R255" i="11"/>
  <c r="V255" i="11"/>
  <c r="AW256" i="11"/>
  <c r="P256" i="11" s="1"/>
  <c r="AS255" i="11"/>
  <c r="L255" i="11" s="1"/>
  <c r="AT256" i="11"/>
  <c r="M256" i="11" s="1"/>
  <c r="AS256" i="11"/>
  <c r="L256" i="11" s="1"/>
  <c r="N256" i="11"/>
  <c r="AV256" i="11"/>
  <c r="O256" i="11" s="1"/>
  <c r="AA255" i="11"/>
  <c r="AV255" i="11"/>
  <c r="O255" i="11" s="1"/>
  <c r="AP257" i="11"/>
  <c r="AP255" i="11"/>
  <c r="AS257" i="11"/>
  <c r="L257" i="11" s="1"/>
  <c r="AJ500" i="11"/>
  <c r="AJ497" i="11" s="1"/>
  <c r="BQ10" i="11"/>
  <c r="AA257" i="11"/>
  <c r="AV257" i="11"/>
  <c r="O257" i="11" s="1"/>
  <c r="K257" i="11"/>
  <c r="AT257" i="11"/>
  <c r="M257" i="11" s="1"/>
  <c r="AJ494" i="11"/>
  <c r="BQ77" i="11"/>
  <c r="AJ108" i="11"/>
  <c r="AJ95" i="11"/>
  <c r="BQ29" i="11"/>
  <c r="AJ281" i="11"/>
  <c r="BQ107" i="11"/>
  <c r="BQ491" i="11"/>
  <c r="AJ386" i="11"/>
  <c r="AJ38" i="11"/>
  <c r="AJ47" i="11"/>
  <c r="AJ10" i="11"/>
  <c r="AJ9" i="11" s="1"/>
  <c r="AJ90" i="11"/>
  <c r="AJ263" i="11"/>
  <c r="AJ346" i="11"/>
  <c r="AJ52" i="11"/>
  <c r="AJ316" i="11"/>
  <c r="AJ30" i="11"/>
  <c r="AJ59" i="11"/>
  <c r="AJ351" i="11"/>
  <c r="AJ390" i="11"/>
  <c r="BQ9" i="11" l="1"/>
  <c r="AP256" i="11"/>
  <c r="AJ77" i="11"/>
  <c r="AJ491" i="11"/>
  <c r="AJ107" i="11"/>
  <c r="AJ29" i="11"/>
  <c r="BQ7" i="11" l="1"/>
  <c r="BQ8" i="11" s="1"/>
  <c r="AJ7" i="11"/>
  <c r="BM190" i="11"/>
  <c r="BM172" i="11"/>
  <c r="AF499" i="11"/>
  <c r="AF498" i="11"/>
  <c r="AF496" i="11"/>
  <c r="AF495" i="11"/>
  <c r="AF493" i="11"/>
  <c r="AF492" i="11" s="1"/>
  <c r="AF490" i="11"/>
  <c r="AF489" i="11"/>
  <c r="AF488" i="11"/>
  <c r="AF487" i="11"/>
  <c r="AF486" i="11"/>
  <c r="AF485" i="11"/>
  <c r="AF484" i="11"/>
  <c r="AF483" i="11"/>
  <c r="AF482" i="11"/>
  <c r="AF481" i="11"/>
  <c r="AF480" i="11"/>
  <c r="AF479" i="11"/>
  <c r="AF478" i="11"/>
  <c r="AF477" i="11"/>
  <c r="AF476" i="11"/>
  <c r="AF474" i="11"/>
  <c r="AF473" i="11"/>
  <c r="AF472" i="11"/>
  <c r="AF471" i="11"/>
  <c r="AF470" i="11"/>
  <c r="AF469" i="11"/>
  <c r="AF468" i="11"/>
  <c r="AF467" i="11"/>
  <c r="AF466" i="11"/>
  <c r="AF465" i="11"/>
  <c r="AF464" i="11"/>
  <c r="AF463" i="11"/>
  <c r="AF462" i="11"/>
  <c r="AF461" i="11"/>
  <c r="AF460" i="11"/>
  <c r="AF459" i="11"/>
  <c r="AF458" i="11"/>
  <c r="AF457" i="11"/>
  <c r="AF456" i="11"/>
  <c r="AF455" i="11"/>
  <c r="AF454" i="11"/>
  <c r="AF453" i="11"/>
  <c r="AF452" i="11"/>
  <c r="AF451" i="11"/>
  <c r="AF450" i="11"/>
  <c r="AF449" i="11"/>
  <c r="AF448" i="11"/>
  <c r="AF447" i="11"/>
  <c r="AF446" i="11"/>
  <c r="AF445" i="11"/>
  <c r="AF444" i="11"/>
  <c r="AF443" i="11"/>
  <c r="AF442" i="11"/>
  <c r="AF441" i="11"/>
  <c r="AF440" i="11"/>
  <c r="AF439" i="11"/>
  <c r="AF438" i="11"/>
  <c r="AF437" i="11"/>
  <c r="AF436" i="11"/>
  <c r="AF435" i="11"/>
  <c r="AF434" i="11"/>
  <c r="AF433" i="11"/>
  <c r="AF432" i="11"/>
  <c r="AF431" i="11"/>
  <c r="AF430" i="11"/>
  <c r="AF429" i="11"/>
  <c r="AF428" i="11"/>
  <c r="AF427" i="11"/>
  <c r="AF426" i="11"/>
  <c r="AF425" i="11"/>
  <c r="AF424" i="11"/>
  <c r="AF423" i="11"/>
  <c r="AF422" i="11"/>
  <c r="AF421" i="11"/>
  <c r="AF420" i="11"/>
  <c r="AF419" i="11"/>
  <c r="AF418" i="11"/>
  <c r="AF417" i="11"/>
  <c r="AF416" i="11"/>
  <c r="AF415" i="11"/>
  <c r="AF414" i="11"/>
  <c r="AF413" i="11"/>
  <c r="AF412" i="11"/>
  <c r="AF411" i="11"/>
  <c r="AF410" i="11"/>
  <c r="AF409" i="11"/>
  <c r="AF408" i="11"/>
  <c r="AF407" i="11"/>
  <c r="AF406" i="11"/>
  <c r="AF405" i="11"/>
  <c r="AF404" i="11"/>
  <c r="AF403" i="11"/>
  <c r="AF402" i="11"/>
  <c r="AF401" i="11"/>
  <c r="AF400" i="11"/>
  <c r="AF399" i="11"/>
  <c r="AF398" i="11"/>
  <c r="AF397" i="11"/>
  <c r="AF396" i="11"/>
  <c r="AF395" i="11"/>
  <c r="AF394" i="11"/>
  <c r="AF393" i="11"/>
  <c r="AF392" i="11"/>
  <c r="AF391" i="11"/>
  <c r="AF389" i="11"/>
  <c r="AF388" i="11"/>
  <c r="AF387" i="11"/>
  <c r="AF385" i="11"/>
  <c r="AF384" i="11"/>
  <c r="AF383" i="11"/>
  <c r="AF382" i="11"/>
  <c r="AF381" i="11"/>
  <c r="AF380" i="11"/>
  <c r="AF379" i="11"/>
  <c r="AF378" i="11"/>
  <c r="AF377" i="11"/>
  <c r="AF376" i="11"/>
  <c r="AF375" i="11"/>
  <c r="AF374" i="11"/>
  <c r="AF373" i="11"/>
  <c r="AF372" i="11"/>
  <c r="AF371" i="11"/>
  <c r="AF370" i="11"/>
  <c r="AF369" i="11"/>
  <c r="AF368" i="11"/>
  <c r="AF367" i="11"/>
  <c r="AF366" i="11"/>
  <c r="AF365" i="11"/>
  <c r="AF364" i="11"/>
  <c r="AF363" i="11"/>
  <c r="AF362" i="11"/>
  <c r="AF361" i="11"/>
  <c r="AF360" i="11"/>
  <c r="AF359" i="11"/>
  <c r="AF358" i="11"/>
  <c r="AF357" i="11"/>
  <c r="AF356" i="11"/>
  <c r="AF355" i="11"/>
  <c r="AF354" i="11"/>
  <c r="AF353" i="11"/>
  <c r="AF350" i="11"/>
  <c r="AF349" i="11"/>
  <c r="AF348" i="11"/>
  <c r="AF347" i="11"/>
  <c r="AF345" i="11"/>
  <c r="AF344" i="11"/>
  <c r="AF343" i="11"/>
  <c r="AF342" i="11"/>
  <c r="AF341" i="11"/>
  <c r="AF340" i="11"/>
  <c r="AF339" i="11"/>
  <c r="AF338" i="11"/>
  <c r="AF337" i="11"/>
  <c r="AF336" i="11"/>
  <c r="AF335" i="11"/>
  <c r="AF334" i="11"/>
  <c r="AF333" i="11"/>
  <c r="AF332" i="11"/>
  <c r="AF331" i="11"/>
  <c r="AF330" i="11"/>
  <c r="AF329" i="11"/>
  <c r="AF328" i="11"/>
  <c r="AF327" i="11"/>
  <c r="AF326" i="11"/>
  <c r="AF325" i="11"/>
  <c r="AF324" i="11"/>
  <c r="AF323" i="11"/>
  <c r="AF322" i="11"/>
  <c r="AF321" i="11"/>
  <c r="AF320" i="11"/>
  <c r="AF319" i="11"/>
  <c r="AF318" i="11"/>
  <c r="AF317" i="11"/>
  <c r="AF315" i="11"/>
  <c r="AF314" i="11"/>
  <c r="AF313" i="11"/>
  <c r="AF312" i="11"/>
  <c r="AF311" i="11"/>
  <c r="AF310" i="11"/>
  <c r="AF309" i="11"/>
  <c r="AF308" i="11"/>
  <c r="AF307" i="11"/>
  <c r="AF306" i="11"/>
  <c r="AF305" i="11"/>
  <c r="AF304" i="11"/>
  <c r="AF303" i="11"/>
  <c r="AF302" i="11"/>
  <c r="AF301" i="11"/>
  <c r="AF300" i="11"/>
  <c r="AF299" i="11"/>
  <c r="AF298" i="11"/>
  <c r="AF297" i="11"/>
  <c r="AF296" i="11"/>
  <c r="AF295" i="11"/>
  <c r="AF294" i="11"/>
  <c r="AF293" i="11"/>
  <c r="AF292" i="11"/>
  <c r="AF291" i="11"/>
  <c r="AF290" i="11"/>
  <c r="AF289" i="11"/>
  <c r="AF288" i="11"/>
  <c r="AF287" i="11"/>
  <c r="AF286" i="11"/>
  <c r="AF285" i="11"/>
  <c r="AF284" i="11"/>
  <c r="AF283" i="11"/>
  <c r="AF282" i="11"/>
  <c r="AF280" i="11"/>
  <c r="AF279" i="11"/>
  <c r="AF278" i="11"/>
  <c r="AF277" i="11"/>
  <c r="AF276" i="11"/>
  <c r="AF275" i="11"/>
  <c r="AF274" i="11"/>
  <c r="AF273" i="11"/>
  <c r="AF272" i="11"/>
  <c r="AF271" i="11"/>
  <c r="AF270" i="11"/>
  <c r="AF269" i="11"/>
  <c r="AF268" i="11"/>
  <c r="AF267" i="11"/>
  <c r="AF266" i="11"/>
  <c r="AF265" i="11"/>
  <c r="AF264" i="11"/>
  <c r="AF254" i="11"/>
  <c r="AF253" i="11"/>
  <c r="AF252" i="11"/>
  <c r="AF251" i="11"/>
  <c r="AF250" i="11"/>
  <c r="AF249" i="11"/>
  <c r="AF248" i="11"/>
  <c r="AF247" i="11"/>
  <c r="AF246" i="11"/>
  <c r="AF245" i="11"/>
  <c r="AF244" i="11"/>
  <c r="AF243" i="11"/>
  <c r="AF242" i="11"/>
  <c r="AF241" i="11"/>
  <c r="AF240" i="11"/>
  <c r="AF239" i="11"/>
  <c r="AF238" i="11"/>
  <c r="AF237" i="11"/>
  <c r="AF236" i="11"/>
  <c r="AF235" i="11"/>
  <c r="AF234" i="11"/>
  <c r="AF233" i="11"/>
  <c r="AF232" i="11"/>
  <c r="AF231" i="11"/>
  <c r="AF230" i="11"/>
  <c r="AF229" i="11"/>
  <c r="AF228" i="11"/>
  <c r="AF227" i="11"/>
  <c r="AF226" i="11"/>
  <c r="AF225" i="11"/>
  <c r="AF224" i="11"/>
  <c r="AF223" i="11"/>
  <c r="AF222" i="11"/>
  <c r="AF221" i="11"/>
  <c r="AF220" i="11"/>
  <c r="AF219" i="11"/>
  <c r="AF218" i="11"/>
  <c r="AF217" i="11"/>
  <c r="AF216" i="11"/>
  <c r="AF215" i="11"/>
  <c r="AF214" i="11"/>
  <c r="AF213" i="11"/>
  <c r="AF212" i="11"/>
  <c r="AF211" i="11"/>
  <c r="AF210" i="11"/>
  <c r="AF209" i="11"/>
  <c r="AF208" i="11"/>
  <c r="AF207" i="11"/>
  <c r="AF206" i="11"/>
  <c r="AF205" i="11"/>
  <c r="AF204" i="11"/>
  <c r="AF203" i="11"/>
  <c r="AF202" i="11"/>
  <c r="AF201" i="11"/>
  <c r="AF200" i="11"/>
  <c r="AF199" i="11"/>
  <c r="AF198" i="11"/>
  <c r="AF197" i="11"/>
  <c r="AF196" i="11"/>
  <c r="AF195" i="11"/>
  <c r="AF194" i="11"/>
  <c r="AF193" i="11"/>
  <c r="AF192" i="11"/>
  <c r="AF191" i="11"/>
  <c r="AF190" i="11"/>
  <c r="AF189" i="11"/>
  <c r="AF188" i="11"/>
  <c r="AF187" i="11"/>
  <c r="AF186" i="11"/>
  <c r="AF185" i="11"/>
  <c r="AF184" i="11"/>
  <c r="AF183" i="11"/>
  <c r="AF182" i="11"/>
  <c r="AF181" i="11"/>
  <c r="AF180" i="11"/>
  <c r="AF172" i="11"/>
  <c r="AF171" i="11"/>
  <c r="AF170" i="11"/>
  <c r="AF169" i="11"/>
  <c r="AF168" i="11"/>
  <c r="AF167" i="11"/>
  <c r="AF166" i="11"/>
  <c r="AF165" i="11"/>
  <c r="AF164" i="11"/>
  <c r="AF163" i="11"/>
  <c r="AF162" i="11"/>
  <c r="AF161" i="11"/>
  <c r="AF160" i="11"/>
  <c r="AF159" i="11"/>
  <c r="AF158" i="11"/>
  <c r="AF157" i="11"/>
  <c r="AF156" i="11"/>
  <c r="AF155" i="11"/>
  <c r="AF154" i="11"/>
  <c r="AF153" i="11"/>
  <c r="AF152" i="11"/>
  <c r="AF151" i="11"/>
  <c r="AF150" i="11"/>
  <c r="AF149" i="11"/>
  <c r="AF148" i="11"/>
  <c r="AF147" i="11"/>
  <c r="AF146" i="11"/>
  <c r="AF145" i="11"/>
  <c r="AF144" i="11"/>
  <c r="AF143" i="11"/>
  <c r="AF142" i="11"/>
  <c r="AF141" i="11"/>
  <c r="AF140" i="11"/>
  <c r="AF139" i="11"/>
  <c r="AF138" i="11"/>
  <c r="AF137" i="11"/>
  <c r="AF136" i="11"/>
  <c r="AF135" i="11"/>
  <c r="AF134" i="11"/>
  <c r="AF133" i="11"/>
  <c r="AF132" i="11"/>
  <c r="AF131" i="11"/>
  <c r="AF130" i="11"/>
  <c r="AF129" i="11"/>
  <c r="AF128" i="11"/>
  <c r="AF127" i="11"/>
  <c r="AF126" i="11"/>
  <c r="AF125" i="11"/>
  <c r="AF124" i="11"/>
  <c r="AF122" i="11"/>
  <c r="AF121" i="11"/>
  <c r="AF120" i="11"/>
  <c r="AF119" i="11"/>
  <c r="AF118" i="11"/>
  <c r="AF117" i="11"/>
  <c r="AF116" i="11"/>
  <c r="AF115" i="11"/>
  <c r="AF113" i="11"/>
  <c r="AF112" i="11"/>
  <c r="AF111" i="11"/>
  <c r="AF110" i="11"/>
  <c r="AF109" i="11"/>
  <c r="AF106" i="11"/>
  <c r="AF97" i="11"/>
  <c r="AF96" i="11"/>
  <c r="AF94" i="11"/>
  <c r="AF93" i="11"/>
  <c r="AF92" i="11"/>
  <c r="AF91" i="11"/>
  <c r="AF89" i="11"/>
  <c r="AF87" i="11"/>
  <c r="AF86" i="11" s="1"/>
  <c r="AF85" i="11"/>
  <c r="AF84" i="11" s="1"/>
  <c r="AF83" i="11"/>
  <c r="AF82" i="11" s="1"/>
  <c r="AF81" i="11"/>
  <c r="AF80" i="11" s="1"/>
  <c r="AF79" i="11"/>
  <c r="AF78" i="11" s="1"/>
  <c r="AF76" i="11"/>
  <c r="AF75" i="11"/>
  <c r="AF73" i="11"/>
  <c r="AF72" i="11"/>
  <c r="AF71" i="11"/>
  <c r="AF70" i="11"/>
  <c r="AF69" i="11"/>
  <c r="AF68" i="11"/>
  <c r="AF67" i="11"/>
  <c r="AF64" i="11"/>
  <c r="AF63" i="11"/>
  <c r="AF62" i="11"/>
  <c r="AF60" i="11"/>
  <c r="AF57" i="11"/>
  <c r="AF56" i="11" s="1"/>
  <c r="AF55" i="11"/>
  <c r="AF53" i="11"/>
  <c r="AF51" i="11"/>
  <c r="AF50" i="11" s="1"/>
  <c r="AF49" i="11"/>
  <c r="AF48" i="11"/>
  <c r="AF46" i="11"/>
  <c r="AF45" i="11" s="1"/>
  <c r="AF44" i="11"/>
  <c r="AF43" i="11" s="1"/>
  <c r="AF42" i="11"/>
  <c r="AF41" i="11"/>
  <c r="AF40" i="11"/>
  <c r="AF39" i="11"/>
  <c r="AF37" i="11"/>
  <c r="AF31" i="11"/>
  <c r="AF28" i="11"/>
  <c r="AF27" i="11" s="1"/>
  <c r="AF26" i="11"/>
  <c r="AF25" i="11" s="1"/>
  <c r="AF24" i="11"/>
  <c r="AF23" i="11" s="1"/>
  <c r="AF21" i="11"/>
  <c r="AF20" i="11"/>
  <c r="AF19" i="11"/>
  <c r="AF14" i="11"/>
  <c r="AF13" i="11"/>
  <c r="BM500" i="11"/>
  <c r="BM497" i="11" s="1"/>
  <c r="BM494" i="11"/>
  <c r="BM492" i="11"/>
  <c r="BM475" i="11"/>
  <c r="AF475" i="11" s="1"/>
  <c r="BM386" i="11"/>
  <c r="BM352" i="11"/>
  <c r="BM351" i="11" s="1"/>
  <c r="BM346" i="11"/>
  <c r="BM316" i="11"/>
  <c r="BM281" i="11"/>
  <c r="BM263" i="11"/>
  <c r="BM179" i="11"/>
  <c r="AF179" i="11" s="1"/>
  <c r="BM178" i="11"/>
  <c r="AF178" i="11" s="1"/>
  <c r="BM177" i="11"/>
  <c r="AF177" i="11" s="1"/>
  <c r="BM176" i="11"/>
  <c r="AF176" i="11" s="1"/>
  <c r="BM175" i="11"/>
  <c r="AF175" i="11" s="1"/>
  <c r="BM174" i="11"/>
  <c r="AF174" i="11" s="1"/>
  <c r="BM173" i="11"/>
  <c r="AF173" i="11" s="1"/>
  <c r="BM95" i="11"/>
  <c r="BM90" i="11"/>
  <c r="BM88" i="11"/>
  <c r="BM86" i="11"/>
  <c r="BM84" i="11"/>
  <c r="BM82" i="11"/>
  <c r="BM80" i="11"/>
  <c r="BM78" i="11"/>
  <c r="BM59" i="11"/>
  <c r="BM56" i="11"/>
  <c r="BM52" i="11"/>
  <c r="BM50" i="11"/>
  <c r="BM47" i="11"/>
  <c r="BM45" i="11"/>
  <c r="BM43" i="11"/>
  <c r="BM38" i="11"/>
  <c r="BM30" i="11"/>
  <c r="BM27" i="11"/>
  <c r="BM25" i="11"/>
  <c r="BM23" i="11"/>
  <c r="BM21" i="11"/>
  <c r="BM18" i="11"/>
  <c r="AF18" i="11" s="1"/>
  <c r="BM17" i="11"/>
  <c r="AF17" i="11" s="1"/>
  <c r="BM16" i="11"/>
  <c r="AF16" i="11" s="1"/>
  <c r="BM15" i="11"/>
  <c r="AF15" i="11" s="1"/>
  <c r="BM12" i="11"/>
  <c r="AF12" i="11" s="1"/>
  <c r="BM11" i="11"/>
  <c r="AF11" i="11" s="1"/>
  <c r="E35" i="23"/>
  <c r="AF494" i="11" l="1"/>
  <c r="AF47" i="11"/>
  <c r="AF500" i="11"/>
  <c r="BM390" i="11"/>
  <c r="BM108" i="11"/>
  <c r="AF352" i="11"/>
  <c r="AF351" i="11" s="1"/>
  <c r="BM10" i="11"/>
  <c r="AF38" i="11"/>
  <c r="AF52" i="11"/>
  <c r="AF95" i="11"/>
  <c r="BM29" i="11"/>
  <c r="BM77" i="11"/>
  <c r="AF108" i="11"/>
  <c r="AF30" i="11"/>
  <c r="BM491" i="11"/>
  <c r="AF90" i="11"/>
  <c r="AF390" i="11"/>
  <c r="AF386" i="11"/>
  <c r="AF346" i="11"/>
  <c r="AF281" i="11"/>
  <c r="AF263" i="11"/>
  <c r="AF59" i="11"/>
  <c r="AF316" i="11"/>
  <c r="E8" i="20"/>
  <c r="E8" i="23" s="1"/>
  <c r="BW254" i="11"/>
  <c r="BH254" i="11"/>
  <c r="AV254" i="11" s="1"/>
  <c r="O254" i="11" s="1"/>
  <c r="BC254" i="11"/>
  <c r="AT254" i="11" s="1"/>
  <c r="M254" i="11" s="1"/>
  <c r="AZ254" i="11"/>
  <c r="S254" i="11" s="1"/>
  <c r="AU254" i="11"/>
  <c r="N254" i="11" s="1"/>
  <c r="AR254" i="11"/>
  <c r="K254" i="11" s="1"/>
  <c r="AQ254" i="11"/>
  <c r="J254" i="11" s="1"/>
  <c r="AN254" i="11"/>
  <c r="AI254" i="11"/>
  <c r="AH254" i="11"/>
  <c r="AE254" i="11"/>
  <c r="AD254" i="11"/>
  <c r="AC254" i="11"/>
  <c r="AB254" i="11"/>
  <c r="Z254" i="11"/>
  <c r="Y254" i="11"/>
  <c r="X254" i="11"/>
  <c r="W254" i="11"/>
  <c r="U254" i="11"/>
  <c r="T254" i="11"/>
  <c r="BH345" i="11"/>
  <c r="BW344" i="11"/>
  <c r="BH344" i="11"/>
  <c r="AW344" i="11" s="1"/>
  <c r="P344" i="11" s="1"/>
  <c r="BG344" i="11"/>
  <c r="AU344" i="11" s="1"/>
  <c r="BC344" i="11"/>
  <c r="AT344" i="11" s="1"/>
  <c r="M344" i="11" s="1"/>
  <c r="AZ344" i="11"/>
  <c r="S344" i="11" s="1"/>
  <c r="AY344" i="11"/>
  <c r="AR344" i="11"/>
  <c r="K344" i="11" s="1"/>
  <c r="AQ344" i="11"/>
  <c r="J344" i="11" s="1"/>
  <c r="AN344" i="11"/>
  <c r="AI344" i="11"/>
  <c r="AH344" i="11"/>
  <c r="AE344" i="11"/>
  <c r="AD344" i="11"/>
  <c r="AC344" i="11"/>
  <c r="AB344" i="11"/>
  <c r="Y344" i="11"/>
  <c r="X344" i="11"/>
  <c r="W344" i="11"/>
  <c r="U344" i="11"/>
  <c r="T344" i="11"/>
  <c r="BW253" i="11"/>
  <c r="BH253" i="11"/>
  <c r="AW253" i="11" s="1"/>
  <c r="P253" i="11" s="1"/>
  <c r="BC253" i="11"/>
  <c r="AT253" i="11" s="1"/>
  <c r="M253" i="11" s="1"/>
  <c r="AZ253" i="11"/>
  <c r="S253" i="11" s="1"/>
  <c r="AU253" i="11"/>
  <c r="N253" i="11" s="1"/>
  <c r="AR253" i="11"/>
  <c r="K253" i="11" s="1"/>
  <c r="AQ253" i="11"/>
  <c r="J253" i="11" s="1"/>
  <c r="AN253" i="11"/>
  <c r="AI253" i="11"/>
  <c r="AH253" i="11"/>
  <c r="AE253" i="11"/>
  <c r="AD253" i="11"/>
  <c r="AC253" i="11"/>
  <c r="AB253" i="11"/>
  <c r="Z253" i="11"/>
  <c r="Y253" i="11"/>
  <c r="X253" i="11"/>
  <c r="W253" i="11"/>
  <c r="U253" i="11"/>
  <c r="T253" i="11"/>
  <c r="BW252" i="11"/>
  <c r="BH252" i="11"/>
  <c r="AV252" i="11" s="1"/>
  <c r="O252" i="11" s="1"/>
  <c r="BC252" i="11"/>
  <c r="AT252" i="11" s="1"/>
  <c r="M252" i="11" s="1"/>
  <c r="AZ252" i="11"/>
  <c r="S252" i="11" s="1"/>
  <c r="AU252" i="11"/>
  <c r="N252" i="11" s="1"/>
  <c r="AR252" i="11"/>
  <c r="K252" i="11" s="1"/>
  <c r="AQ252" i="11"/>
  <c r="J252" i="11" s="1"/>
  <c r="AN252" i="11"/>
  <c r="AI252" i="11"/>
  <c r="AH252" i="11"/>
  <c r="AE252" i="11"/>
  <c r="AD252" i="11"/>
  <c r="AC252" i="11"/>
  <c r="AB252" i="11"/>
  <c r="Z252" i="11"/>
  <c r="Y252" i="11"/>
  <c r="X252" i="11"/>
  <c r="W252" i="11"/>
  <c r="U252" i="11"/>
  <c r="T252" i="11"/>
  <c r="R253" i="11" l="1"/>
  <c r="R252" i="11"/>
  <c r="R254" i="11"/>
  <c r="R344" i="11"/>
  <c r="AF497" i="11"/>
  <c r="AF491" i="11" s="1"/>
  <c r="BM9" i="11"/>
  <c r="BM107" i="11"/>
  <c r="AA253" i="11"/>
  <c r="Z344" i="11"/>
  <c r="AW254" i="11"/>
  <c r="P254" i="11" s="1"/>
  <c r="AA254" i="11"/>
  <c r="AF107" i="11"/>
  <c r="AF29" i="11"/>
  <c r="AA344" i="11"/>
  <c r="AV253" i="11"/>
  <c r="O253" i="11" s="1"/>
  <c r="AW252" i="11"/>
  <c r="P252" i="11" s="1"/>
  <c r="AA252" i="11"/>
  <c r="AS344" i="11"/>
  <c r="L344" i="11" s="1"/>
  <c r="V344" i="11"/>
  <c r="AV344" i="11"/>
  <c r="O344" i="11" s="1"/>
  <c r="V254" i="11"/>
  <c r="AS254" i="11"/>
  <c r="L254" i="11" s="1"/>
  <c r="AP344" i="11"/>
  <c r="N344" i="11"/>
  <c r="AS253" i="11"/>
  <c r="L253" i="11" s="1"/>
  <c r="V253" i="11"/>
  <c r="AP253" i="11"/>
  <c r="V252" i="11"/>
  <c r="AS252" i="11"/>
  <c r="L252" i="11" s="1"/>
  <c r="AP254" i="11" l="1"/>
  <c r="BM7" i="11"/>
  <c r="BM8" i="11" s="1"/>
  <c r="AP252" i="11"/>
  <c r="BL86" i="11"/>
  <c r="G13" i="16" l="1"/>
  <c r="G10" i="16" s="1"/>
  <c r="F13" i="16"/>
  <c r="E13" i="16"/>
  <c r="D13" i="16"/>
  <c r="C13" i="16"/>
  <c r="AN26" i="11"/>
  <c r="AI26" i="11"/>
  <c r="AH26" i="11"/>
  <c r="AA26" i="11"/>
  <c r="AE26" i="11"/>
  <c r="Z26" i="11"/>
  <c r="U26" i="11"/>
  <c r="N11" i="18"/>
  <c r="C9" i="24" l="1"/>
  <c r="D31" i="23"/>
  <c r="D30" i="23"/>
  <c r="D29" i="23"/>
  <c r="D27" i="23"/>
  <c r="D26" i="23"/>
  <c r="D15" i="23"/>
  <c r="D14" i="23"/>
  <c r="D13" i="23"/>
  <c r="D12" i="23"/>
  <c r="D11" i="23"/>
  <c r="C11" i="23"/>
  <c r="B11" i="23"/>
  <c r="F10" i="23"/>
  <c r="G9" i="22"/>
  <c r="F9" i="22"/>
  <c r="N13" i="16" l="1"/>
  <c r="N10" i="16" s="1"/>
  <c r="M13" i="16"/>
  <c r="L13" i="16"/>
  <c r="K13" i="16"/>
  <c r="J13" i="16"/>
  <c r="I13" i="16"/>
  <c r="I12" i="16"/>
  <c r="I11" i="16"/>
  <c r="I9" i="16"/>
  <c r="I5" i="16"/>
  <c r="K4" i="16"/>
  <c r="J4" i="16"/>
  <c r="J22" i="21" l="1"/>
  <c r="J21" i="21"/>
  <c r="J20" i="21"/>
  <c r="J23" i="21" s="1"/>
  <c r="J11" i="21"/>
  <c r="J10" i="21"/>
  <c r="J9" i="21"/>
  <c r="C9" i="21"/>
  <c r="J6" i="21"/>
  <c r="B6" i="24"/>
  <c r="D43" i="20"/>
  <c r="D43" i="23" s="1"/>
  <c r="D42" i="20"/>
  <c r="D42" i="23" s="1"/>
  <c r="D41" i="20"/>
  <c r="D41" i="23" s="1"/>
  <c r="D40" i="20"/>
  <c r="C32" i="20"/>
  <c r="C32" i="23" s="1"/>
  <c r="B32" i="20"/>
  <c r="B32" i="23" s="1"/>
  <c r="D23" i="20"/>
  <c r="D23" i="23" s="1"/>
  <c r="D22" i="20"/>
  <c r="D22" i="23" s="1"/>
  <c r="D21" i="20"/>
  <c r="D21" i="23" s="1"/>
  <c r="D20" i="20"/>
  <c r="D20" i="23" s="1"/>
  <c r="D19" i="20"/>
  <c r="D19" i="23" s="1"/>
  <c r="D18" i="20"/>
  <c r="D18" i="23" s="1"/>
  <c r="D17" i="20"/>
  <c r="D17" i="23" s="1"/>
  <c r="D10" i="20"/>
  <c r="F8" i="23"/>
  <c r="C8" i="20"/>
  <c r="B8" i="20"/>
  <c r="G6" i="19"/>
  <c r="G7" i="19" s="1"/>
  <c r="F6" i="19"/>
  <c r="F7" i="19" s="1"/>
  <c r="E6" i="19"/>
  <c r="D6" i="19"/>
  <c r="D7" i="19" s="1"/>
  <c r="C6" i="19"/>
  <c r="C7" i="19" s="1"/>
  <c r="B6" i="19"/>
  <c r="B7" i="19" s="1"/>
  <c r="H32" i="20" l="1"/>
  <c r="H32" i="23" s="1"/>
  <c r="D40" i="23"/>
  <c r="D32" i="20"/>
  <c r="D8" i="20"/>
  <c r="D8" i="23" s="1"/>
  <c r="E32" i="20"/>
  <c r="E32" i="23" s="1"/>
  <c r="B6" i="20"/>
  <c r="B7" i="20" s="1"/>
  <c r="C8" i="23"/>
  <c r="C6" i="20"/>
  <c r="C7" i="20" s="1"/>
  <c r="J15" i="21"/>
  <c r="B9" i="21"/>
  <c r="B9" i="24"/>
  <c r="D10" i="23"/>
  <c r="F32" i="23"/>
  <c r="B8" i="23"/>
  <c r="D6" i="20" l="1"/>
  <c r="D6" i="23" s="1"/>
  <c r="E6" i="20"/>
  <c r="E6" i="23" s="1"/>
  <c r="D32" i="23"/>
  <c r="H6" i="20"/>
  <c r="H7" i="20" s="1"/>
  <c r="H7" i="23" s="1"/>
  <c r="E9" i="16"/>
  <c r="E10" i="16" s="1"/>
  <c r="B10" i="24"/>
  <c r="F9" i="16"/>
  <c r="F10" i="16" s="1"/>
  <c r="F11" i="18"/>
  <c r="M9" i="16"/>
  <c r="M10" i="16" s="1"/>
  <c r="L9" i="16"/>
  <c r="L10" i="16" s="1"/>
  <c r="L11" i="18"/>
  <c r="B7" i="23"/>
  <c r="B6" i="23"/>
  <c r="K8" i="18"/>
  <c r="D8" i="18"/>
  <c r="C6" i="23"/>
  <c r="C7" i="23"/>
  <c r="E7" i="20" l="1"/>
  <c r="E7" i="23" s="1"/>
  <c r="G8" i="18"/>
  <c r="G7" i="16" s="1"/>
  <c r="E7" i="16"/>
  <c r="N8" i="18"/>
  <c r="N9" i="18" s="1"/>
  <c r="F7" i="20"/>
  <c r="F7" i="23" s="1"/>
  <c r="E11" i="18"/>
  <c r="D7" i="20"/>
  <c r="D7" i="23" s="1"/>
  <c r="F7" i="16"/>
  <c r="M7" i="16"/>
  <c r="F6" i="23"/>
  <c r="D7" i="16"/>
  <c r="D9" i="18"/>
  <c r="K7" i="16"/>
  <c r="K9" i="18"/>
  <c r="L7" i="16" l="1"/>
  <c r="L8" i="16" s="1"/>
  <c r="F9" i="18"/>
  <c r="E9" i="18"/>
  <c r="G9" i="18"/>
  <c r="N7" i="16"/>
  <c r="N8" i="16" s="1"/>
  <c r="L9" i="18"/>
  <c r="F8" i="16"/>
  <c r="G8" i="16"/>
  <c r="E8" i="16"/>
  <c r="M8" i="16"/>
  <c r="K8" i="16"/>
  <c r="D8" i="16"/>
  <c r="AI499" i="11" l="1"/>
  <c r="AI498" i="11"/>
  <c r="AN11" i="11"/>
  <c r="AH499" i="11"/>
  <c r="AH498" i="11"/>
  <c r="AH496" i="11"/>
  <c r="AH495" i="11"/>
  <c r="AH493" i="11"/>
  <c r="AH490" i="11"/>
  <c r="AH489" i="11"/>
  <c r="AH488" i="11"/>
  <c r="AH487" i="11"/>
  <c r="AH486" i="11"/>
  <c r="AH485" i="11"/>
  <c r="AH484" i="11"/>
  <c r="AH483" i="11"/>
  <c r="AH482" i="11"/>
  <c r="AH481" i="11"/>
  <c r="AH480" i="11"/>
  <c r="AH479" i="11"/>
  <c r="AH478" i="11"/>
  <c r="AH477" i="11"/>
  <c r="AH476" i="11"/>
  <c r="AH475" i="11"/>
  <c r="AH474" i="11"/>
  <c r="AH473" i="11"/>
  <c r="AH472" i="11"/>
  <c r="AH471" i="11"/>
  <c r="AH470" i="11"/>
  <c r="AH469" i="11"/>
  <c r="AH468" i="11"/>
  <c r="AH467" i="11"/>
  <c r="AH466" i="11"/>
  <c r="AH465" i="11"/>
  <c r="AH464" i="11"/>
  <c r="AH463" i="11"/>
  <c r="AH462" i="11"/>
  <c r="AH461" i="11"/>
  <c r="AH460" i="11"/>
  <c r="AH459" i="11"/>
  <c r="AH458" i="11"/>
  <c r="AH457" i="11"/>
  <c r="AH456" i="11"/>
  <c r="AH455" i="11"/>
  <c r="AH454" i="11"/>
  <c r="AH453" i="11"/>
  <c r="AH452" i="11"/>
  <c r="AH451" i="11"/>
  <c r="AH450" i="11"/>
  <c r="AH449" i="11"/>
  <c r="AH448" i="11"/>
  <c r="AH447" i="11"/>
  <c r="AH446" i="11"/>
  <c r="AH445" i="11"/>
  <c r="AH444" i="11"/>
  <c r="AH443" i="11"/>
  <c r="AH442" i="11"/>
  <c r="AH441" i="11"/>
  <c r="AH440" i="11"/>
  <c r="AH439" i="11"/>
  <c r="AH438" i="11"/>
  <c r="AH437" i="11"/>
  <c r="AH436" i="11"/>
  <c r="AH435" i="11"/>
  <c r="AH434" i="11"/>
  <c r="AH433" i="11"/>
  <c r="AH432" i="11"/>
  <c r="AH431" i="11"/>
  <c r="AH430" i="11"/>
  <c r="AH429" i="11"/>
  <c r="AH428" i="11"/>
  <c r="AH427" i="11"/>
  <c r="AH426" i="11"/>
  <c r="AH425" i="11"/>
  <c r="AH424" i="11"/>
  <c r="AH423" i="11"/>
  <c r="AH422" i="11"/>
  <c r="AH421" i="11"/>
  <c r="AH420" i="11"/>
  <c r="AH419" i="11"/>
  <c r="AH418" i="11"/>
  <c r="AH417" i="11"/>
  <c r="AH416" i="11"/>
  <c r="AH415" i="11"/>
  <c r="AH414" i="11"/>
  <c r="AH413" i="11"/>
  <c r="AH412" i="11"/>
  <c r="AH411" i="11"/>
  <c r="AH410" i="11"/>
  <c r="AH409" i="11"/>
  <c r="AH408" i="11"/>
  <c r="AH407" i="11"/>
  <c r="AH406" i="11"/>
  <c r="AH405" i="11"/>
  <c r="AH404" i="11"/>
  <c r="AH403" i="11"/>
  <c r="AH402" i="11"/>
  <c r="AH401" i="11"/>
  <c r="AH400" i="11"/>
  <c r="AH399" i="11"/>
  <c r="AH398" i="11"/>
  <c r="AH397" i="11"/>
  <c r="AH396" i="11"/>
  <c r="AH395" i="11"/>
  <c r="AH394" i="11"/>
  <c r="AH393" i="11"/>
  <c r="AH392" i="11"/>
  <c r="AH391" i="11"/>
  <c r="AH389" i="11"/>
  <c r="AH388" i="11"/>
  <c r="AH387" i="11"/>
  <c r="AH385" i="11"/>
  <c r="AH384" i="11"/>
  <c r="AH383" i="11"/>
  <c r="AH382" i="11"/>
  <c r="AH381" i="11"/>
  <c r="AH380" i="11"/>
  <c r="AH379" i="11"/>
  <c r="AH378" i="11"/>
  <c r="AH377" i="11"/>
  <c r="AH376" i="11"/>
  <c r="AH375" i="11"/>
  <c r="AH374" i="11"/>
  <c r="AH373" i="11"/>
  <c r="AH372" i="11"/>
  <c r="AH371" i="11"/>
  <c r="AH370" i="11"/>
  <c r="AH369" i="11"/>
  <c r="AH368" i="11"/>
  <c r="AH367" i="11"/>
  <c r="AH366" i="11"/>
  <c r="AH365" i="11"/>
  <c r="AH364" i="11"/>
  <c r="AH363" i="11"/>
  <c r="AH362" i="11"/>
  <c r="AH361" i="11"/>
  <c r="AH360" i="11"/>
  <c r="AH359" i="11"/>
  <c r="AH358" i="11"/>
  <c r="AH357" i="11"/>
  <c r="AH356" i="11"/>
  <c r="AH355" i="11"/>
  <c r="AH354" i="11"/>
  <c r="AH353" i="11"/>
  <c r="AH352" i="11"/>
  <c r="AH350" i="11"/>
  <c r="AH349" i="11"/>
  <c r="AH348" i="11"/>
  <c r="AH347" i="11"/>
  <c r="AH345" i="11"/>
  <c r="AH343" i="11"/>
  <c r="AH342" i="11"/>
  <c r="AH341" i="11"/>
  <c r="AH340" i="11"/>
  <c r="AH339" i="11"/>
  <c r="AH338" i="11"/>
  <c r="AH337" i="11"/>
  <c r="AH336" i="11"/>
  <c r="AH335" i="11"/>
  <c r="AH334" i="11"/>
  <c r="AH333" i="11"/>
  <c r="AH332" i="11"/>
  <c r="AH331" i="11"/>
  <c r="AH330" i="11"/>
  <c r="AH329" i="11"/>
  <c r="AH328" i="11"/>
  <c r="AH327" i="11"/>
  <c r="AH326" i="11"/>
  <c r="AH325" i="11"/>
  <c r="AH324" i="11"/>
  <c r="AH323" i="11"/>
  <c r="AH322" i="11"/>
  <c r="AH321" i="11"/>
  <c r="AH320" i="11"/>
  <c r="AH319" i="11"/>
  <c r="AH318" i="11"/>
  <c r="AH317" i="11"/>
  <c r="AH315" i="11"/>
  <c r="AH314" i="11"/>
  <c r="AH313" i="11"/>
  <c r="AH312" i="11"/>
  <c r="AH311" i="11"/>
  <c r="AH310" i="11"/>
  <c r="AH309" i="11"/>
  <c r="AH308" i="11"/>
  <c r="AH307" i="11"/>
  <c r="AH306" i="11"/>
  <c r="AH305" i="11"/>
  <c r="AH304" i="11"/>
  <c r="AH303" i="11"/>
  <c r="AH302" i="11"/>
  <c r="AH301" i="11"/>
  <c r="AH300" i="11"/>
  <c r="AH299" i="11"/>
  <c r="AH298" i="11"/>
  <c r="AH297" i="11"/>
  <c r="AH296" i="11"/>
  <c r="AH295" i="11"/>
  <c r="AH294" i="11"/>
  <c r="AH293" i="11"/>
  <c r="AH292" i="11"/>
  <c r="AH291" i="11"/>
  <c r="AH290" i="11"/>
  <c r="AH289" i="11"/>
  <c r="AH288" i="11"/>
  <c r="AH287" i="11"/>
  <c r="AH286" i="11"/>
  <c r="AH285" i="11"/>
  <c r="AH284" i="11"/>
  <c r="AH283" i="11"/>
  <c r="AH282" i="11"/>
  <c r="AH280" i="11"/>
  <c r="AH279" i="11"/>
  <c r="AH278" i="11"/>
  <c r="AH277" i="11"/>
  <c r="AH276" i="11"/>
  <c r="AH275" i="11"/>
  <c r="AH274" i="11"/>
  <c r="AH273" i="11"/>
  <c r="AH272" i="11"/>
  <c r="AH271" i="11"/>
  <c r="AH270" i="11"/>
  <c r="AH269" i="11"/>
  <c r="AH268" i="11"/>
  <c r="AH267" i="11"/>
  <c r="AH266" i="11"/>
  <c r="AH265" i="11"/>
  <c r="AH264" i="11"/>
  <c r="AH251" i="11"/>
  <c r="AH250" i="11"/>
  <c r="AH249" i="11"/>
  <c r="AH248" i="11"/>
  <c r="AH247" i="11"/>
  <c r="AH246" i="11"/>
  <c r="AH245" i="11"/>
  <c r="AH244" i="11"/>
  <c r="AH243" i="11"/>
  <c r="AH242" i="11"/>
  <c r="AH241" i="11"/>
  <c r="AH240" i="11"/>
  <c r="AH239" i="11"/>
  <c r="AH238" i="11"/>
  <c r="AH237" i="11"/>
  <c r="AH236" i="11"/>
  <c r="AH235" i="11"/>
  <c r="AH234" i="11"/>
  <c r="AH233" i="11"/>
  <c r="AH232" i="11"/>
  <c r="AH231" i="11"/>
  <c r="AH230" i="11"/>
  <c r="AH229" i="11"/>
  <c r="AH228" i="11"/>
  <c r="AH227" i="11"/>
  <c r="AH226" i="11"/>
  <c r="AH225" i="11"/>
  <c r="AH224" i="11"/>
  <c r="AH223" i="11"/>
  <c r="AH222" i="11"/>
  <c r="AH221" i="11"/>
  <c r="AH220" i="11"/>
  <c r="AH219" i="11"/>
  <c r="AH218" i="11"/>
  <c r="AH217" i="11"/>
  <c r="AH216" i="11"/>
  <c r="AH215" i="11"/>
  <c r="AH214" i="11"/>
  <c r="AH213" i="11"/>
  <c r="AH212" i="11"/>
  <c r="AH211" i="11"/>
  <c r="AH210" i="11"/>
  <c r="AH209" i="11"/>
  <c r="AH208" i="11"/>
  <c r="AH207" i="11"/>
  <c r="AH206" i="11"/>
  <c r="AH205" i="11"/>
  <c r="AH204" i="11"/>
  <c r="AH203" i="11"/>
  <c r="AH202" i="11"/>
  <c r="AH201" i="11"/>
  <c r="AH200" i="11"/>
  <c r="AH199" i="11"/>
  <c r="AH198" i="11"/>
  <c r="AH197" i="11"/>
  <c r="AH196" i="11"/>
  <c r="AH195" i="11"/>
  <c r="AH194" i="11"/>
  <c r="AH193" i="11"/>
  <c r="AH192" i="11"/>
  <c r="AH191" i="11"/>
  <c r="AH190" i="11"/>
  <c r="AH189" i="11"/>
  <c r="AH188" i="11"/>
  <c r="AH187" i="11"/>
  <c r="AH186" i="11"/>
  <c r="AH185" i="11"/>
  <c r="AH184" i="11"/>
  <c r="AH183" i="11"/>
  <c r="AH182" i="11"/>
  <c r="AH181" i="11"/>
  <c r="AH180" i="11"/>
  <c r="AH179" i="11"/>
  <c r="AH178" i="11"/>
  <c r="AH177" i="11"/>
  <c r="AH176" i="11"/>
  <c r="AH175" i="11"/>
  <c r="AH174" i="11"/>
  <c r="AH173" i="11"/>
  <c r="AH172" i="11"/>
  <c r="AH171" i="11"/>
  <c r="AH170" i="11"/>
  <c r="AH169" i="11"/>
  <c r="AH168" i="11"/>
  <c r="AH167" i="11"/>
  <c r="AH166" i="11"/>
  <c r="AH165" i="11"/>
  <c r="AH164" i="11"/>
  <c r="AH163" i="11"/>
  <c r="AH162" i="11"/>
  <c r="AH161" i="11"/>
  <c r="AH160" i="11"/>
  <c r="AH159" i="11"/>
  <c r="AH158" i="11"/>
  <c r="AH157" i="11"/>
  <c r="AH156" i="11"/>
  <c r="AH155" i="11"/>
  <c r="AH154" i="11"/>
  <c r="AH153" i="11"/>
  <c r="AH152" i="11"/>
  <c r="AH151" i="11"/>
  <c r="AH150" i="11"/>
  <c r="AH149" i="11"/>
  <c r="AH148" i="11"/>
  <c r="AH147" i="11"/>
  <c r="AH146" i="11"/>
  <c r="AH145" i="11"/>
  <c r="AH144" i="11"/>
  <c r="AH143" i="11"/>
  <c r="AH142" i="11"/>
  <c r="AH141" i="11"/>
  <c r="AH140" i="11"/>
  <c r="AH139" i="11"/>
  <c r="AH138" i="11"/>
  <c r="AH137" i="11"/>
  <c r="AH136" i="11"/>
  <c r="AH135" i="11"/>
  <c r="AH134" i="11"/>
  <c r="AH133" i="11"/>
  <c r="AH132" i="11"/>
  <c r="AH131" i="11"/>
  <c r="AH130" i="11"/>
  <c r="AH129" i="11"/>
  <c r="AH128" i="11"/>
  <c r="AH127" i="11"/>
  <c r="AH126" i="11"/>
  <c r="AH125" i="11"/>
  <c r="AH124" i="11"/>
  <c r="AH122" i="11"/>
  <c r="AH121" i="11"/>
  <c r="AH120" i="11"/>
  <c r="AH119" i="11"/>
  <c r="AH118" i="11"/>
  <c r="AH117" i="11"/>
  <c r="AH116" i="11"/>
  <c r="AH115" i="11"/>
  <c r="AH113" i="11"/>
  <c r="AH112" i="11"/>
  <c r="AH111" i="11"/>
  <c r="AH110" i="11"/>
  <c r="AH109" i="11"/>
  <c r="AH106" i="11"/>
  <c r="AH97" i="11"/>
  <c r="AH96" i="11"/>
  <c r="AH94" i="11"/>
  <c r="AH93" i="11"/>
  <c r="AH92" i="11"/>
  <c r="AH91" i="11"/>
  <c r="AH87" i="11"/>
  <c r="AH85" i="11"/>
  <c r="AH83" i="11"/>
  <c r="AH81" i="11"/>
  <c r="AH79" i="11"/>
  <c r="AH76" i="11"/>
  <c r="AH75" i="11"/>
  <c r="AH73" i="11"/>
  <c r="AH72" i="11"/>
  <c r="AH71" i="11"/>
  <c r="AH70" i="11"/>
  <c r="AH69" i="11"/>
  <c r="AH68" i="11"/>
  <c r="AH67" i="11"/>
  <c r="AH64" i="11"/>
  <c r="AH63" i="11"/>
  <c r="AH62" i="11"/>
  <c r="AH60" i="11"/>
  <c r="AH57" i="11"/>
  <c r="AH55" i="11"/>
  <c r="AH53" i="11"/>
  <c r="AH51" i="11"/>
  <c r="AH49" i="11"/>
  <c r="AH48" i="11"/>
  <c r="AH46" i="11"/>
  <c r="AH44" i="11"/>
  <c r="AH42" i="11"/>
  <c r="AH41" i="11"/>
  <c r="AH40" i="11"/>
  <c r="AH39" i="11"/>
  <c r="AH37" i="11"/>
  <c r="AH28" i="11"/>
  <c r="AH24" i="11"/>
  <c r="AH22" i="11"/>
  <c r="AH19" i="11"/>
  <c r="AH18" i="11"/>
  <c r="AH14" i="11"/>
  <c r="AE499" i="11"/>
  <c r="AE498" i="11"/>
  <c r="AE496" i="11"/>
  <c r="AE495" i="11"/>
  <c r="AE493" i="11"/>
  <c r="AE490" i="11"/>
  <c r="AE489" i="11"/>
  <c r="AE488" i="11"/>
  <c r="AE487" i="11"/>
  <c r="AE486" i="11"/>
  <c r="AE485" i="11"/>
  <c r="AE484" i="11"/>
  <c r="AE483" i="11"/>
  <c r="AE482" i="11"/>
  <c r="AE481" i="11"/>
  <c r="AE480" i="11"/>
  <c r="AE479" i="11"/>
  <c r="AE478" i="11"/>
  <c r="AE477" i="11"/>
  <c r="AE476" i="11"/>
  <c r="AE474" i="11"/>
  <c r="AE473" i="11"/>
  <c r="AE472" i="11"/>
  <c r="AE471" i="11"/>
  <c r="AE470" i="11"/>
  <c r="AE469" i="11"/>
  <c r="AE468" i="11"/>
  <c r="AE467" i="11"/>
  <c r="AE466" i="11"/>
  <c r="AE465" i="11"/>
  <c r="AE464" i="11"/>
  <c r="AE463" i="11"/>
  <c r="AE462" i="11"/>
  <c r="AE461" i="11"/>
  <c r="AE460" i="11"/>
  <c r="AE459" i="11"/>
  <c r="AE458" i="11"/>
  <c r="AE457" i="11"/>
  <c r="AE456" i="11"/>
  <c r="AE455" i="11"/>
  <c r="AE454" i="11"/>
  <c r="AE453" i="11"/>
  <c r="AE452" i="11"/>
  <c r="AE451" i="11"/>
  <c r="AE450" i="11"/>
  <c r="AE449" i="11"/>
  <c r="AE448" i="11"/>
  <c r="AE447" i="11"/>
  <c r="AE446" i="11"/>
  <c r="AE445" i="11"/>
  <c r="AE444" i="11"/>
  <c r="AE443" i="11"/>
  <c r="AE442" i="11"/>
  <c r="AE441" i="11"/>
  <c r="AE440" i="11"/>
  <c r="AE439" i="11"/>
  <c r="AE438" i="11"/>
  <c r="AE437" i="11"/>
  <c r="AE436" i="11"/>
  <c r="AE435" i="11"/>
  <c r="AE434" i="11"/>
  <c r="AE433" i="11"/>
  <c r="AE432" i="11"/>
  <c r="AE431" i="11"/>
  <c r="AE430" i="11"/>
  <c r="AE429" i="11"/>
  <c r="AE428" i="11"/>
  <c r="AE427" i="11"/>
  <c r="AE426" i="11"/>
  <c r="AE425" i="11"/>
  <c r="AE424" i="11"/>
  <c r="AE423" i="11"/>
  <c r="AE422" i="11"/>
  <c r="AE421" i="11"/>
  <c r="AE420" i="11"/>
  <c r="AE419" i="11"/>
  <c r="AE418" i="11"/>
  <c r="AE417" i="11"/>
  <c r="AE416" i="11"/>
  <c r="AE415" i="11"/>
  <c r="AE414" i="11"/>
  <c r="AE413" i="11"/>
  <c r="AE412" i="11"/>
  <c r="AE411" i="11"/>
  <c r="AE410" i="11"/>
  <c r="AE409" i="11"/>
  <c r="AE408" i="11"/>
  <c r="AE407" i="11"/>
  <c r="AE406" i="11"/>
  <c r="AE405" i="11"/>
  <c r="AE404" i="11"/>
  <c r="AE403" i="11"/>
  <c r="AE402" i="11"/>
  <c r="AE401" i="11"/>
  <c r="AE400" i="11"/>
  <c r="AE399" i="11"/>
  <c r="AE398" i="11"/>
  <c r="AE397" i="11"/>
  <c r="AE396" i="11"/>
  <c r="AE395" i="11"/>
  <c r="AE394" i="11"/>
  <c r="AE393" i="11"/>
  <c r="AE392" i="11"/>
  <c r="AE391" i="11"/>
  <c r="AE389" i="11"/>
  <c r="AE388" i="11"/>
  <c r="AE387" i="11"/>
  <c r="AE385" i="11"/>
  <c r="AE384" i="11"/>
  <c r="AE383" i="11"/>
  <c r="AE382" i="11"/>
  <c r="AE381" i="11"/>
  <c r="AE380" i="11"/>
  <c r="AE379" i="11"/>
  <c r="AE378" i="11"/>
  <c r="AE377" i="11"/>
  <c r="AE376" i="11"/>
  <c r="AE375" i="11"/>
  <c r="AE374" i="11"/>
  <c r="AE373" i="11"/>
  <c r="AE372" i="11"/>
  <c r="AE371" i="11"/>
  <c r="AE370" i="11"/>
  <c r="AE369" i="11"/>
  <c r="AE368" i="11"/>
  <c r="AE367" i="11"/>
  <c r="AE366" i="11"/>
  <c r="AE365" i="11"/>
  <c r="AE364" i="11"/>
  <c r="AE363" i="11"/>
  <c r="AE362" i="11"/>
  <c r="AE361" i="11"/>
  <c r="AE360" i="11"/>
  <c r="AE359" i="11"/>
  <c r="AE358" i="11"/>
  <c r="AE357" i="11"/>
  <c r="AE356" i="11"/>
  <c r="AE355" i="11"/>
  <c r="AE354" i="11"/>
  <c r="AE353" i="11"/>
  <c r="AE350" i="11"/>
  <c r="AE349" i="11"/>
  <c r="AE348" i="11"/>
  <c r="AE347" i="11"/>
  <c r="AE345" i="11"/>
  <c r="AE343" i="11"/>
  <c r="AE342" i="11"/>
  <c r="AE341" i="11"/>
  <c r="AE340" i="11"/>
  <c r="AE339" i="11"/>
  <c r="AE338" i="11"/>
  <c r="AE337" i="11"/>
  <c r="AE336" i="11"/>
  <c r="AE335" i="11"/>
  <c r="AE334" i="11"/>
  <c r="AE333" i="11"/>
  <c r="AE332" i="11"/>
  <c r="AE331" i="11"/>
  <c r="AE330" i="11"/>
  <c r="AE329" i="11"/>
  <c r="AE328" i="11"/>
  <c r="AE327" i="11"/>
  <c r="AE326" i="11"/>
  <c r="AE325" i="11"/>
  <c r="AE324" i="11"/>
  <c r="AE323" i="11"/>
  <c r="AE322" i="11"/>
  <c r="AE321" i="11"/>
  <c r="AE320" i="11"/>
  <c r="AE319" i="11"/>
  <c r="AE318" i="11"/>
  <c r="AE317" i="11"/>
  <c r="AE315" i="11"/>
  <c r="AE314" i="11"/>
  <c r="AE313" i="11"/>
  <c r="AE312" i="11"/>
  <c r="AE311" i="11"/>
  <c r="AE310" i="11"/>
  <c r="AE309" i="11"/>
  <c r="AE308" i="11"/>
  <c r="AE307" i="11"/>
  <c r="AE306" i="11"/>
  <c r="AE305" i="11"/>
  <c r="AE304" i="11"/>
  <c r="AE303" i="11"/>
  <c r="AE302" i="11"/>
  <c r="AE301" i="11"/>
  <c r="AE300" i="11"/>
  <c r="AE299" i="11"/>
  <c r="AE298" i="11"/>
  <c r="AE297" i="11"/>
  <c r="AE296" i="11"/>
  <c r="AE295" i="11"/>
  <c r="AE294" i="11"/>
  <c r="AE293" i="11"/>
  <c r="AE292" i="11"/>
  <c r="AE291" i="11"/>
  <c r="AE290" i="11"/>
  <c r="AE289" i="11"/>
  <c r="AE288" i="11"/>
  <c r="AE287" i="11"/>
  <c r="AE286" i="11"/>
  <c r="AE285" i="11"/>
  <c r="AE284" i="11"/>
  <c r="AE283" i="11"/>
  <c r="AE282" i="11"/>
  <c r="AE280" i="11"/>
  <c r="AE279" i="11"/>
  <c r="AE278" i="11"/>
  <c r="AE277" i="11"/>
  <c r="AE276" i="11"/>
  <c r="AE275" i="11"/>
  <c r="AE274" i="11"/>
  <c r="AE273" i="11"/>
  <c r="AE272" i="11"/>
  <c r="AE271" i="11"/>
  <c r="AE270" i="11"/>
  <c r="AE269" i="11"/>
  <c r="AE268" i="11"/>
  <c r="AE267" i="11"/>
  <c r="AE266" i="11"/>
  <c r="AE265" i="11"/>
  <c r="AE264" i="11"/>
  <c r="AE251" i="11"/>
  <c r="AE250" i="11"/>
  <c r="AE249" i="11"/>
  <c r="AE248" i="11"/>
  <c r="AE247" i="11"/>
  <c r="AE246" i="11"/>
  <c r="AE245" i="11"/>
  <c r="AE244" i="11"/>
  <c r="AE243" i="11"/>
  <c r="AE242" i="11"/>
  <c r="AE241" i="11"/>
  <c r="AE240" i="11"/>
  <c r="AE239" i="11"/>
  <c r="AE238" i="11"/>
  <c r="AE237" i="11"/>
  <c r="AE236" i="11"/>
  <c r="AE235" i="11"/>
  <c r="AE234" i="11"/>
  <c r="AE233" i="11"/>
  <c r="AE232" i="11"/>
  <c r="AE231" i="11"/>
  <c r="AE230" i="11"/>
  <c r="AE229" i="11"/>
  <c r="AE228" i="11"/>
  <c r="AE227" i="11"/>
  <c r="AE226" i="11"/>
  <c r="AE225" i="11"/>
  <c r="AE224" i="11"/>
  <c r="AE223" i="11"/>
  <c r="AE222" i="11"/>
  <c r="AE221" i="11"/>
  <c r="AE220" i="11"/>
  <c r="AE219" i="11"/>
  <c r="AE218" i="11"/>
  <c r="AE217" i="11"/>
  <c r="AE216" i="11"/>
  <c r="AE215" i="11"/>
  <c r="AE214" i="11"/>
  <c r="AE213" i="11"/>
  <c r="AE212" i="11"/>
  <c r="AE211" i="11"/>
  <c r="AE210" i="11"/>
  <c r="AE209" i="11"/>
  <c r="AE208" i="11"/>
  <c r="AE207" i="11"/>
  <c r="AE206" i="11"/>
  <c r="AE205" i="11"/>
  <c r="AE204" i="11"/>
  <c r="AE203" i="11"/>
  <c r="AE202" i="11"/>
  <c r="AE201" i="11"/>
  <c r="AE200" i="11"/>
  <c r="AE199" i="11"/>
  <c r="AE198" i="11"/>
  <c r="AE197" i="11"/>
  <c r="AE196" i="11"/>
  <c r="AE195" i="11"/>
  <c r="AE194" i="11"/>
  <c r="AE193" i="11"/>
  <c r="AE192" i="11"/>
  <c r="AE191" i="11"/>
  <c r="AE190" i="11"/>
  <c r="AE189" i="11"/>
  <c r="AE188" i="11"/>
  <c r="AE187" i="11"/>
  <c r="AE186" i="11"/>
  <c r="AE185" i="11"/>
  <c r="AE184" i="11"/>
  <c r="AE183" i="11"/>
  <c r="AE182" i="11"/>
  <c r="AE181" i="11"/>
  <c r="AE180" i="11"/>
  <c r="AE171" i="11"/>
  <c r="AE170" i="11"/>
  <c r="AE169" i="11"/>
  <c r="AE168" i="11"/>
  <c r="AE167" i="11"/>
  <c r="AE166" i="11"/>
  <c r="AE165" i="11"/>
  <c r="AE164" i="11"/>
  <c r="AE163" i="11"/>
  <c r="AE162" i="11"/>
  <c r="AE161" i="11"/>
  <c r="AE160" i="11"/>
  <c r="AE159" i="11"/>
  <c r="AE158" i="11"/>
  <c r="AE157" i="11"/>
  <c r="AE156" i="11"/>
  <c r="AE155" i="11"/>
  <c r="AE154" i="11"/>
  <c r="AE153" i="11"/>
  <c r="AE152" i="11"/>
  <c r="AE151" i="11"/>
  <c r="AE150" i="11"/>
  <c r="AE149" i="11"/>
  <c r="AE148" i="11"/>
  <c r="AE147" i="11"/>
  <c r="AE146" i="11"/>
  <c r="AE145" i="11"/>
  <c r="AE144" i="11"/>
  <c r="AE143" i="11"/>
  <c r="AE142" i="11"/>
  <c r="AE141" i="11"/>
  <c r="AE140" i="11"/>
  <c r="AE139" i="11"/>
  <c r="AE138" i="11"/>
  <c r="AE137" i="11"/>
  <c r="AE136" i="11"/>
  <c r="AE135" i="11"/>
  <c r="AE134" i="11"/>
  <c r="AE133" i="11"/>
  <c r="AE132" i="11"/>
  <c r="AE131" i="11"/>
  <c r="AE130" i="11"/>
  <c r="AE129" i="11"/>
  <c r="AE128" i="11"/>
  <c r="AE127" i="11"/>
  <c r="AE126" i="11"/>
  <c r="AE125" i="11"/>
  <c r="AE124" i="11"/>
  <c r="AE122" i="11"/>
  <c r="AE121" i="11"/>
  <c r="AE120" i="11"/>
  <c r="AE119" i="11"/>
  <c r="AE118" i="11"/>
  <c r="AE117" i="11"/>
  <c r="AE116" i="11"/>
  <c r="AE115" i="11"/>
  <c r="AE113" i="11"/>
  <c r="AE112" i="11"/>
  <c r="AE111" i="11"/>
  <c r="AE110" i="11"/>
  <c r="AE109" i="11"/>
  <c r="AE106" i="11"/>
  <c r="AE97" i="11"/>
  <c r="AE96" i="11"/>
  <c r="AE94" i="11"/>
  <c r="AE93" i="11"/>
  <c r="AE92" i="11"/>
  <c r="AE91" i="11"/>
  <c r="AE89" i="11"/>
  <c r="AE87" i="11"/>
  <c r="AE85" i="11"/>
  <c r="AE83" i="11"/>
  <c r="AE81" i="11"/>
  <c r="AE79" i="11"/>
  <c r="AE76" i="11"/>
  <c r="AE75" i="11"/>
  <c r="AE73" i="11"/>
  <c r="AE72" i="11"/>
  <c r="AE71" i="11"/>
  <c r="AE70" i="11"/>
  <c r="AE69" i="11"/>
  <c r="AE68" i="11"/>
  <c r="AE67" i="11"/>
  <c r="AE64" i="11"/>
  <c r="AE63" i="11"/>
  <c r="AE62" i="11"/>
  <c r="AE60" i="11"/>
  <c r="AE57" i="11"/>
  <c r="AE55" i="11"/>
  <c r="AE53" i="11"/>
  <c r="AE51" i="11"/>
  <c r="AE49" i="11"/>
  <c r="AE48" i="11"/>
  <c r="AE46" i="11"/>
  <c r="AE44" i="11"/>
  <c r="AE42" i="11"/>
  <c r="AE41" i="11"/>
  <c r="AE40" i="11"/>
  <c r="AE39" i="11"/>
  <c r="AE37" i="11"/>
  <c r="AE31" i="11"/>
  <c r="AE28" i="11"/>
  <c r="AE24" i="11"/>
  <c r="AE22" i="11"/>
  <c r="AE20" i="11"/>
  <c r="AE19" i="11"/>
  <c r="AE14" i="11"/>
  <c r="AE13" i="11"/>
  <c r="AD499" i="11"/>
  <c r="AD498" i="11"/>
  <c r="AC499" i="11"/>
  <c r="AC498" i="11"/>
  <c r="AN488" i="11"/>
  <c r="AI488" i="11"/>
  <c r="AD488" i="11"/>
  <c r="AC488" i="11"/>
  <c r="AB488" i="11"/>
  <c r="AA488" i="11"/>
  <c r="Y488" i="11"/>
  <c r="X488" i="11"/>
  <c r="W488" i="11"/>
  <c r="V488" i="11"/>
  <c r="U488" i="11"/>
  <c r="T488" i="11"/>
  <c r="Z488" i="11"/>
  <c r="Z20" i="11"/>
  <c r="Z19" i="11"/>
  <c r="Z18" i="11"/>
  <c r="Z17" i="11"/>
  <c r="Z15" i="11"/>
  <c r="Z14" i="11"/>
  <c r="Z13" i="11"/>
  <c r="Z12" i="11"/>
  <c r="J11" i="11"/>
  <c r="L11" i="11"/>
  <c r="S11" i="11"/>
  <c r="R500" i="11"/>
  <c r="R499" i="11"/>
  <c r="R498" i="11"/>
  <c r="R495" i="11"/>
  <c r="R493" i="11"/>
  <c r="R404" i="11"/>
  <c r="R393" i="11"/>
  <c r="R392" i="11"/>
  <c r="R371" i="11"/>
  <c r="R308" i="11"/>
  <c r="R245" i="11"/>
  <c r="R199" i="11"/>
  <c r="R181" i="11"/>
  <c r="R158" i="11"/>
  <c r="R153" i="11"/>
  <c r="R137" i="11"/>
  <c r="R133" i="11"/>
  <c r="R132" i="11"/>
  <c r="R128" i="11"/>
  <c r="R127" i="11"/>
  <c r="R124" i="11"/>
  <c r="R121" i="11"/>
  <c r="R120" i="11"/>
  <c r="R119" i="11"/>
  <c r="R118" i="11"/>
  <c r="R117" i="11"/>
  <c r="R116" i="11"/>
  <c r="R115" i="11"/>
  <c r="R111" i="11"/>
  <c r="R110" i="11"/>
  <c r="R109" i="11"/>
  <c r="R106" i="11"/>
  <c r="R96" i="11"/>
  <c r="R92" i="11"/>
  <c r="R91" i="11"/>
  <c r="R89" i="11"/>
  <c r="R85" i="11"/>
  <c r="R83" i="11"/>
  <c r="R81" i="11"/>
  <c r="R79" i="11"/>
  <c r="R28" i="11"/>
  <c r="R26" i="11"/>
  <c r="R24" i="11"/>
  <c r="R22" i="11"/>
  <c r="R16" i="11"/>
  <c r="R11" i="11"/>
  <c r="P500" i="11"/>
  <c r="P499" i="11"/>
  <c r="P498" i="11"/>
  <c r="P495" i="11"/>
  <c r="P493" i="11"/>
  <c r="P404" i="11"/>
  <c r="P393" i="11"/>
  <c r="P392" i="11"/>
  <c r="P371" i="11"/>
  <c r="P370" i="11"/>
  <c r="P308" i="11"/>
  <c r="P245" i="11"/>
  <c r="P207" i="11"/>
  <c r="P199" i="11"/>
  <c r="P181" i="11"/>
  <c r="P158" i="11"/>
  <c r="P153" i="11"/>
  <c r="P137" i="11"/>
  <c r="P133" i="11"/>
  <c r="P132" i="11"/>
  <c r="P128" i="11"/>
  <c r="P127" i="11"/>
  <c r="P124" i="11"/>
  <c r="P122" i="11"/>
  <c r="P121" i="11"/>
  <c r="P120" i="11"/>
  <c r="P119" i="11"/>
  <c r="P118" i="11"/>
  <c r="P117" i="11"/>
  <c r="P116" i="11"/>
  <c r="P115" i="11"/>
  <c r="P111" i="11"/>
  <c r="P110" i="11"/>
  <c r="P109" i="11"/>
  <c r="P96" i="11"/>
  <c r="P92" i="11"/>
  <c r="P91" i="11"/>
  <c r="P89" i="11"/>
  <c r="P87" i="11"/>
  <c r="P85" i="11"/>
  <c r="P83" i="11"/>
  <c r="P81" i="11"/>
  <c r="P79" i="11"/>
  <c r="P28" i="11"/>
  <c r="P26" i="11"/>
  <c r="P24" i="11"/>
  <c r="P22" i="11"/>
  <c r="P16" i="11"/>
  <c r="P11" i="11"/>
  <c r="O11" i="11"/>
  <c r="M11" i="11"/>
  <c r="AI496" i="11" l="1"/>
  <c r="AI495" i="11"/>
  <c r="AI493" i="11"/>
  <c r="AI492" i="11" s="1"/>
  <c r="AI490" i="11"/>
  <c r="AI489" i="11"/>
  <c r="AI487" i="11"/>
  <c r="AI486" i="11"/>
  <c r="AI485" i="11"/>
  <c r="AI484" i="11"/>
  <c r="AI483" i="11"/>
  <c r="AI482" i="11"/>
  <c r="AI481" i="11"/>
  <c r="AI480" i="11"/>
  <c r="AI479" i="11"/>
  <c r="AI478" i="11"/>
  <c r="AI477" i="11"/>
  <c r="AI476" i="11"/>
  <c r="AI475" i="11"/>
  <c r="AI474" i="11"/>
  <c r="AI473" i="11"/>
  <c r="AI472" i="11"/>
  <c r="AI471" i="11"/>
  <c r="AI470" i="11"/>
  <c r="AI469" i="11"/>
  <c r="AI468" i="11"/>
  <c r="AI467" i="11"/>
  <c r="AI466" i="11"/>
  <c r="AI465" i="11"/>
  <c r="AI464" i="11"/>
  <c r="AI463" i="11"/>
  <c r="AI462" i="11"/>
  <c r="AI461" i="11"/>
  <c r="AI460" i="11"/>
  <c r="AI459" i="11"/>
  <c r="AI458" i="11"/>
  <c r="AI457" i="11"/>
  <c r="AI456" i="11"/>
  <c r="AI455" i="11"/>
  <c r="AI454" i="11"/>
  <c r="AI453" i="11"/>
  <c r="AI452" i="11"/>
  <c r="AI451" i="11"/>
  <c r="AI450" i="11"/>
  <c r="AI449" i="11"/>
  <c r="AI448" i="11"/>
  <c r="AI447" i="11"/>
  <c r="AI446" i="11"/>
  <c r="AI445" i="11"/>
  <c r="AI444" i="11"/>
  <c r="AI443" i="11"/>
  <c r="AI442" i="11"/>
  <c r="AI441" i="11"/>
  <c r="AI440" i="11"/>
  <c r="AI439" i="11"/>
  <c r="AI438" i="11"/>
  <c r="AI437" i="11"/>
  <c r="AI436" i="11"/>
  <c r="AI435" i="11"/>
  <c r="AI434" i="11"/>
  <c r="AI433" i="11"/>
  <c r="AI432" i="11"/>
  <c r="AI431" i="11"/>
  <c r="AI430" i="11"/>
  <c r="AI429" i="11"/>
  <c r="AI428" i="11"/>
  <c r="AI427" i="11"/>
  <c r="AI426" i="11"/>
  <c r="AI425" i="11"/>
  <c r="AI424" i="11"/>
  <c r="AI423" i="11"/>
  <c r="AI422" i="11"/>
  <c r="AI421" i="11"/>
  <c r="AI420" i="11"/>
  <c r="AI419" i="11"/>
  <c r="AI418" i="11"/>
  <c r="AI417" i="11"/>
  <c r="AI416" i="11"/>
  <c r="AI415" i="11"/>
  <c r="AI414" i="11"/>
  <c r="AI413" i="11"/>
  <c r="AI412" i="11"/>
  <c r="AI411" i="11"/>
  <c r="AI410" i="11"/>
  <c r="AI409" i="11"/>
  <c r="AI408" i="11"/>
  <c r="AI407" i="11"/>
  <c r="AI406" i="11"/>
  <c r="AI405" i="11"/>
  <c r="AI404" i="11"/>
  <c r="AI403" i="11"/>
  <c r="AI402" i="11"/>
  <c r="AI401" i="11"/>
  <c r="AI400" i="11"/>
  <c r="AI399" i="11"/>
  <c r="AI398" i="11"/>
  <c r="AI397" i="11"/>
  <c r="AI396" i="11"/>
  <c r="AI395" i="11"/>
  <c r="AI394" i="11"/>
  <c r="AI393" i="11"/>
  <c r="AI392" i="11"/>
  <c r="AI391" i="11"/>
  <c r="AI389" i="11"/>
  <c r="AI388" i="11"/>
  <c r="AI387" i="11"/>
  <c r="AI385" i="11"/>
  <c r="AI384" i="11"/>
  <c r="AI383" i="11"/>
  <c r="AI382" i="11"/>
  <c r="AI381" i="11"/>
  <c r="AI380" i="11"/>
  <c r="AI379" i="11"/>
  <c r="AI378" i="11"/>
  <c r="AI377" i="11"/>
  <c r="AI376" i="11"/>
  <c r="AI375" i="11"/>
  <c r="AI374" i="11"/>
  <c r="AI373" i="11"/>
  <c r="AI372" i="11"/>
  <c r="AI371" i="11"/>
  <c r="AI370" i="11"/>
  <c r="AI369" i="11"/>
  <c r="AI368" i="11"/>
  <c r="AI367" i="11"/>
  <c r="AI366" i="11"/>
  <c r="AI365" i="11"/>
  <c r="AI364" i="11"/>
  <c r="AI363" i="11"/>
  <c r="AI362" i="11"/>
  <c r="AI361" i="11"/>
  <c r="AI360" i="11"/>
  <c r="AI359" i="11"/>
  <c r="AI358" i="11"/>
  <c r="AI357" i="11"/>
  <c r="AI356" i="11"/>
  <c r="AI355" i="11"/>
  <c r="AI354" i="11"/>
  <c r="AI353" i="11"/>
  <c r="AI352" i="11"/>
  <c r="AI350" i="11"/>
  <c r="AI349" i="11"/>
  <c r="AI348" i="11"/>
  <c r="AI347" i="11"/>
  <c r="AI345" i="11"/>
  <c r="AI343" i="11"/>
  <c r="AI342" i="11"/>
  <c r="AI341" i="11"/>
  <c r="AI340" i="11"/>
  <c r="AI339" i="11"/>
  <c r="AI338" i="11"/>
  <c r="AI337" i="11"/>
  <c r="AI336" i="11"/>
  <c r="AI335" i="11"/>
  <c r="AI334" i="11"/>
  <c r="AI333" i="11"/>
  <c r="AI332" i="11"/>
  <c r="AI331" i="11"/>
  <c r="AI330" i="11"/>
  <c r="AI329" i="11"/>
  <c r="AI328" i="11"/>
  <c r="AI327" i="11"/>
  <c r="AI326" i="11"/>
  <c r="AI325" i="11"/>
  <c r="AI324" i="11"/>
  <c r="AI323" i="11"/>
  <c r="AI322" i="11"/>
  <c r="AI321" i="11"/>
  <c r="AI320" i="11"/>
  <c r="AI319" i="11"/>
  <c r="AI318" i="11"/>
  <c r="AI317" i="11"/>
  <c r="AI315" i="11"/>
  <c r="AI314" i="11"/>
  <c r="AI313" i="11"/>
  <c r="AI312" i="11"/>
  <c r="AI311" i="11"/>
  <c r="AI310" i="11"/>
  <c r="AI309" i="11"/>
  <c r="AI308" i="11"/>
  <c r="AI307" i="11"/>
  <c r="AI306" i="11"/>
  <c r="AI305" i="11"/>
  <c r="AI304" i="11"/>
  <c r="AI303" i="11"/>
  <c r="AI302" i="11"/>
  <c r="AI301" i="11"/>
  <c r="AI300" i="11"/>
  <c r="AI299" i="11"/>
  <c r="AI298" i="11"/>
  <c r="AI297" i="11"/>
  <c r="AI296" i="11"/>
  <c r="AI295" i="11"/>
  <c r="AI294" i="11"/>
  <c r="AI293" i="11"/>
  <c r="AI292" i="11"/>
  <c r="AI291" i="11"/>
  <c r="AI290" i="11"/>
  <c r="AI289" i="11"/>
  <c r="AI288" i="11"/>
  <c r="AI287" i="11"/>
  <c r="AI286" i="11"/>
  <c r="AI285" i="11"/>
  <c r="AI284" i="11"/>
  <c r="AI283" i="11"/>
  <c r="AI282" i="11"/>
  <c r="AI280" i="11"/>
  <c r="AI279" i="11"/>
  <c r="AI278" i="11"/>
  <c r="AI277" i="11"/>
  <c r="AI276" i="11"/>
  <c r="AI275" i="11"/>
  <c r="AI274" i="11"/>
  <c r="AI273" i="11"/>
  <c r="AI272" i="11"/>
  <c r="AI271" i="11"/>
  <c r="AI270" i="11"/>
  <c r="AI269" i="11"/>
  <c r="AI268" i="11"/>
  <c r="AI267" i="11"/>
  <c r="AI266" i="11"/>
  <c r="AI265" i="11"/>
  <c r="AI264" i="11"/>
  <c r="AI251" i="11"/>
  <c r="AI250" i="11"/>
  <c r="AI249" i="11"/>
  <c r="AI248" i="11"/>
  <c r="AI247" i="11"/>
  <c r="AI246" i="11"/>
  <c r="AI245" i="11"/>
  <c r="AI244" i="11"/>
  <c r="AI243" i="11"/>
  <c r="AI242" i="11"/>
  <c r="AI241" i="11"/>
  <c r="AI240" i="11"/>
  <c r="AI239" i="11"/>
  <c r="AI238" i="11"/>
  <c r="AI237" i="11"/>
  <c r="AI236" i="11"/>
  <c r="AI235" i="11"/>
  <c r="AI234" i="11"/>
  <c r="AI233" i="11"/>
  <c r="AI232" i="11"/>
  <c r="AI231" i="11"/>
  <c r="AI230" i="11"/>
  <c r="AI229" i="11"/>
  <c r="AI228" i="11"/>
  <c r="AI227" i="11"/>
  <c r="AI226" i="11"/>
  <c r="AI225" i="11"/>
  <c r="AI224" i="11"/>
  <c r="AI223" i="11"/>
  <c r="AI222" i="11"/>
  <c r="AI221" i="11"/>
  <c r="AI220" i="11"/>
  <c r="AI219" i="11"/>
  <c r="AI218" i="11"/>
  <c r="AI217" i="11"/>
  <c r="AI216" i="11"/>
  <c r="AI215" i="11"/>
  <c r="AI214" i="11"/>
  <c r="AI213" i="11"/>
  <c r="AI212" i="11"/>
  <c r="AI211" i="11"/>
  <c r="AI210" i="11"/>
  <c r="AI209" i="11"/>
  <c r="AI208" i="11"/>
  <c r="AI207" i="11"/>
  <c r="AI206" i="11"/>
  <c r="AI205" i="11"/>
  <c r="AI204" i="11"/>
  <c r="AI203" i="11"/>
  <c r="AI202" i="11"/>
  <c r="AI201" i="11"/>
  <c r="AI200" i="11"/>
  <c r="AI199" i="11"/>
  <c r="AI198" i="11"/>
  <c r="AI197" i="11"/>
  <c r="AI196" i="11"/>
  <c r="AI195" i="11"/>
  <c r="AI194" i="11"/>
  <c r="AI193" i="11"/>
  <c r="AI192" i="11"/>
  <c r="AI191" i="11"/>
  <c r="AI190" i="11"/>
  <c r="AI189" i="11"/>
  <c r="AI188" i="11"/>
  <c r="AI187" i="11"/>
  <c r="AI186" i="11"/>
  <c r="AI185" i="11"/>
  <c r="AI184" i="11"/>
  <c r="AI183" i="11"/>
  <c r="AI182" i="11"/>
  <c r="AI181" i="11"/>
  <c r="AI180" i="11"/>
  <c r="AI179" i="11"/>
  <c r="AI178" i="11"/>
  <c r="AI177" i="11"/>
  <c r="AI176" i="11"/>
  <c r="AI175" i="11"/>
  <c r="AI174" i="11"/>
  <c r="AI173" i="11"/>
  <c r="AI172" i="11"/>
  <c r="AI171" i="11"/>
  <c r="AI170" i="11"/>
  <c r="AI169" i="11"/>
  <c r="AI168" i="11"/>
  <c r="AI167" i="11"/>
  <c r="AI166" i="11"/>
  <c r="AI165" i="11"/>
  <c r="AI164" i="11"/>
  <c r="AI163" i="11"/>
  <c r="AI162" i="11"/>
  <c r="AI161" i="11"/>
  <c r="AI160" i="11"/>
  <c r="AI159" i="11"/>
  <c r="AI158" i="11"/>
  <c r="AI157" i="11"/>
  <c r="AI156" i="11"/>
  <c r="AI155" i="11"/>
  <c r="AI154" i="11"/>
  <c r="AI153" i="11"/>
  <c r="AI152" i="11"/>
  <c r="AI151" i="11"/>
  <c r="AI150" i="11"/>
  <c r="AI149" i="11"/>
  <c r="AI148" i="11"/>
  <c r="AI147" i="11"/>
  <c r="AI146" i="11"/>
  <c r="AI145" i="11"/>
  <c r="AI144" i="11"/>
  <c r="AI143" i="11"/>
  <c r="AI142" i="11"/>
  <c r="AI141" i="11"/>
  <c r="AI140" i="11"/>
  <c r="AI139" i="11"/>
  <c r="AI138" i="11"/>
  <c r="AI137" i="11"/>
  <c r="AI136" i="11"/>
  <c r="AI135" i="11"/>
  <c r="AI134" i="11"/>
  <c r="AI133" i="11"/>
  <c r="AI132" i="11"/>
  <c r="AI131" i="11"/>
  <c r="AI130" i="11"/>
  <c r="AI129" i="11"/>
  <c r="AI128" i="11"/>
  <c r="AI127" i="11"/>
  <c r="AI126" i="11"/>
  <c r="AI125" i="11"/>
  <c r="AI124" i="11"/>
  <c r="AI122" i="11"/>
  <c r="AI121" i="11"/>
  <c r="AI120" i="11"/>
  <c r="AI119" i="11"/>
  <c r="AI118" i="11"/>
  <c r="AI117" i="11"/>
  <c r="AI116" i="11"/>
  <c r="AI115" i="11"/>
  <c r="AI113" i="11"/>
  <c r="AI112" i="11"/>
  <c r="AI111" i="11"/>
  <c r="AI110" i="11"/>
  <c r="AI109" i="11"/>
  <c r="AI106" i="11"/>
  <c r="AI97" i="11"/>
  <c r="AI96" i="11"/>
  <c r="AI94" i="11"/>
  <c r="AI93" i="11"/>
  <c r="AI92" i="11"/>
  <c r="AI91" i="11"/>
  <c r="AI89" i="11"/>
  <c r="AI88" i="11" s="1"/>
  <c r="AI87" i="11"/>
  <c r="AI86" i="11" s="1"/>
  <c r="AI85" i="11"/>
  <c r="AI84" i="11" s="1"/>
  <c r="AI83" i="11"/>
  <c r="AI82" i="11" s="1"/>
  <c r="AI81" i="11"/>
  <c r="AI80" i="11" s="1"/>
  <c r="AI79" i="11"/>
  <c r="AI78" i="11" s="1"/>
  <c r="AI76" i="11"/>
  <c r="AI75" i="11"/>
  <c r="AI73" i="11"/>
  <c r="AI72" i="11"/>
  <c r="AI71" i="11"/>
  <c r="AI70" i="11"/>
  <c r="AI69" i="11"/>
  <c r="AI68" i="11"/>
  <c r="AI67" i="11"/>
  <c r="AI64" i="11"/>
  <c r="AI63" i="11"/>
  <c r="AI62" i="11"/>
  <c r="AI60" i="11"/>
  <c r="AI57" i="11"/>
  <c r="AI56" i="11" s="1"/>
  <c r="AI55" i="11"/>
  <c r="AI53" i="11"/>
  <c r="AI51" i="11"/>
  <c r="AI50" i="11" s="1"/>
  <c r="AI49" i="11"/>
  <c r="AI48" i="11"/>
  <c r="AI46" i="11"/>
  <c r="AI45" i="11" s="1"/>
  <c r="AI44" i="11"/>
  <c r="AI43" i="11" s="1"/>
  <c r="AI42" i="11"/>
  <c r="AI41" i="11"/>
  <c r="AI40" i="11"/>
  <c r="AI39" i="11"/>
  <c r="AI37" i="11"/>
  <c r="AI31" i="11"/>
  <c r="AI28" i="11"/>
  <c r="AI27" i="11" s="1"/>
  <c r="AI25" i="11"/>
  <c r="AI23" i="11"/>
  <c r="AI21" i="11"/>
  <c r="AI20" i="11"/>
  <c r="AI19" i="11"/>
  <c r="AI17" i="11"/>
  <c r="AI16" i="11"/>
  <c r="AI14" i="11"/>
  <c r="AI13" i="11"/>
  <c r="AD496" i="11"/>
  <c r="AD495" i="11"/>
  <c r="AD493" i="11"/>
  <c r="AD492" i="11" s="1"/>
  <c r="AD490" i="11"/>
  <c r="AD489" i="11"/>
  <c r="AD487" i="11"/>
  <c r="AD486" i="11"/>
  <c r="AD485" i="11"/>
  <c r="AD484" i="11"/>
  <c r="AD483" i="11"/>
  <c r="AD482" i="11"/>
  <c r="AD481" i="11"/>
  <c r="AD480" i="11"/>
  <c r="AD479" i="11"/>
  <c r="AD478" i="11"/>
  <c r="AD477" i="11"/>
  <c r="AD476" i="11"/>
  <c r="AD475" i="11"/>
  <c r="AD474" i="11"/>
  <c r="AD473" i="11"/>
  <c r="AD472" i="11"/>
  <c r="AD471" i="11"/>
  <c r="AD470" i="11"/>
  <c r="AD469" i="11"/>
  <c r="AD468" i="11"/>
  <c r="AD467" i="11"/>
  <c r="AD466" i="11"/>
  <c r="AD465" i="11"/>
  <c r="AD464" i="11"/>
  <c r="AD463" i="11"/>
  <c r="AD462" i="11"/>
  <c r="AD461" i="11"/>
  <c r="AD460" i="11"/>
  <c r="AD459" i="11"/>
  <c r="AD458" i="11"/>
  <c r="AD457" i="11"/>
  <c r="AD456" i="11"/>
  <c r="AD455" i="11"/>
  <c r="AD454" i="11"/>
  <c r="AD453" i="11"/>
  <c r="AD452" i="11"/>
  <c r="AD451" i="11"/>
  <c r="AD450" i="11"/>
  <c r="AD449" i="11"/>
  <c r="AD448" i="11"/>
  <c r="AD447" i="11"/>
  <c r="AD446" i="11"/>
  <c r="AD445" i="11"/>
  <c r="AD444" i="11"/>
  <c r="AD443" i="11"/>
  <c r="AD442" i="11"/>
  <c r="AD441" i="11"/>
  <c r="AD440" i="11"/>
  <c r="AD439" i="11"/>
  <c r="AD438" i="11"/>
  <c r="AD437" i="11"/>
  <c r="AD436" i="11"/>
  <c r="AD435" i="11"/>
  <c r="AD434" i="11"/>
  <c r="AD433" i="11"/>
  <c r="AD432" i="11"/>
  <c r="AD431" i="11"/>
  <c r="AD430" i="11"/>
  <c r="AD429" i="11"/>
  <c r="AD428" i="11"/>
  <c r="AD427" i="11"/>
  <c r="AD426" i="11"/>
  <c r="AD425" i="11"/>
  <c r="AD424" i="11"/>
  <c r="AD423" i="11"/>
  <c r="AD422" i="11"/>
  <c r="AD421" i="11"/>
  <c r="AD420" i="11"/>
  <c r="AD419" i="11"/>
  <c r="AD418" i="11"/>
  <c r="AD417" i="11"/>
  <c r="AD416" i="11"/>
  <c r="AD415" i="11"/>
  <c r="AD414" i="11"/>
  <c r="AD413" i="11"/>
  <c r="AD412" i="11"/>
  <c r="AD411" i="11"/>
  <c r="AD410" i="11"/>
  <c r="AD409" i="11"/>
  <c r="AD408" i="11"/>
  <c r="AD407" i="11"/>
  <c r="AD406" i="11"/>
  <c r="AD405" i="11"/>
  <c r="AD404" i="11"/>
  <c r="AD403" i="11"/>
  <c r="AD402" i="11"/>
  <c r="AD401" i="11"/>
  <c r="AD400" i="11"/>
  <c r="AD399" i="11"/>
  <c r="AD398" i="11"/>
  <c r="AD397" i="11"/>
  <c r="AD396" i="11"/>
  <c r="AD395" i="11"/>
  <c r="AD394" i="11"/>
  <c r="AD393" i="11"/>
  <c r="AD392" i="11"/>
  <c r="AD391" i="11"/>
  <c r="AD389" i="11"/>
  <c r="AD388" i="11"/>
  <c r="AD387" i="11"/>
  <c r="AD385" i="11"/>
  <c r="AD384" i="11"/>
  <c r="AD383" i="11"/>
  <c r="AD382" i="11"/>
  <c r="AD381" i="11"/>
  <c r="AD380" i="11"/>
  <c r="AD379" i="11"/>
  <c r="AD378" i="11"/>
  <c r="AD377" i="11"/>
  <c r="AD376" i="11"/>
  <c r="AD375" i="11"/>
  <c r="AD374" i="11"/>
  <c r="AD373" i="11"/>
  <c r="AD372" i="11"/>
  <c r="AD371" i="11"/>
  <c r="AD370" i="11"/>
  <c r="AD369" i="11"/>
  <c r="AD368" i="11"/>
  <c r="AD367" i="11"/>
  <c r="AD366" i="11"/>
  <c r="AD365" i="11"/>
  <c r="AD364" i="11"/>
  <c r="AD363" i="11"/>
  <c r="AD362" i="11"/>
  <c r="AD361" i="11"/>
  <c r="AD360" i="11"/>
  <c r="AD359" i="11"/>
  <c r="AD358" i="11"/>
  <c r="AD357" i="11"/>
  <c r="AD356" i="11"/>
  <c r="AD355" i="11"/>
  <c r="AD354" i="11"/>
  <c r="AD353" i="11"/>
  <c r="AD352" i="11"/>
  <c r="AD350" i="11"/>
  <c r="AD349" i="11"/>
  <c r="AD348" i="11"/>
  <c r="AD347" i="11"/>
  <c r="AD345" i="11"/>
  <c r="AD343" i="11"/>
  <c r="AD342" i="11"/>
  <c r="AD341" i="11"/>
  <c r="AD340" i="11"/>
  <c r="AD339" i="11"/>
  <c r="AD338" i="11"/>
  <c r="AD337" i="11"/>
  <c r="AD336" i="11"/>
  <c r="AD335" i="11"/>
  <c r="AD334" i="11"/>
  <c r="AD333" i="11"/>
  <c r="AD332" i="11"/>
  <c r="AD331" i="11"/>
  <c r="AD330" i="11"/>
  <c r="AD329" i="11"/>
  <c r="AD328" i="11"/>
  <c r="AD327" i="11"/>
  <c r="AD326" i="11"/>
  <c r="AD325" i="11"/>
  <c r="AD324" i="11"/>
  <c r="AD323" i="11"/>
  <c r="AD322" i="11"/>
  <c r="AD321" i="11"/>
  <c r="AD320" i="11"/>
  <c r="AD319" i="11"/>
  <c r="AD318" i="11"/>
  <c r="AD317" i="11"/>
  <c r="AD315" i="11"/>
  <c r="AD314" i="11"/>
  <c r="AD313" i="11"/>
  <c r="AD312" i="11"/>
  <c r="AD311" i="11"/>
  <c r="AD310" i="11"/>
  <c r="AD309" i="11"/>
  <c r="AD308" i="11"/>
  <c r="AD307" i="11"/>
  <c r="AD306" i="11"/>
  <c r="AD305" i="11"/>
  <c r="AD304" i="11"/>
  <c r="AD303" i="11"/>
  <c r="AD302" i="11"/>
  <c r="AD301" i="11"/>
  <c r="AD300" i="11"/>
  <c r="AD299" i="11"/>
  <c r="AD298" i="11"/>
  <c r="AD297" i="11"/>
  <c r="AD296" i="11"/>
  <c r="AD295" i="11"/>
  <c r="AD294" i="11"/>
  <c r="AD293" i="11"/>
  <c r="AD292" i="11"/>
  <c r="AD291" i="11"/>
  <c r="AD290" i="11"/>
  <c r="AD289" i="11"/>
  <c r="AD288" i="11"/>
  <c r="AD287" i="11"/>
  <c r="AD286" i="11"/>
  <c r="AD285" i="11"/>
  <c r="AD284" i="11"/>
  <c r="AD283" i="11"/>
  <c r="AD282" i="11"/>
  <c r="AD280" i="11"/>
  <c r="AD279" i="11"/>
  <c r="AD278" i="11"/>
  <c r="AD277" i="11"/>
  <c r="AD276" i="11"/>
  <c r="AD275" i="11"/>
  <c r="AD274" i="11"/>
  <c r="AD273" i="11"/>
  <c r="AD272" i="11"/>
  <c r="AD271" i="11"/>
  <c r="AD270" i="11"/>
  <c r="AD269" i="11"/>
  <c r="AD268" i="11"/>
  <c r="AD267" i="11"/>
  <c r="AD266" i="11"/>
  <c r="AD265" i="11"/>
  <c r="AD264" i="11"/>
  <c r="AD251" i="11"/>
  <c r="AD250" i="11"/>
  <c r="AD249" i="11"/>
  <c r="AD248" i="11"/>
  <c r="AD247" i="11"/>
  <c r="AD246" i="11"/>
  <c r="AD245" i="11"/>
  <c r="AD244" i="11"/>
  <c r="AD243" i="11"/>
  <c r="AD242" i="11"/>
  <c r="AD241" i="11"/>
  <c r="AD240" i="11"/>
  <c r="AD239" i="11"/>
  <c r="AD238" i="11"/>
  <c r="AD237" i="11"/>
  <c r="AD236" i="11"/>
  <c r="AD235" i="11"/>
  <c r="AD234" i="11"/>
  <c r="AD233" i="11"/>
  <c r="AD232" i="11"/>
  <c r="AD231" i="11"/>
  <c r="AD230" i="11"/>
  <c r="AD229" i="11"/>
  <c r="AD228" i="11"/>
  <c r="AD227" i="11"/>
  <c r="AD226" i="11"/>
  <c r="AD225" i="11"/>
  <c r="AD224" i="11"/>
  <c r="AD223" i="11"/>
  <c r="AD222" i="11"/>
  <c r="AD221" i="11"/>
  <c r="AD220" i="11"/>
  <c r="AD219" i="11"/>
  <c r="AD218" i="11"/>
  <c r="AD217" i="11"/>
  <c r="AD216" i="11"/>
  <c r="AD215" i="11"/>
  <c r="AD214" i="11"/>
  <c r="AD213" i="11"/>
  <c r="AD212" i="11"/>
  <c r="AD211" i="11"/>
  <c r="AD210" i="11"/>
  <c r="AD209" i="11"/>
  <c r="AD208" i="11"/>
  <c r="AD207" i="11"/>
  <c r="AD206" i="11"/>
  <c r="AD205" i="11"/>
  <c r="AD204" i="11"/>
  <c r="AD203" i="11"/>
  <c r="AD202" i="11"/>
  <c r="AD201" i="11"/>
  <c r="AD200" i="11"/>
  <c r="AD199" i="11"/>
  <c r="AD198" i="11"/>
  <c r="AD197" i="11"/>
  <c r="AD196" i="11"/>
  <c r="AD195" i="11"/>
  <c r="AD194" i="11"/>
  <c r="AD193" i="11"/>
  <c r="AD192" i="11"/>
  <c r="AD191" i="11"/>
  <c r="AD190" i="11"/>
  <c r="AD189" i="11"/>
  <c r="AD188" i="11"/>
  <c r="AD187" i="11"/>
  <c r="AD186" i="11"/>
  <c r="AD185" i="11"/>
  <c r="AD184" i="11"/>
  <c r="AD183" i="11"/>
  <c r="AD182" i="11"/>
  <c r="AD181" i="11"/>
  <c r="AD180" i="11"/>
  <c r="AD171" i="11"/>
  <c r="AD170" i="11"/>
  <c r="AD169" i="11"/>
  <c r="AD168" i="11"/>
  <c r="AD167" i="11"/>
  <c r="AD166" i="11"/>
  <c r="AD165" i="11"/>
  <c r="AD164" i="11"/>
  <c r="AD163" i="11"/>
  <c r="AD162" i="11"/>
  <c r="AD161" i="11"/>
  <c r="AD160" i="11"/>
  <c r="AD159" i="11"/>
  <c r="AD158" i="11"/>
  <c r="AD157" i="11"/>
  <c r="AD156" i="11"/>
  <c r="AD155" i="11"/>
  <c r="AD154" i="11"/>
  <c r="AD153" i="11"/>
  <c r="AD152" i="11"/>
  <c r="AD151" i="11"/>
  <c r="AD150" i="11"/>
  <c r="AD149" i="11"/>
  <c r="AD148" i="11"/>
  <c r="AD147" i="11"/>
  <c r="AD146" i="11"/>
  <c r="AD145" i="11"/>
  <c r="AD144" i="11"/>
  <c r="AD143" i="11"/>
  <c r="AD142" i="11"/>
  <c r="AD141" i="11"/>
  <c r="AD140" i="11"/>
  <c r="AD139" i="11"/>
  <c r="AD138" i="11"/>
  <c r="AD137" i="11"/>
  <c r="AD136" i="11"/>
  <c r="AD135" i="11"/>
  <c r="AD134" i="11"/>
  <c r="AD133" i="11"/>
  <c r="AD132" i="11"/>
  <c r="AD131" i="11"/>
  <c r="AD130" i="11"/>
  <c r="AD129" i="11"/>
  <c r="AD128" i="11"/>
  <c r="AD127" i="11"/>
  <c r="AD126" i="11"/>
  <c r="AD125" i="11"/>
  <c r="AD124" i="11"/>
  <c r="AD122" i="11"/>
  <c r="AD121" i="11"/>
  <c r="AD120" i="11"/>
  <c r="AD119" i="11"/>
  <c r="AD118" i="11"/>
  <c r="AD117" i="11"/>
  <c r="AD116" i="11"/>
  <c r="AD115" i="11"/>
  <c r="AD113" i="11"/>
  <c r="AD112" i="11"/>
  <c r="AD111" i="11"/>
  <c r="AD110" i="11"/>
  <c r="AD109" i="11"/>
  <c r="AD106" i="11"/>
  <c r="AD97" i="11"/>
  <c r="AD96" i="11"/>
  <c r="AD94" i="11"/>
  <c r="AD93" i="11"/>
  <c r="AD92" i="11"/>
  <c r="AD91" i="11"/>
  <c r="AD87" i="11"/>
  <c r="AD86" i="11" s="1"/>
  <c r="AD85" i="11"/>
  <c r="AD84" i="11" s="1"/>
  <c r="AD83" i="11"/>
  <c r="AD82" i="11" s="1"/>
  <c r="AD81" i="11"/>
  <c r="AD80" i="11" s="1"/>
  <c r="AD79" i="11"/>
  <c r="AD78" i="11" s="1"/>
  <c r="AD76" i="11"/>
  <c r="AD75" i="11"/>
  <c r="AD73" i="11"/>
  <c r="AD72" i="11"/>
  <c r="AD71" i="11"/>
  <c r="AD70" i="11"/>
  <c r="AD69" i="11"/>
  <c r="AD68" i="11"/>
  <c r="AD67" i="11"/>
  <c r="AD64" i="11"/>
  <c r="AD63" i="11"/>
  <c r="AD62" i="11"/>
  <c r="AD60" i="11"/>
  <c r="AD57" i="11"/>
  <c r="AD56" i="11" s="1"/>
  <c r="AD55" i="11"/>
  <c r="AD53" i="11"/>
  <c r="AD51" i="11"/>
  <c r="AD50" i="11" s="1"/>
  <c r="AD49" i="11"/>
  <c r="AD48" i="11"/>
  <c r="AD46" i="11"/>
  <c r="AD45" i="11" s="1"/>
  <c r="AD44" i="11"/>
  <c r="AD43" i="11" s="1"/>
  <c r="AD42" i="11"/>
  <c r="AD41" i="11"/>
  <c r="AD40" i="11"/>
  <c r="AD39" i="11"/>
  <c r="AD37" i="11"/>
  <c r="AD31" i="11"/>
  <c r="AD28" i="11"/>
  <c r="AD27" i="11" s="1"/>
  <c r="AD26" i="11"/>
  <c r="AD25" i="11" s="1"/>
  <c r="AD24" i="11"/>
  <c r="AD23" i="11" s="1"/>
  <c r="AD22" i="11"/>
  <c r="AD21" i="11" s="1"/>
  <c r="AD19" i="11"/>
  <c r="AD18" i="11"/>
  <c r="AD14" i="11"/>
  <c r="AH492" i="11"/>
  <c r="AH86" i="11"/>
  <c r="AH84" i="11"/>
  <c r="AH82" i="11"/>
  <c r="AH80" i="11"/>
  <c r="AH78" i="11"/>
  <c r="AH56" i="11"/>
  <c r="AH52" i="11"/>
  <c r="AH50" i="11"/>
  <c r="AH45" i="11"/>
  <c r="AH43" i="11"/>
  <c r="AH27" i="11"/>
  <c r="AH25" i="11"/>
  <c r="AH23" i="11"/>
  <c r="AH21" i="11"/>
  <c r="AN251" i="11"/>
  <c r="AC251" i="11"/>
  <c r="AB251" i="11"/>
  <c r="Z251" i="11"/>
  <c r="Y251" i="11"/>
  <c r="X251" i="11"/>
  <c r="W251" i="11"/>
  <c r="U251" i="11"/>
  <c r="T251" i="11"/>
  <c r="O500" i="11"/>
  <c r="O499" i="11"/>
  <c r="O498" i="11"/>
  <c r="O495" i="11"/>
  <c r="O494" i="11" s="1"/>
  <c r="O493" i="11"/>
  <c r="O492" i="11" s="1"/>
  <c r="O404" i="11"/>
  <c r="O393" i="11"/>
  <c r="O392" i="11"/>
  <c r="O371" i="11"/>
  <c r="O370" i="11"/>
  <c r="O308" i="11"/>
  <c r="O245" i="11"/>
  <c r="O207" i="11"/>
  <c r="O199" i="11"/>
  <c r="O181" i="11"/>
  <c r="O158" i="11"/>
  <c r="O153" i="11"/>
  <c r="O137" i="11"/>
  <c r="O133" i="11"/>
  <c r="O132" i="11"/>
  <c r="O128" i="11"/>
  <c r="O127" i="11"/>
  <c r="O124" i="11"/>
  <c r="O122" i="11"/>
  <c r="O121" i="11"/>
  <c r="O120" i="11"/>
  <c r="O119" i="11"/>
  <c r="O118" i="11"/>
  <c r="O117" i="11"/>
  <c r="O116" i="11"/>
  <c r="O115" i="11"/>
  <c r="O111" i="11"/>
  <c r="O110" i="11"/>
  <c r="O109" i="11"/>
  <c r="O96" i="11"/>
  <c r="O92" i="11"/>
  <c r="O91" i="11"/>
  <c r="O89" i="11"/>
  <c r="O88" i="11" s="1"/>
  <c r="O87" i="11"/>
  <c r="O86" i="11" s="1"/>
  <c r="O85" i="11"/>
  <c r="O84" i="11" s="1"/>
  <c r="O83" i="11"/>
  <c r="O82" i="11" s="1"/>
  <c r="O81" i="11"/>
  <c r="O80" i="11" s="1"/>
  <c r="O79" i="11"/>
  <c r="O78" i="11" s="1"/>
  <c r="P494" i="11"/>
  <c r="P492" i="11"/>
  <c r="P88" i="11"/>
  <c r="P86" i="11"/>
  <c r="P84" i="11"/>
  <c r="P82" i="11"/>
  <c r="P80" i="11"/>
  <c r="P78" i="11"/>
  <c r="P27" i="11"/>
  <c r="P25" i="11"/>
  <c r="P23" i="11"/>
  <c r="P21" i="11"/>
  <c r="O28" i="11"/>
  <c r="O27" i="11" s="1"/>
  <c r="O26" i="11"/>
  <c r="O25" i="11" s="1"/>
  <c r="O24" i="11"/>
  <c r="O23" i="11" s="1"/>
  <c r="O22" i="11"/>
  <c r="O21" i="11" s="1"/>
  <c r="O16" i="11"/>
  <c r="BW251" i="11"/>
  <c r="BH251" i="11"/>
  <c r="AW251" i="11" s="1"/>
  <c r="P251" i="11" s="1"/>
  <c r="BC251" i="11"/>
  <c r="V251" i="11" s="1"/>
  <c r="AZ251" i="11"/>
  <c r="S251" i="11" s="1"/>
  <c r="AU251" i="11"/>
  <c r="N251" i="11" s="1"/>
  <c r="AR251" i="11"/>
  <c r="K251" i="11" s="1"/>
  <c r="AQ251" i="11"/>
  <c r="R251" i="11" l="1"/>
  <c r="AS251" i="11"/>
  <c r="L251" i="11" s="1"/>
  <c r="AT251" i="11"/>
  <c r="M251" i="11" s="1"/>
  <c r="AD30" i="11"/>
  <c r="AA251" i="11"/>
  <c r="AI47" i="11"/>
  <c r="AD52" i="11"/>
  <c r="AD95" i="11"/>
  <c r="AD386" i="11"/>
  <c r="AI494" i="11"/>
  <c r="AI30" i="11"/>
  <c r="AI95" i="11"/>
  <c r="AD47" i="11"/>
  <c r="AH386" i="11"/>
  <c r="AI52" i="11"/>
  <c r="AD346" i="11"/>
  <c r="AH90" i="11"/>
  <c r="AI386" i="11"/>
  <c r="AH30" i="11"/>
  <c r="AD494" i="11"/>
  <c r="AD390" i="11"/>
  <c r="AH494" i="11"/>
  <c r="AH346" i="11"/>
  <c r="AD351" i="11"/>
  <c r="AD281" i="11"/>
  <c r="AI108" i="11"/>
  <c r="AD59" i="11"/>
  <c r="AD263" i="11"/>
  <c r="AI281" i="11"/>
  <c r="AH263" i="11"/>
  <c r="AD316" i="11"/>
  <c r="AH47" i="11"/>
  <c r="AD38" i="11"/>
  <c r="AD90" i="11"/>
  <c r="O497" i="11"/>
  <c r="O491" i="11" s="1"/>
  <c r="O10" i="11"/>
  <c r="O9" i="11" s="1"/>
  <c r="P10" i="11"/>
  <c r="P9" i="11" s="1"/>
  <c r="AH108" i="11"/>
  <c r="AH316" i="11"/>
  <c r="AH59" i="11"/>
  <c r="AH351" i="11"/>
  <c r="AH390" i="11"/>
  <c r="AH281" i="11"/>
  <c r="AH38" i="11"/>
  <c r="AH95" i="11"/>
  <c r="AI38" i="11"/>
  <c r="AI90" i="11"/>
  <c r="AI316" i="11"/>
  <c r="AI351" i="11"/>
  <c r="AI390" i="11"/>
  <c r="AI59" i="11"/>
  <c r="AI346" i="11"/>
  <c r="AI263" i="11"/>
  <c r="P497" i="11"/>
  <c r="P491" i="11" s="1"/>
  <c r="AP251" i="11"/>
  <c r="AV251" i="11"/>
  <c r="O251" i="11" s="1"/>
  <c r="AI77" i="11" l="1"/>
  <c r="AI29" i="11"/>
  <c r="AD29" i="11"/>
  <c r="AH29" i="11"/>
  <c r="AH107" i="11"/>
  <c r="AI107" i="11"/>
  <c r="AW94" i="11"/>
  <c r="P94" i="11" s="1"/>
  <c r="AV490" i="11"/>
  <c r="O490" i="11" s="1"/>
  <c r="AV488" i="11"/>
  <c r="O488" i="11" s="1"/>
  <c r="AV487" i="11"/>
  <c r="O487" i="11" s="1"/>
  <c r="AV486" i="11"/>
  <c r="O486" i="11" s="1"/>
  <c r="AV485" i="11"/>
  <c r="O485" i="11" s="1"/>
  <c r="AV484" i="11"/>
  <c r="O484" i="11" s="1"/>
  <c r="AV483" i="11"/>
  <c r="O483" i="11" s="1"/>
  <c r="AV482" i="11"/>
  <c r="O482" i="11" s="1"/>
  <c r="AV481" i="11"/>
  <c r="O481" i="11" s="1"/>
  <c r="AV480" i="11"/>
  <c r="O480" i="11" s="1"/>
  <c r="AV479" i="11"/>
  <c r="O479" i="11" s="1"/>
  <c r="AV478" i="11"/>
  <c r="O478" i="11" s="1"/>
  <c r="AV477" i="11"/>
  <c r="O477" i="11" s="1"/>
  <c r="AV476" i="11"/>
  <c r="O476" i="11" s="1"/>
  <c r="AV474" i="11"/>
  <c r="O474" i="11" s="1"/>
  <c r="AV473" i="11"/>
  <c r="O473" i="11" s="1"/>
  <c r="AV472" i="11"/>
  <c r="O472" i="11" s="1"/>
  <c r="AV471" i="11"/>
  <c r="O471" i="11" s="1"/>
  <c r="AV470" i="11"/>
  <c r="O470" i="11" s="1"/>
  <c r="AV469" i="11"/>
  <c r="O469" i="11" s="1"/>
  <c r="AV466" i="11"/>
  <c r="O466" i="11" s="1"/>
  <c r="AV465" i="11"/>
  <c r="O465" i="11" s="1"/>
  <c r="AV464" i="11"/>
  <c r="O464" i="11" s="1"/>
  <c r="AV463" i="11"/>
  <c r="O463" i="11" s="1"/>
  <c r="AV462" i="11"/>
  <c r="O462" i="11" s="1"/>
  <c r="AV461" i="11"/>
  <c r="O461" i="11" s="1"/>
  <c r="AV460" i="11"/>
  <c r="O460" i="11" s="1"/>
  <c r="AV459" i="11"/>
  <c r="O459" i="11" s="1"/>
  <c r="AV458" i="11"/>
  <c r="O458" i="11" s="1"/>
  <c r="AV457" i="11"/>
  <c r="O457" i="11" s="1"/>
  <c r="AV456" i="11"/>
  <c r="O456" i="11" s="1"/>
  <c r="AV455" i="11"/>
  <c r="O455" i="11" s="1"/>
  <c r="AV454" i="11"/>
  <c r="O454" i="11" s="1"/>
  <c r="AV453" i="11"/>
  <c r="O453" i="11" s="1"/>
  <c r="AV452" i="11"/>
  <c r="O452" i="11" s="1"/>
  <c r="AV451" i="11"/>
  <c r="O451" i="11" s="1"/>
  <c r="AV450" i="11"/>
  <c r="O450" i="11" s="1"/>
  <c r="AV449" i="11"/>
  <c r="O449" i="11" s="1"/>
  <c r="AV448" i="11"/>
  <c r="O448" i="11" s="1"/>
  <c r="AV447" i="11"/>
  <c r="O447" i="11" s="1"/>
  <c r="AV446" i="11"/>
  <c r="O446" i="11" s="1"/>
  <c r="AV445" i="11"/>
  <c r="O445" i="11" s="1"/>
  <c r="AV444" i="11"/>
  <c r="O444" i="11" s="1"/>
  <c r="AV443" i="11"/>
  <c r="O443" i="11" s="1"/>
  <c r="AV442" i="11"/>
  <c r="O442" i="11" s="1"/>
  <c r="AV441" i="11"/>
  <c r="O441" i="11" s="1"/>
  <c r="AV440" i="11"/>
  <c r="O440" i="11" s="1"/>
  <c r="AV439" i="11"/>
  <c r="O439" i="11" s="1"/>
  <c r="AV438" i="11"/>
  <c r="O438" i="11" s="1"/>
  <c r="AV437" i="11"/>
  <c r="O437" i="11" s="1"/>
  <c r="AV436" i="11"/>
  <c r="O436" i="11" s="1"/>
  <c r="AV435" i="11"/>
  <c r="O435" i="11" s="1"/>
  <c r="AV434" i="11"/>
  <c r="O434" i="11" s="1"/>
  <c r="AV433" i="11"/>
  <c r="O433" i="11" s="1"/>
  <c r="AV432" i="11"/>
  <c r="O432" i="11" s="1"/>
  <c r="AV431" i="11"/>
  <c r="O431" i="11" s="1"/>
  <c r="AV430" i="11"/>
  <c r="O430" i="11" s="1"/>
  <c r="AV429" i="11"/>
  <c r="O429" i="11" s="1"/>
  <c r="AV428" i="11"/>
  <c r="O428" i="11" s="1"/>
  <c r="AV427" i="11"/>
  <c r="O427" i="11" s="1"/>
  <c r="AV426" i="11"/>
  <c r="O426" i="11" s="1"/>
  <c r="AV425" i="11"/>
  <c r="O425" i="11" s="1"/>
  <c r="AV424" i="11"/>
  <c r="O424" i="11" s="1"/>
  <c r="AV423" i="11"/>
  <c r="O423" i="11" s="1"/>
  <c r="AV422" i="11"/>
  <c r="O422" i="11" s="1"/>
  <c r="AV421" i="11"/>
  <c r="O421" i="11" s="1"/>
  <c r="AV420" i="11"/>
  <c r="O420" i="11" s="1"/>
  <c r="AV419" i="11"/>
  <c r="O419" i="11" s="1"/>
  <c r="AV418" i="11"/>
  <c r="O418" i="11" s="1"/>
  <c r="AV417" i="11"/>
  <c r="O417" i="11" s="1"/>
  <c r="AV416" i="11"/>
  <c r="O416" i="11" s="1"/>
  <c r="AV415" i="11"/>
  <c r="O415" i="11" s="1"/>
  <c r="AV414" i="11"/>
  <c r="O414" i="11" s="1"/>
  <c r="AV413" i="11"/>
  <c r="O413" i="11" s="1"/>
  <c r="AV412" i="11"/>
  <c r="O412" i="11" s="1"/>
  <c r="AV411" i="11"/>
  <c r="O411" i="11" s="1"/>
  <c r="AV410" i="11"/>
  <c r="O410" i="11" s="1"/>
  <c r="AV409" i="11"/>
  <c r="O409" i="11" s="1"/>
  <c r="AV408" i="11"/>
  <c r="O408" i="11" s="1"/>
  <c r="AV407" i="11"/>
  <c r="O407" i="11" s="1"/>
  <c r="AV406" i="11"/>
  <c r="O406" i="11" s="1"/>
  <c r="AV405" i="11"/>
  <c r="O405" i="11" s="1"/>
  <c r="AV403" i="11"/>
  <c r="O403" i="11" s="1"/>
  <c r="AV402" i="11"/>
  <c r="O402" i="11" s="1"/>
  <c r="AV401" i="11"/>
  <c r="O401" i="11" s="1"/>
  <c r="AV400" i="11"/>
  <c r="O400" i="11" s="1"/>
  <c r="AV399" i="11"/>
  <c r="O399" i="11" s="1"/>
  <c r="AV398" i="11"/>
  <c r="O398" i="11" s="1"/>
  <c r="AV397" i="11"/>
  <c r="O397" i="11" s="1"/>
  <c r="AV396" i="11"/>
  <c r="O396" i="11" s="1"/>
  <c r="AV395" i="11"/>
  <c r="O395" i="11" s="1"/>
  <c r="AV394" i="11"/>
  <c r="O394" i="11" s="1"/>
  <c r="AV391" i="11"/>
  <c r="O391" i="11" s="1"/>
  <c r="AV387" i="11"/>
  <c r="O387" i="11" s="1"/>
  <c r="AV364" i="11"/>
  <c r="O364" i="11" s="1"/>
  <c r="AV363" i="11"/>
  <c r="O363" i="11" s="1"/>
  <c r="AV361" i="11"/>
  <c r="O361" i="11" s="1"/>
  <c r="AV360" i="11"/>
  <c r="O360" i="11" s="1"/>
  <c r="AV359" i="11"/>
  <c r="O359" i="11" s="1"/>
  <c r="AV354" i="11"/>
  <c r="O354" i="11" s="1"/>
  <c r="AV348" i="11"/>
  <c r="O348" i="11" s="1"/>
  <c r="AV347" i="11"/>
  <c r="O347" i="11" s="1"/>
  <c r="AV339" i="11"/>
  <c r="O339" i="11" s="1"/>
  <c r="AV338" i="11"/>
  <c r="O338" i="11" s="1"/>
  <c r="AV337" i="11"/>
  <c r="O337" i="11" s="1"/>
  <c r="AV336" i="11"/>
  <c r="O336" i="11" s="1"/>
  <c r="AV335" i="11"/>
  <c r="O335" i="11" s="1"/>
  <c r="AV334" i="11"/>
  <c r="O334" i="11" s="1"/>
  <c r="AV333" i="11"/>
  <c r="O333" i="11" s="1"/>
  <c r="AV332" i="11"/>
  <c r="O332" i="11" s="1"/>
  <c r="AV331" i="11"/>
  <c r="O331" i="11" s="1"/>
  <c r="AV330" i="11"/>
  <c r="O330" i="11" s="1"/>
  <c r="AV329" i="11"/>
  <c r="O329" i="11" s="1"/>
  <c r="AV328" i="11"/>
  <c r="O328" i="11" s="1"/>
  <c r="AV327" i="11"/>
  <c r="O327" i="11" s="1"/>
  <c r="AV326" i="11"/>
  <c r="O326" i="11" s="1"/>
  <c r="AV325" i="11"/>
  <c r="O325" i="11" s="1"/>
  <c r="AV324" i="11"/>
  <c r="O324" i="11" s="1"/>
  <c r="AV323" i="11"/>
  <c r="O323" i="11" s="1"/>
  <c r="AV322" i="11"/>
  <c r="O322" i="11" s="1"/>
  <c r="AV321" i="11"/>
  <c r="O321" i="11" s="1"/>
  <c r="AV320" i="11"/>
  <c r="O320" i="11" s="1"/>
  <c r="AV319" i="11"/>
  <c r="O319" i="11" s="1"/>
  <c r="AV318" i="11"/>
  <c r="O318" i="11" s="1"/>
  <c r="AV317" i="11"/>
  <c r="O317" i="11" s="1"/>
  <c r="AV315" i="11"/>
  <c r="O315" i="11" s="1"/>
  <c r="AV314" i="11"/>
  <c r="O314" i="11" s="1"/>
  <c r="AV313" i="11"/>
  <c r="O313" i="11" s="1"/>
  <c r="AV312" i="11"/>
  <c r="O312" i="11" s="1"/>
  <c r="AV311" i="11"/>
  <c r="O311" i="11" s="1"/>
  <c r="AV310" i="11"/>
  <c r="O310" i="11" s="1"/>
  <c r="AV309" i="11"/>
  <c r="O309" i="11" s="1"/>
  <c r="AV307" i="11"/>
  <c r="O307" i="11" s="1"/>
  <c r="AV305" i="11"/>
  <c r="O305" i="11" s="1"/>
  <c r="AV303" i="11"/>
  <c r="O303" i="11" s="1"/>
  <c r="AV302" i="11"/>
  <c r="O302" i="11" s="1"/>
  <c r="AV301" i="11"/>
  <c r="O301" i="11" s="1"/>
  <c r="AV300" i="11"/>
  <c r="O300" i="11" s="1"/>
  <c r="AV299" i="11"/>
  <c r="O299" i="11" s="1"/>
  <c r="AV298" i="11"/>
  <c r="O298" i="11" s="1"/>
  <c r="AV297" i="11"/>
  <c r="O297" i="11" s="1"/>
  <c r="AV296" i="11"/>
  <c r="O296" i="11" s="1"/>
  <c r="AV295" i="11"/>
  <c r="O295" i="11" s="1"/>
  <c r="AV294" i="11"/>
  <c r="O294" i="11" s="1"/>
  <c r="AV293" i="11"/>
  <c r="O293" i="11" s="1"/>
  <c r="AV292" i="11"/>
  <c r="O292" i="11" s="1"/>
  <c r="AV291" i="11"/>
  <c r="O291" i="11" s="1"/>
  <c r="AV290" i="11"/>
  <c r="O290" i="11" s="1"/>
  <c r="AV289" i="11"/>
  <c r="O289" i="11" s="1"/>
  <c r="AV288" i="11"/>
  <c r="O288" i="11" s="1"/>
  <c r="AV287" i="11"/>
  <c r="O287" i="11" s="1"/>
  <c r="AV286" i="11"/>
  <c r="O286" i="11" s="1"/>
  <c r="AV285" i="11"/>
  <c r="O285" i="11" s="1"/>
  <c r="AV284" i="11"/>
  <c r="O284" i="11" s="1"/>
  <c r="AV283" i="11"/>
  <c r="O283" i="11" s="1"/>
  <c r="AV282" i="11"/>
  <c r="O282" i="11" s="1"/>
  <c r="AV279" i="11"/>
  <c r="O279" i="11" s="1"/>
  <c r="AV278" i="11"/>
  <c r="O278" i="11" s="1"/>
  <c r="AV277" i="11"/>
  <c r="O277" i="11" s="1"/>
  <c r="AV276" i="11"/>
  <c r="O276" i="11" s="1"/>
  <c r="AV275" i="11"/>
  <c r="O275" i="11" s="1"/>
  <c r="AV274" i="11"/>
  <c r="O274" i="11" s="1"/>
  <c r="AV273" i="11"/>
  <c r="O273" i="11" s="1"/>
  <c r="AV272" i="11"/>
  <c r="O272" i="11" s="1"/>
  <c r="AV271" i="11"/>
  <c r="O271" i="11" s="1"/>
  <c r="AV270" i="11"/>
  <c r="O270" i="11" s="1"/>
  <c r="AV269" i="11"/>
  <c r="O269" i="11" s="1"/>
  <c r="AV268" i="11"/>
  <c r="O268" i="11" s="1"/>
  <c r="AV267" i="11"/>
  <c r="O267" i="11" s="1"/>
  <c r="AV266" i="11"/>
  <c r="O266" i="11" s="1"/>
  <c r="AV265" i="11"/>
  <c r="O265" i="11" s="1"/>
  <c r="AV264" i="11"/>
  <c r="O264" i="11" s="1"/>
  <c r="AV237" i="11"/>
  <c r="O237" i="11" s="1"/>
  <c r="AV234" i="11"/>
  <c r="O234" i="11" s="1"/>
  <c r="AV233" i="11"/>
  <c r="O233" i="11" s="1"/>
  <c r="AV232" i="11"/>
  <c r="O232" i="11" s="1"/>
  <c r="AV231" i="11"/>
  <c r="O231" i="11" s="1"/>
  <c r="AV230" i="11"/>
  <c r="O230" i="11" s="1"/>
  <c r="AV229" i="11"/>
  <c r="O229" i="11" s="1"/>
  <c r="AV228" i="11"/>
  <c r="O228" i="11" s="1"/>
  <c r="AV227" i="11"/>
  <c r="O227" i="11" s="1"/>
  <c r="AV226" i="11"/>
  <c r="O226" i="11" s="1"/>
  <c r="AV225" i="11"/>
  <c r="O225" i="11" s="1"/>
  <c r="AV224" i="11"/>
  <c r="O224" i="11" s="1"/>
  <c r="AV223" i="11"/>
  <c r="O223" i="11" s="1"/>
  <c r="AV222" i="11"/>
  <c r="O222" i="11" s="1"/>
  <c r="AV212" i="11"/>
  <c r="O212" i="11" s="1"/>
  <c r="AV211" i="11"/>
  <c r="O211" i="11" s="1"/>
  <c r="AV209" i="11"/>
  <c r="O209" i="11" s="1"/>
  <c r="AV208" i="11"/>
  <c r="O208" i="11" s="1"/>
  <c r="AV206" i="11"/>
  <c r="O206" i="11" s="1"/>
  <c r="AV204" i="11"/>
  <c r="O204" i="11" s="1"/>
  <c r="AV203" i="11"/>
  <c r="O203" i="11" s="1"/>
  <c r="AV202" i="11"/>
  <c r="O202" i="11" s="1"/>
  <c r="AV201" i="11"/>
  <c r="O201" i="11" s="1"/>
  <c r="AV200" i="11"/>
  <c r="O200" i="11" s="1"/>
  <c r="AV198" i="11"/>
  <c r="O198" i="11" s="1"/>
  <c r="AV197" i="11"/>
  <c r="O197" i="11" s="1"/>
  <c r="AV196" i="11"/>
  <c r="O196" i="11" s="1"/>
  <c r="AV195" i="11"/>
  <c r="O195" i="11" s="1"/>
  <c r="AV194" i="11"/>
  <c r="O194" i="11" s="1"/>
  <c r="AV193" i="11"/>
  <c r="O193" i="11" s="1"/>
  <c r="AV192" i="11"/>
  <c r="O192" i="11" s="1"/>
  <c r="AV191" i="11"/>
  <c r="O191" i="11" s="1"/>
  <c r="AV190" i="11"/>
  <c r="O190" i="11" s="1"/>
  <c r="AV189" i="11"/>
  <c r="O189" i="11" s="1"/>
  <c r="AV188" i="11"/>
  <c r="O188" i="11" s="1"/>
  <c r="AV186" i="11"/>
  <c r="O186" i="11" s="1"/>
  <c r="AV185" i="11"/>
  <c r="O185" i="11" s="1"/>
  <c r="AV184" i="11"/>
  <c r="O184" i="11" s="1"/>
  <c r="AV183" i="11"/>
  <c r="O183" i="11" s="1"/>
  <c r="AV182" i="11"/>
  <c r="O182" i="11" s="1"/>
  <c r="AV180" i="11"/>
  <c r="O180" i="11" s="1"/>
  <c r="AV171" i="11"/>
  <c r="O171" i="11" s="1"/>
  <c r="AV170" i="11"/>
  <c r="O170" i="11" s="1"/>
  <c r="AV169" i="11"/>
  <c r="O169" i="11" s="1"/>
  <c r="AV168" i="11"/>
  <c r="O168" i="11" s="1"/>
  <c r="AV167" i="11"/>
  <c r="O167" i="11" s="1"/>
  <c r="AV166" i="11"/>
  <c r="O166" i="11" s="1"/>
  <c r="AV165" i="11"/>
  <c r="O165" i="11" s="1"/>
  <c r="AV164" i="11"/>
  <c r="O164" i="11" s="1"/>
  <c r="AV163" i="11"/>
  <c r="O163" i="11" s="1"/>
  <c r="AV162" i="11"/>
  <c r="O162" i="11" s="1"/>
  <c r="AV161" i="11"/>
  <c r="O161" i="11" s="1"/>
  <c r="AV160" i="11"/>
  <c r="O160" i="11" s="1"/>
  <c r="AV159" i="11"/>
  <c r="O159" i="11" s="1"/>
  <c r="AV157" i="11"/>
  <c r="O157" i="11" s="1"/>
  <c r="AV156" i="11"/>
  <c r="O156" i="11" s="1"/>
  <c r="AV155" i="11"/>
  <c r="O155" i="11" s="1"/>
  <c r="AV154" i="11"/>
  <c r="O154" i="11" s="1"/>
  <c r="AV152" i="11"/>
  <c r="O152" i="11" s="1"/>
  <c r="AV151" i="11"/>
  <c r="O151" i="11" s="1"/>
  <c r="AV150" i="11"/>
  <c r="O150" i="11" s="1"/>
  <c r="AV149" i="11"/>
  <c r="O149" i="11" s="1"/>
  <c r="AV148" i="11"/>
  <c r="O148" i="11" s="1"/>
  <c r="AV147" i="11"/>
  <c r="O147" i="11" s="1"/>
  <c r="AV146" i="11"/>
  <c r="O146" i="11" s="1"/>
  <c r="AV145" i="11"/>
  <c r="O145" i="11" s="1"/>
  <c r="AV144" i="11"/>
  <c r="O144" i="11" s="1"/>
  <c r="AV143" i="11"/>
  <c r="O143" i="11" s="1"/>
  <c r="AV142" i="11"/>
  <c r="O142" i="11" s="1"/>
  <c r="AV141" i="11"/>
  <c r="O141" i="11" s="1"/>
  <c r="AV140" i="11"/>
  <c r="O140" i="11" s="1"/>
  <c r="AV139" i="11"/>
  <c r="O139" i="11" s="1"/>
  <c r="AV138" i="11"/>
  <c r="O138" i="11" s="1"/>
  <c r="AV136" i="11"/>
  <c r="O136" i="11" s="1"/>
  <c r="AV135" i="11"/>
  <c r="O135" i="11" s="1"/>
  <c r="AV134" i="11"/>
  <c r="O134" i="11" s="1"/>
  <c r="AV131" i="11"/>
  <c r="O131" i="11" s="1"/>
  <c r="AV130" i="11"/>
  <c r="O130" i="11" s="1"/>
  <c r="AV129" i="11"/>
  <c r="O129" i="11" s="1"/>
  <c r="AV126" i="11"/>
  <c r="O126" i="11" s="1"/>
  <c r="AV125" i="11"/>
  <c r="O125" i="11" s="1"/>
  <c r="AV113" i="11"/>
  <c r="O113" i="11" s="1"/>
  <c r="AV112" i="11"/>
  <c r="O112" i="11" s="1"/>
  <c r="AV94" i="11"/>
  <c r="O94" i="11" s="1"/>
  <c r="AV76" i="11"/>
  <c r="O76" i="11" s="1"/>
  <c r="AV75" i="11"/>
  <c r="O75" i="11" s="1"/>
  <c r="AV73" i="11"/>
  <c r="O73" i="11" s="1"/>
  <c r="AV72" i="11"/>
  <c r="O72" i="11" s="1"/>
  <c r="AV71" i="11"/>
  <c r="O71" i="11" s="1"/>
  <c r="AV70" i="11"/>
  <c r="O70" i="11" s="1"/>
  <c r="AV69" i="11"/>
  <c r="O69" i="11" s="1"/>
  <c r="AV68" i="11"/>
  <c r="O68" i="11" s="1"/>
  <c r="AV67" i="11"/>
  <c r="O67" i="11" s="1"/>
  <c r="AV64" i="11"/>
  <c r="O64" i="11" s="1"/>
  <c r="AV63" i="11"/>
  <c r="O63" i="11" s="1"/>
  <c r="AV62" i="11"/>
  <c r="O62" i="11" s="1"/>
  <c r="AV57" i="11"/>
  <c r="O57" i="11" s="1"/>
  <c r="O56" i="11" s="1"/>
  <c r="AV55" i="11"/>
  <c r="O55" i="11" s="1"/>
  <c r="AV53" i="11"/>
  <c r="O53" i="11" s="1"/>
  <c r="AV49" i="11"/>
  <c r="O49" i="11" s="1"/>
  <c r="AV48" i="11"/>
  <c r="AV46" i="11"/>
  <c r="AV44" i="11"/>
  <c r="AV41" i="11"/>
  <c r="O41" i="11" s="1"/>
  <c r="AV40" i="11"/>
  <c r="O40" i="11" s="1"/>
  <c r="AV39" i="11"/>
  <c r="O39" i="11" s="1"/>
  <c r="AV37" i="11"/>
  <c r="O37" i="11" s="1"/>
  <c r="AV31" i="11"/>
  <c r="O31" i="11" s="1"/>
  <c r="AV10" i="11"/>
  <c r="F11" i="22" s="1"/>
  <c r="AV21" i="11"/>
  <c r="F13" i="22" s="1"/>
  <c r="AV23" i="11"/>
  <c r="F12" i="22" s="1"/>
  <c r="AV25" i="11"/>
  <c r="AV27" i="11"/>
  <c r="AV78" i="11"/>
  <c r="F26" i="22" s="1"/>
  <c r="AV80" i="11"/>
  <c r="F24" i="22" s="1"/>
  <c r="AV82" i="11"/>
  <c r="F25" i="22" s="1"/>
  <c r="AV84" i="11"/>
  <c r="F27" i="22" s="1"/>
  <c r="AV86" i="11"/>
  <c r="AV88" i="11"/>
  <c r="F28" i="22" s="1"/>
  <c r="AV93" i="11"/>
  <c r="AV492" i="11"/>
  <c r="F39" i="22" s="1"/>
  <c r="AV494" i="11"/>
  <c r="F40" i="22" s="1"/>
  <c r="AV497" i="11"/>
  <c r="AV56" i="11" l="1"/>
  <c r="F18" i="22" s="1"/>
  <c r="AV90" i="11"/>
  <c r="O93" i="11"/>
  <c r="O90" i="11" s="1"/>
  <c r="AV43" i="11"/>
  <c r="F20" i="22" s="1"/>
  <c r="O44" i="11"/>
  <c r="O43" i="11" s="1"/>
  <c r="AV45" i="11"/>
  <c r="F21" i="22" s="1"/>
  <c r="O46" i="11"/>
  <c r="O45" i="11" s="1"/>
  <c r="AV47" i="11"/>
  <c r="F19" i="22" s="1"/>
  <c r="O48" i="11"/>
  <c r="O47" i="11" s="1"/>
  <c r="O30" i="11"/>
  <c r="O52" i="11"/>
  <c r="AV30" i="11"/>
  <c r="F15" i="22" s="1"/>
  <c r="AV491" i="11"/>
  <c r="F38" i="22" s="1"/>
  <c r="AV9" i="11"/>
  <c r="F10" i="22" s="1"/>
  <c r="AV52" i="11"/>
  <c r="F17" i="22" s="1"/>
  <c r="BH79" i="11"/>
  <c r="AY27" i="11"/>
  <c r="BG16" i="11" l="1"/>
  <c r="Z16" i="11" s="1"/>
  <c r="BF20" i="11"/>
  <c r="BF18" i="11"/>
  <c r="BF17" i="11"/>
  <c r="BF16" i="11"/>
  <c r="BF15" i="11"/>
  <c r="BF13" i="11"/>
  <c r="BF12" i="11"/>
  <c r="BF11" i="11"/>
  <c r="Y11" i="11" s="1"/>
  <c r="BP18" i="11" l="1"/>
  <c r="AI18" i="11" s="1"/>
  <c r="BL18" i="11"/>
  <c r="AE18" i="11" s="1"/>
  <c r="BL17" i="11"/>
  <c r="AE17" i="11" s="1"/>
  <c r="BL16" i="11"/>
  <c r="AE16" i="11" s="1"/>
  <c r="BP21" i="11"/>
  <c r="BC13" i="11"/>
  <c r="BL352" i="11" l="1"/>
  <c r="AE352" i="11" s="1"/>
  <c r="BH22" i="11" l="1"/>
  <c r="AT207" i="11"/>
  <c r="M207" i="11" s="1"/>
  <c r="AZ207" i="11"/>
  <c r="S207" i="11" s="1"/>
  <c r="AS207" i="11"/>
  <c r="L207" i="11" s="1"/>
  <c r="AR207" i="11"/>
  <c r="K207" i="11" s="1"/>
  <c r="AQ207" i="11"/>
  <c r="J207" i="11" s="1"/>
  <c r="AN207" i="11"/>
  <c r="AC207" i="11"/>
  <c r="AB207" i="11"/>
  <c r="AA207" i="11"/>
  <c r="Z207" i="11"/>
  <c r="Y207" i="11"/>
  <c r="X207" i="11"/>
  <c r="W207" i="11"/>
  <c r="V207" i="11"/>
  <c r="U207" i="11"/>
  <c r="T207" i="11"/>
  <c r="BH205" i="11"/>
  <c r="AV205" i="11" s="1"/>
  <c r="O205" i="11" s="1"/>
  <c r="BH236" i="11"/>
  <c r="AV236" i="11" s="1"/>
  <c r="O236" i="11" s="1"/>
  <c r="BH246" i="11"/>
  <c r="AV246" i="11" s="1"/>
  <c r="O246" i="11" s="1"/>
  <c r="BH249" i="11"/>
  <c r="AV249" i="11" s="1"/>
  <c r="O249" i="11" s="1"/>
  <c r="BH250" i="11"/>
  <c r="AV250" i="11" s="1"/>
  <c r="O250" i="11" s="1"/>
  <c r="BG199" i="11"/>
  <c r="BH187" i="11"/>
  <c r="AV187" i="11" s="1"/>
  <c r="O187" i="11" s="1"/>
  <c r="BG153" i="11"/>
  <c r="R207" i="11" l="1"/>
  <c r="AP207" i="11"/>
  <c r="N207" i="11"/>
  <c r="BH352" i="11" l="1"/>
  <c r="AV352" i="11" s="1"/>
  <c r="O352" i="11" s="1"/>
  <c r="BH385" i="11"/>
  <c r="AV385" i="11" s="1"/>
  <c r="O385" i="11" s="1"/>
  <c r="BL475" i="11"/>
  <c r="AE475" i="11" s="1"/>
  <c r="BP500" i="11" l="1"/>
  <c r="AI500" i="11" s="1"/>
  <c r="AI497" i="11" s="1"/>
  <c r="AI491" i="11" s="1"/>
  <c r="BL500" i="11"/>
  <c r="AE500" i="11" s="1"/>
  <c r="BK20" i="11" l="1"/>
  <c r="AD20" i="11" s="1"/>
  <c r="BP11" i="11"/>
  <c r="AI11" i="11" s="1"/>
  <c r="BP12" i="11"/>
  <c r="AI12" i="11" s="1"/>
  <c r="BP15" i="11"/>
  <c r="AI15" i="11" s="1"/>
  <c r="BP23" i="11"/>
  <c r="BP25" i="11"/>
  <c r="BP27" i="11"/>
  <c r="BP30" i="11"/>
  <c r="BP38" i="11"/>
  <c r="BP43" i="11"/>
  <c r="BP45" i="11"/>
  <c r="BP47" i="11"/>
  <c r="BP50" i="11"/>
  <c r="BP52" i="11"/>
  <c r="BP56" i="11"/>
  <c r="BP59" i="11"/>
  <c r="BP78" i="11"/>
  <c r="BP80" i="11"/>
  <c r="BP82" i="11"/>
  <c r="BP84" i="11"/>
  <c r="BP86" i="11"/>
  <c r="BP88" i="11"/>
  <c r="BP90" i="11"/>
  <c r="BP95" i="11"/>
  <c r="BP108" i="11"/>
  <c r="BP263" i="11"/>
  <c r="BP281" i="11"/>
  <c r="BP316" i="11"/>
  <c r="BP346" i="11"/>
  <c r="BP351" i="11"/>
  <c r="BP386" i="11"/>
  <c r="BP390" i="11"/>
  <c r="BP492" i="11"/>
  <c r="BP494" i="11"/>
  <c r="BP497" i="11"/>
  <c r="BL21" i="11"/>
  <c r="G13" i="22" s="1"/>
  <c r="BL492" i="11"/>
  <c r="G39" i="22" s="1"/>
  <c r="BL494" i="11"/>
  <c r="G40" i="22" s="1"/>
  <c r="BL497" i="11"/>
  <c r="BL172" i="11"/>
  <c r="BL173" i="11"/>
  <c r="AE173" i="11" s="1"/>
  <c r="BL174" i="11"/>
  <c r="AE174" i="11" s="1"/>
  <c r="BL175" i="11"/>
  <c r="AE175" i="11" s="1"/>
  <c r="BL176" i="11"/>
  <c r="AE176" i="11" s="1"/>
  <c r="BL177" i="11"/>
  <c r="AE177" i="11" s="1"/>
  <c r="BL178" i="11"/>
  <c r="AE178" i="11" s="1"/>
  <c r="BL179" i="11"/>
  <c r="AE179" i="11" s="1"/>
  <c r="BL263" i="11"/>
  <c r="G32" i="22" s="1"/>
  <c r="BL281" i="11"/>
  <c r="G36" i="22" s="1"/>
  <c r="BL316" i="11"/>
  <c r="G35" i="22" s="1"/>
  <c r="BL346" i="11"/>
  <c r="G34" i="22" s="1"/>
  <c r="BL351" i="11"/>
  <c r="G37" i="22" s="1"/>
  <c r="BL386" i="11"/>
  <c r="G33" i="22" s="1"/>
  <c r="BL390" i="11"/>
  <c r="BL78" i="11"/>
  <c r="G26" i="22" s="1"/>
  <c r="BL80" i="11"/>
  <c r="G24" i="22" s="1"/>
  <c r="BL82" i="11"/>
  <c r="G25" i="22" s="1"/>
  <c r="BL84" i="11"/>
  <c r="G27" i="22" s="1"/>
  <c r="BL88" i="11"/>
  <c r="G28" i="22" s="1"/>
  <c r="BL90" i="11"/>
  <c r="BL95" i="11"/>
  <c r="G29" i="22" s="1"/>
  <c r="BL30" i="11"/>
  <c r="G15" i="22" s="1"/>
  <c r="BL38" i="11"/>
  <c r="G16" i="22" s="1"/>
  <c r="BL43" i="11"/>
  <c r="G20" i="22" s="1"/>
  <c r="BL45" i="11"/>
  <c r="G21" i="22" s="1"/>
  <c r="BL47" i="11"/>
  <c r="G19" i="22" s="1"/>
  <c r="BL50" i="11"/>
  <c r="BL52" i="11"/>
  <c r="G17" i="22" s="1"/>
  <c r="BL56" i="11"/>
  <c r="G18" i="22" s="1"/>
  <c r="BL59" i="11"/>
  <c r="BL23" i="11"/>
  <c r="G12" i="22" s="1"/>
  <c r="BL11" i="11"/>
  <c r="AE11" i="11" s="1"/>
  <c r="BL12" i="11"/>
  <c r="AE12" i="11" s="1"/>
  <c r="BL15" i="11"/>
  <c r="AE15" i="11" s="1"/>
  <c r="BL25" i="11"/>
  <c r="BL27" i="11"/>
  <c r="BW250" i="11"/>
  <c r="AW250" i="11"/>
  <c r="P250" i="11" s="1"/>
  <c r="BC250" i="11"/>
  <c r="AT250" i="11" s="1"/>
  <c r="M250" i="11" s="1"/>
  <c r="AZ250" i="11"/>
  <c r="S250" i="11" s="1"/>
  <c r="AU250" i="11"/>
  <c r="N250" i="11" s="1"/>
  <c r="AR250" i="11"/>
  <c r="K250" i="11" s="1"/>
  <c r="AQ250" i="11"/>
  <c r="AN250" i="11"/>
  <c r="AC250" i="11"/>
  <c r="AB250" i="11"/>
  <c r="Z250" i="11"/>
  <c r="Y250" i="11"/>
  <c r="X250" i="11"/>
  <c r="W250" i="11"/>
  <c r="U250" i="11"/>
  <c r="T250" i="11"/>
  <c r="BH350" i="11"/>
  <c r="AV350" i="11" s="1"/>
  <c r="O350" i="11" s="1"/>
  <c r="BW349" i="11"/>
  <c r="BH349" i="11"/>
  <c r="AZ349" i="11"/>
  <c r="S349" i="11" s="1"/>
  <c r="AY349" i="11"/>
  <c r="AU349" i="11"/>
  <c r="AT349" i="11"/>
  <c r="M349" i="11" s="1"/>
  <c r="AS349" i="11"/>
  <c r="L349" i="11" s="1"/>
  <c r="AR349" i="11"/>
  <c r="K349" i="11" s="1"/>
  <c r="AQ349" i="11"/>
  <c r="AN349" i="11"/>
  <c r="AC349" i="11"/>
  <c r="AB349" i="11"/>
  <c r="Z349" i="11"/>
  <c r="Y349" i="11"/>
  <c r="X349" i="11"/>
  <c r="W349" i="11"/>
  <c r="V349" i="11"/>
  <c r="U349" i="11"/>
  <c r="T349" i="11"/>
  <c r="R349" i="11" l="1"/>
  <c r="R250" i="11"/>
  <c r="K29" i="22"/>
  <c r="K15" i="22"/>
  <c r="K33" i="22"/>
  <c r="K18" i="22"/>
  <c r="K37" i="22"/>
  <c r="K17" i="22"/>
  <c r="K34" i="22"/>
  <c r="K22" i="22"/>
  <c r="K12" i="22"/>
  <c r="K35" i="22"/>
  <c r="K27" i="22"/>
  <c r="K19" i="22"/>
  <c r="K36" i="22"/>
  <c r="K25" i="22"/>
  <c r="K21" i="22"/>
  <c r="K40" i="22"/>
  <c r="K32" i="22"/>
  <c r="K24" i="22"/>
  <c r="K20" i="22"/>
  <c r="K39" i="22"/>
  <c r="K26" i="22"/>
  <c r="K16" i="22"/>
  <c r="K31" i="22"/>
  <c r="BL108" i="11"/>
  <c r="G31" i="22" s="1"/>
  <c r="AE172" i="11"/>
  <c r="AI10" i="11"/>
  <c r="AI9" i="11" s="1"/>
  <c r="AI7" i="11" s="1"/>
  <c r="AW349" i="11"/>
  <c r="P349" i="11" s="1"/>
  <c r="AV349" i="11"/>
  <c r="BP10" i="11"/>
  <c r="V250" i="11"/>
  <c r="BL10" i="11"/>
  <c r="G11" i="22" s="1"/>
  <c r="BL491" i="11"/>
  <c r="G38" i="22" s="1"/>
  <c r="BP491" i="11"/>
  <c r="BP107" i="11"/>
  <c r="BP77" i="11"/>
  <c r="BP29" i="11"/>
  <c r="BL29" i="11"/>
  <c r="G14" i="22" s="1"/>
  <c r="BL77" i="11"/>
  <c r="G23" i="22" s="1"/>
  <c r="AS250" i="11"/>
  <c r="L250" i="11" s="1"/>
  <c r="AA349" i="11"/>
  <c r="AA250" i="11"/>
  <c r="AP250" i="11"/>
  <c r="N349" i="11"/>
  <c r="AP349" i="11" l="1"/>
  <c r="BL107" i="11"/>
  <c r="G30" i="22" s="1"/>
  <c r="K14" i="22"/>
  <c r="K38" i="22"/>
  <c r="K30" i="22"/>
  <c r="BL9" i="11"/>
  <c r="G10" i="22" s="1"/>
  <c r="BP9" i="11"/>
  <c r="AV346" i="11"/>
  <c r="F34" i="22" s="1"/>
  <c r="O349" i="11"/>
  <c r="O346" i="11" s="1"/>
  <c r="BL7" i="11" l="1"/>
  <c r="BP7" i="11"/>
  <c r="BP8" i="11" s="1"/>
  <c r="G8" i="17" l="1"/>
  <c r="BL8" i="11"/>
  <c r="G8" i="22" l="1"/>
  <c r="G7" i="22"/>
  <c r="L6" i="18"/>
  <c r="L12" i="18" s="1"/>
  <c r="AV345" i="11"/>
  <c r="O345" i="11" s="1"/>
  <c r="BW343" i="11"/>
  <c r="BH343" i="11"/>
  <c r="BG343" i="11"/>
  <c r="AU343" i="11" s="1"/>
  <c r="N343" i="11" s="1"/>
  <c r="BC343" i="11"/>
  <c r="AT343" i="11" s="1"/>
  <c r="M343" i="11" s="1"/>
  <c r="AZ343" i="11"/>
  <c r="S343" i="11" s="1"/>
  <c r="AY343" i="11"/>
  <c r="AR343" i="11"/>
  <c r="K343" i="11" s="1"/>
  <c r="AQ343" i="11"/>
  <c r="AN343" i="11"/>
  <c r="AC343" i="11"/>
  <c r="AB343" i="11"/>
  <c r="Y343" i="11"/>
  <c r="X343" i="11"/>
  <c r="W343" i="11"/>
  <c r="U343" i="11"/>
  <c r="T343" i="11"/>
  <c r="BW249" i="11"/>
  <c r="AA249" i="11"/>
  <c r="BC249" i="11"/>
  <c r="V249" i="11" s="1"/>
  <c r="AZ249" i="11"/>
  <c r="S249" i="11" s="1"/>
  <c r="AU249" i="11"/>
  <c r="N249" i="11" s="1"/>
  <c r="AR249" i="11"/>
  <c r="K249" i="11" s="1"/>
  <c r="AQ249" i="11"/>
  <c r="AN249" i="11"/>
  <c r="AC249" i="11"/>
  <c r="AB249" i="11"/>
  <c r="Z249" i="11"/>
  <c r="Y249" i="11"/>
  <c r="X249" i="11"/>
  <c r="W249" i="11"/>
  <c r="U249" i="11"/>
  <c r="T249" i="11"/>
  <c r="BW248" i="11"/>
  <c r="BH248" i="11"/>
  <c r="BC248" i="11"/>
  <c r="AT248" i="11" s="1"/>
  <c r="M248" i="11" s="1"/>
  <c r="AZ248" i="11"/>
  <c r="S248" i="11" s="1"/>
  <c r="AU248" i="11"/>
  <c r="N248" i="11" s="1"/>
  <c r="AR248" i="11"/>
  <c r="K248" i="11" s="1"/>
  <c r="AQ248" i="11"/>
  <c r="AN248" i="11"/>
  <c r="AC248" i="11"/>
  <c r="AB248" i="11"/>
  <c r="Z248" i="11"/>
  <c r="Y248" i="11"/>
  <c r="X248" i="11"/>
  <c r="W248" i="11"/>
  <c r="U248" i="11"/>
  <c r="T248" i="11"/>
  <c r="R343" i="11" l="1"/>
  <c r="R249" i="11"/>
  <c r="R248" i="11"/>
  <c r="L5" i="16"/>
  <c r="L7" i="18"/>
  <c r="L13" i="18"/>
  <c r="AW248" i="11"/>
  <c r="P248" i="11" s="1"/>
  <c r="AV248" i="11"/>
  <c r="O248" i="11" s="1"/>
  <c r="AW343" i="11"/>
  <c r="P343" i="11" s="1"/>
  <c r="AV343" i="11"/>
  <c r="O343" i="11" s="1"/>
  <c r="AS249" i="11"/>
  <c r="L249" i="11" s="1"/>
  <c r="AT249" i="11"/>
  <c r="M249" i="11" s="1"/>
  <c r="V343" i="11"/>
  <c r="AA343" i="11"/>
  <c r="V248" i="11"/>
  <c r="Z343" i="11"/>
  <c r="AS343" i="11"/>
  <c r="L343" i="11" s="1"/>
  <c r="AA248" i="11"/>
  <c r="AW249" i="11"/>
  <c r="P249" i="11" s="1"/>
  <c r="AS248" i="11"/>
  <c r="L248" i="11" s="1"/>
  <c r="L6" i="16" l="1"/>
  <c r="L11" i="16"/>
  <c r="L12" i="16" s="1"/>
  <c r="AP248" i="11"/>
  <c r="AP343" i="11"/>
  <c r="AP249" i="11"/>
  <c r="BW247" i="11" l="1"/>
  <c r="BH247" i="11"/>
  <c r="BC247" i="11"/>
  <c r="V247" i="11" s="1"/>
  <c r="AZ247" i="11"/>
  <c r="S247" i="11" s="1"/>
  <c r="AU247" i="11"/>
  <c r="AR247" i="11"/>
  <c r="K247" i="11" s="1"/>
  <c r="AQ247" i="11"/>
  <c r="AN247" i="11"/>
  <c r="AC247" i="11"/>
  <c r="AB247" i="11"/>
  <c r="Z247" i="11"/>
  <c r="Y247" i="11"/>
  <c r="X247" i="11"/>
  <c r="W247" i="11"/>
  <c r="U247" i="11"/>
  <c r="T247" i="11"/>
  <c r="R247" i="11" l="1"/>
  <c r="AA247" i="11"/>
  <c r="AV247" i="11"/>
  <c r="O247" i="11" s="1"/>
  <c r="AW247" i="11"/>
  <c r="P247" i="11" s="1"/>
  <c r="AS247" i="11"/>
  <c r="L247" i="11" s="1"/>
  <c r="AT247" i="11"/>
  <c r="M247" i="11" s="1"/>
  <c r="N247" i="11"/>
  <c r="AP247" i="11" l="1"/>
  <c r="AR95" i="11"/>
  <c r="BK47" i="11"/>
  <c r="N106" i="11"/>
  <c r="K106" i="11"/>
  <c r="Z106" i="11"/>
  <c r="AW106" i="11" l="1"/>
  <c r="P106" i="11" s="1"/>
  <c r="AV106" i="11"/>
  <c r="O106" i="11" s="1"/>
  <c r="BH97" i="11"/>
  <c r="BK95" i="11"/>
  <c r="BW106" i="11"/>
  <c r="BV97" i="11"/>
  <c r="BW97" i="11" s="1"/>
  <c r="BU95" i="11"/>
  <c r="BO95" i="11"/>
  <c r="BB95" i="11"/>
  <c r="BA95" i="11"/>
  <c r="AZ97" i="11"/>
  <c r="AZ95" i="11" s="1"/>
  <c r="AP106" i="11" l="1"/>
  <c r="AW97" i="11"/>
  <c r="AV97" i="11"/>
  <c r="BH95" i="11"/>
  <c r="AQ95" i="11"/>
  <c r="J96" i="11"/>
  <c r="K96" i="11"/>
  <c r="P97" i="11" l="1"/>
  <c r="P95" i="11" s="1"/>
  <c r="AV95" i="11"/>
  <c r="F29" i="22" s="1"/>
  <c r="O97" i="11"/>
  <c r="O95" i="11" s="1"/>
  <c r="O77" i="11" s="1"/>
  <c r="BG96" i="11"/>
  <c r="BV95" i="11"/>
  <c r="BD95" i="11"/>
  <c r="AV77" i="11" l="1"/>
  <c r="F23" i="22" s="1"/>
  <c r="M106" i="11"/>
  <c r="L106" i="11"/>
  <c r="BF106" i="11" l="1"/>
  <c r="Y106" i="11" s="1"/>
  <c r="BE106" i="11"/>
  <c r="X106" i="11" s="1"/>
  <c r="AN106" i="11"/>
  <c r="AC106" i="11"/>
  <c r="AB106" i="11"/>
  <c r="AA106" i="11"/>
  <c r="W106" i="11"/>
  <c r="V106" i="11"/>
  <c r="U106" i="11"/>
  <c r="T106" i="11"/>
  <c r="S106" i="11"/>
  <c r="N495" i="11"/>
  <c r="N494" i="11" s="1"/>
  <c r="BC211" i="11"/>
  <c r="BI179" i="11"/>
  <c r="Q179" i="11" s="1"/>
  <c r="BI178" i="11"/>
  <c r="Q178" i="11" s="1"/>
  <c r="BI177" i="11"/>
  <c r="Q177" i="11" s="1"/>
  <c r="BI176" i="11"/>
  <c r="Q176" i="11" s="1"/>
  <c r="J97" i="11"/>
  <c r="J94" i="11"/>
  <c r="J93" i="11"/>
  <c r="J83" i="11"/>
  <c r="J82" i="11" s="1"/>
  <c r="J79" i="11"/>
  <c r="J78" i="11" s="1"/>
  <c r="T76" i="11"/>
  <c r="T75" i="11"/>
  <c r="AN24" i="11"/>
  <c r="Z22" i="11"/>
  <c r="Z21" i="11" s="1"/>
  <c r="U142" i="11"/>
  <c r="U141" i="11"/>
  <c r="U140" i="11"/>
  <c r="U139" i="11"/>
  <c r="U138" i="11"/>
  <c r="U137" i="11"/>
  <c r="U136" i="11"/>
  <c r="U135" i="11"/>
  <c r="U134" i="11"/>
  <c r="U133" i="11"/>
  <c r="U132" i="11"/>
  <c r="U131" i="11"/>
  <c r="U130" i="11"/>
  <c r="U129" i="11"/>
  <c r="Z118" i="11"/>
  <c r="Z117" i="11"/>
  <c r="Z116" i="11"/>
  <c r="Z115" i="11"/>
  <c r="Z112" i="11"/>
  <c r="Z110" i="11"/>
  <c r="Z96" i="11"/>
  <c r="Z94" i="11"/>
  <c r="Z75" i="11"/>
  <c r="Z71" i="11"/>
  <c r="Z68" i="11"/>
  <c r="Z67" i="11"/>
  <c r="Z64" i="11"/>
  <c r="Z63" i="11"/>
  <c r="Z44" i="11"/>
  <c r="Z42" i="11"/>
  <c r="Z41" i="11"/>
  <c r="Z40" i="11"/>
  <c r="Z39" i="11"/>
  <c r="Z37" i="11"/>
  <c r="Z31" i="11"/>
  <c r="Z24" i="11"/>
  <c r="Z23" i="11" s="1"/>
  <c r="AU497" i="11"/>
  <c r="AU494" i="11"/>
  <c r="AU492" i="11"/>
  <c r="BC212" i="11"/>
  <c r="M94" i="11"/>
  <c r="M93" i="11"/>
  <c r="M83" i="11"/>
  <c r="M82" i="11" s="1"/>
  <c r="M79" i="11"/>
  <c r="N24" i="11"/>
  <c r="AP22" i="11"/>
  <c r="BJ176" i="11"/>
  <c r="AP81" i="11"/>
  <c r="AP16" i="11"/>
  <c r="M81" i="11"/>
  <c r="M80" i="11" s="1"/>
  <c r="T60" i="11"/>
  <c r="T79" i="11"/>
  <c r="N493" i="11"/>
  <c r="N492" i="11" s="1"/>
  <c r="BV384" i="11"/>
  <c r="BW384" i="11" s="1"/>
  <c r="BH384" i="11"/>
  <c r="BC384" i="11"/>
  <c r="V384" i="11" s="1"/>
  <c r="AZ384" i="11"/>
  <c r="S384" i="11" s="1"/>
  <c r="AY384" i="11"/>
  <c r="AU384" i="11"/>
  <c r="N384" i="11" s="1"/>
  <c r="AR384" i="11"/>
  <c r="K384" i="11" s="1"/>
  <c r="AQ384" i="11"/>
  <c r="AN384" i="11"/>
  <c r="AC384" i="11"/>
  <c r="AB384" i="11"/>
  <c r="Z384" i="11"/>
  <c r="Y384" i="11"/>
  <c r="X384" i="11"/>
  <c r="W384" i="11"/>
  <c r="U384" i="11"/>
  <c r="T384" i="11"/>
  <c r="BW270" i="11"/>
  <c r="AZ270" i="11"/>
  <c r="S270" i="11" s="1"/>
  <c r="AY270" i="11"/>
  <c r="AW270" i="11"/>
  <c r="P270" i="11" s="1"/>
  <c r="AU270" i="11"/>
  <c r="N270" i="11" s="1"/>
  <c r="AT270" i="11"/>
  <c r="M270" i="11" s="1"/>
  <c r="AS270" i="11"/>
  <c r="L270" i="11" s="1"/>
  <c r="AR270" i="11"/>
  <c r="K270" i="11" s="1"/>
  <c r="AQ270" i="11"/>
  <c r="AN270" i="11"/>
  <c r="AC270" i="11"/>
  <c r="AB270" i="11"/>
  <c r="AA270" i="11"/>
  <c r="Z270" i="11"/>
  <c r="Y270" i="11"/>
  <c r="X270" i="11"/>
  <c r="W270" i="11"/>
  <c r="V270" i="11"/>
  <c r="U270" i="11"/>
  <c r="T270" i="11"/>
  <c r="R384" i="11" l="1"/>
  <c r="R270" i="11"/>
  <c r="AW384" i="11"/>
  <c r="P384" i="11" s="1"/>
  <c r="AV384" i="11"/>
  <c r="O384" i="11" s="1"/>
  <c r="Z30" i="11"/>
  <c r="Z38" i="11"/>
  <c r="AA384" i="11"/>
  <c r="AS384" i="11"/>
  <c r="L384" i="11" s="1"/>
  <c r="AU491" i="11"/>
  <c r="AT384" i="11"/>
  <c r="M384" i="11" s="1"/>
  <c r="J95" i="11"/>
  <c r="BW457" i="11"/>
  <c r="BF457" i="11"/>
  <c r="Y457" i="11" s="1"/>
  <c r="BE457" i="11"/>
  <c r="X457" i="11" s="1"/>
  <c r="BC457" i="11"/>
  <c r="AT457" i="11" s="1"/>
  <c r="M457" i="11" s="1"/>
  <c r="AZ457" i="11"/>
  <c r="S457" i="11" s="1"/>
  <c r="AY457" i="11"/>
  <c r="AW457" i="11"/>
  <c r="P457" i="11" s="1"/>
  <c r="AU457" i="11"/>
  <c r="N457" i="11" s="1"/>
  <c r="AR457" i="11"/>
  <c r="K457" i="11" s="1"/>
  <c r="AQ457" i="11"/>
  <c r="AN457" i="11"/>
  <c r="AC457" i="11"/>
  <c r="AB457" i="11"/>
  <c r="AA457" i="11"/>
  <c r="Z457" i="11"/>
  <c r="W457" i="11"/>
  <c r="U457" i="11"/>
  <c r="T457" i="11"/>
  <c r="BW485" i="11"/>
  <c r="BC485" i="11"/>
  <c r="AS485" i="11" s="1"/>
  <c r="L485" i="11" s="1"/>
  <c r="AZ485" i="11"/>
  <c r="S485" i="11" s="1"/>
  <c r="AY485" i="11"/>
  <c r="AW485" i="11"/>
  <c r="P485" i="11" s="1"/>
  <c r="AU485" i="11"/>
  <c r="N485" i="11" s="1"/>
  <c r="AR485" i="11"/>
  <c r="K485" i="11" s="1"/>
  <c r="AQ485" i="11"/>
  <c r="AN485" i="11"/>
  <c r="AC485" i="11"/>
  <c r="AB485" i="11"/>
  <c r="AA485" i="11"/>
  <c r="Z485" i="11"/>
  <c r="Y485" i="11"/>
  <c r="X485" i="11"/>
  <c r="W485" i="11"/>
  <c r="U485" i="11"/>
  <c r="T485" i="11"/>
  <c r="R485" i="11" l="1"/>
  <c r="R457" i="11"/>
  <c r="AP384" i="11"/>
  <c r="AT485" i="11"/>
  <c r="M485" i="11" s="1"/>
  <c r="V457" i="11"/>
  <c r="V485" i="11"/>
  <c r="AP457" i="11"/>
  <c r="AS457" i="11"/>
  <c r="L457" i="11" s="1"/>
  <c r="AP485" i="11"/>
  <c r="BW246" i="11"/>
  <c r="AA246" i="11"/>
  <c r="BC246" i="11"/>
  <c r="V246" i="11" s="1"/>
  <c r="AZ246" i="11"/>
  <c r="S246" i="11" s="1"/>
  <c r="AU246" i="11"/>
  <c r="AR246" i="11"/>
  <c r="K246" i="11" s="1"/>
  <c r="AQ246" i="11"/>
  <c r="AN246" i="11"/>
  <c r="AC246" i="11"/>
  <c r="AB246" i="11"/>
  <c r="Z246" i="11"/>
  <c r="Y246" i="11"/>
  <c r="X246" i="11"/>
  <c r="W246" i="11"/>
  <c r="U246" i="11"/>
  <c r="T246" i="11"/>
  <c r="R246" i="11" l="1"/>
  <c r="AS246" i="11"/>
  <c r="L246" i="11" s="1"/>
  <c r="AT246" i="11"/>
  <c r="M246" i="11" s="1"/>
  <c r="AW246" i="11"/>
  <c r="P246" i="11" s="1"/>
  <c r="N246" i="11"/>
  <c r="AP246" i="11" l="1"/>
  <c r="BH280" i="11"/>
  <c r="AV280" i="11" s="1"/>
  <c r="BW279" i="11"/>
  <c r="BC279" i="11"/>
  <c r="AS279" i="11" s="1"/>
  <c r="L279" i="11" s="1"/>
  <c r="AZ279" i="11"/>
  <c r="S279" i="11" s="1"/>
  <c r="AY279" i="11"/>
  <c r="AW279" i="11"/>
  <c r="P279" i="11" s="1"/>
  <c r="AU279" i="11"/>
  <c r="AR279" i="11"/>
  <c r="K279" i="11" s="1"/>
  <c r="AQ279" i="11"/>
  <c r="AN279" i="11"/>
  <c r="AC279" i="11"/>
  <c r="AB279" i="11"/>
  <c r="AA279" i="11"/>
  <c r="Z279" i="11"/>
  <c r="Y279" i="11"/>
  <c r="X279" i="11"/>
  <c r="W279" i="11"/>
  <c r="U279" i="11"/>
  <c r="T279" i="11"/>
  <c r="AN245" i="11"/>
  <c r="AC245" i="11"/>
  <c r="AB245" i="11"/>
  <c r="AA245" i="11"/>
  <c r="Z245" i="11"/>
  <c r="Y245" i="11"/>
  <c r="X245" i="11"/>
  <c r="W245" i="11"/>
  <c r="V245" i="11"/>
  <c r="U245" i="11"/>
  <c r="T245" i="11"/>
  <c r="S245" i="11"/>
  <c r="N245" i="11"/>
  <c r="M245" i="11"/>
  <c r="L245" i="11"/>
  <c r="K245" i="11"/>
  <c r="BW342" i="11"/>
  <c r="BH342" i="11"/>
  <c r="BG342" i="11"/>
  <c r="AU342" i="11" s="1"/>
  <c r="N342" i="11" s="1"/>
  <c r="BC342" i="11"/>
  <c r="AT342" i="11" s="1"/>
  <c r="M342" i="11" s="1"/>
  <c r="AZ342" i="11"/>
  <c r="S342" i="11" s="1"/>
  <c r="AY342" i="11"/>
  <c r="AR342" i="11"/>
  <c r="K342" i="11" s="1"/>
  <c r="AQ342" i="11"/>
  <c r="AN342" i="11"/>
  <c r="AC342" i="11"/>
  <c r="AB342" i="11"/>
  <c r="Y342" i="11"/>
  <c r="X342" i="11"/>
  <c r="W342" i="11"/>
  <c r="U342" i="11"/>
  <c r="T342" i="11"/>
  <c r="BV385" i="11"/>
  <c r="BW385" i="11" s="1"/>
  <c r="BW383" i="11"/>
  <c r="BH383" i="11"/>
  <c r="BC383" i="11"/>
  <c r="V383" i="11" s="1"/>
  <c r="AZ383" i="11"/>
  <c r="S383" i="11" s="1"/>
  <c r="AY383" i="11"/>
  <c r="AU383" i="11"/>
  <c r="N383" i="11" s="1"/>
  <c r="AR383" i="11"/>
  <c r="K383" i="11" s="1"/>
  <c r="AQ383" i="11"/>
  <c r="AN383" i="11"/>
  <c r="AC383" i="11"/>
  <c r="AB383" i="11"/>
  <c r="Z383" i="11"/>
  <c r="Y383" i="11"/>
  <c r="X383" i="11"/>
  <c r="W383" i="11"/>
  <c r="U383" i="11"/>
  <c r="T383" i="11"/>
  <c r="R279" i="11" l="1"/>
  <c r="R383" i="11"/>
  <c r="R342" i="11"/>
  <c r="AV263" i="11"/>
  <c r="F32" i="22" s="1"/>
  <c r="O280" i="11"/>
  <c r="O263" i="11" s="1"/>
  <c r="AW342" i="11"/>
  <c r="P342" i="11" s="1"/>
  <c r="AV342" i="11"/>
  <c r="O342" i="11" s="1"/>
  <c r="AW383" i="11"/>
  <c r="P383" i="11" s="1"/>
  <c r="AV383" i="11"/>
  <c r="O383" i="11" s="1"/>
  <c r="Z342" i="11"/>
  <c r="AT279" i="11"/>
  <c r="M279" i="11" s="1"/>
  <c r="V279" i="11"/>
  <c r="V342" i="11"/>
  <c r="AS342" i="11"/>
  <c r="L342" i="11" s="1"/>
  <c r="AP279" i="11"/>
  <c r="AA383" i="11"/>
  <c r="AA342" i="11"/>
  <c r="N279" i="11"/>
  <c r="AS383" i="11"/>
  <c r="L383" i="11" s="1"/>
  <c r="AT383" i="11"/>
  <c r="M383" i="11" s="1"/>
  <c r="AP342" i="11" l="1"/>
  <c r="AP383" i="11"/>
  <c r="BW431" i="11" l="1"/>
  <c r="AZ431" i="11"/>
  <c r="S431" i="11" s="1"/>
  <c r="AY431" i="11"/>
  <c r="AW431" i="11"/>
  <c r="P431" i="11" s="1"/>
  <c r="AU431" i="11"/>
  <c r="N431" i="11" s="1"/>
  <c r="AT431" i="11"/>
  <c r="M431" i="11" s="1"/>
  <c r="AS431" i="11"/>
  <c r="L431" i="11" s="1"/>
  <c r="AR431" i="11"/>
  <c r="K431" i="11" s="1"/>
  <c r="AQ431" i="11"/>
  <c r="J431" i="11" s="1"/>
  <c r="AN431" i="11"/>
  <c r="AC431" i="11"/>
  <c r="AB431" i="11"/>
  <c r="AA431" i="11"/>
  <c r="Z431" i="11"/>
  <c r="Y431" i="11"/>
  <c r="X431" i="11"/>
  <c r="W431" i="11"/>
  <c r="V431" i="11"/>
  <c r="U431" i="11"/>
  <c r="T431" i="11"/>
  <c r="BW244" i="11"/>
  <c r="BH244" i="11"/>
  <c r="BC244" i="11"/>
  <c r="AT244" i="11" s="1"/>
  <c r="M244" i="11" s="1"/>
  <c r="AZ244" i="11"/>
  <c r="S244" i="11" s="1"/>
  <c r="AU244" i="11"/>
  <c r="AR244" i="11"/>
  <c r="K244" i="11" s="1"/>
  <c r="AQ244" i="11"/>
  <c r="J244" i="11" s="1"/>
  <c r="AN244" i="11"/>
  <c r="AC244" i="11"/>
  <c r="AB244" i="11"/>
  <c r="Z244" i="11"/>
  <c r="Y244" i="11"/>
  <c r="X244" i="11"/>
  <c r="W244" i="11"/>
  <c r="U244" i="11"/>
  <c r="T244" i="11"/>
  <c r="R431" i="11" l="1"/>
  <c r="R244" i="11"/>
  <c r="AW244" i="11"/>
  <c r="P244" i="11" s="1"/>
  <c r="AV244" i="11"/>
  <c r="O244" i="11" s="1"/>
  <c r="AA244" i="11"/>
  <c r="AP431" i="11"/>
  <c r="V244" i="11"/>
  <c r="AS244" i="11"/>
  <c r="L244" i="11" s="1"/>
  <c r="N244" i="11"/>
  <c r="BH213" i="11"/>
  <c r="AV213" i="11" s="1"/>
  <c r="O213" i="11" s="1"/>
  <c r="BH221" i="11"/>
  <c r="AV221" i="11" s="1"/>
  <c r="O221" i="11" s="1"/>
  <c r="BH220" i="11"/>
  <c r="AV220" i="11" s="1"/>
  <c r="O220" i="11" s="1"/>
  <c r="BH217" i="11"/>
  <c r="AV217" i="11" s="1"/>
  <c r="O217" i="11" s="1"/>
  <c r="BH214" i="11"/>
  <c r="AV214" i="11" s="1"/>
  <c r="O214" i="11" s="1"/>
  <c r="BW243" i="11"/>
  <c r="BH243" i="11"/>
  <c r="BC243" i="11"/>
  <c r="AT243" i="11" s="1"/>
  <c r="M243" i="11" s="1"/>
  <c r="AZ243" i="11"/>
  <c r="S243" i="11" s="1"/>
  <c r="AU243" i="11"/>
  <c r="N243" i="11" s="1"/>
  <c r="AR243" i="11"/>
  <c r="K243" i="11" s="1"/>
  <c r="AQ243" i="11"/>
  <c r="J243" i="11" s="1"/>
  <c r="AN243" i="11"/>
  <c r="AC243" i="11"/>
  <c r="AB243" i="11"/>
  <c r="Z243" i="11"/>
  <c r="Y243" i="11"/>
  <c r="X243" i="11"/>
  <c r="W243" i="11"/>
  <c r="U243" i="11"/>
  <c r="T243" i="11"/>
  <c r="BH210" i="11"/>
  <c r="AV210" i="11" s="1"/>
  <c r="O210" i="11" s="1"/>
  <c r="BH218" i="11"/>
  <c r="AV218" i="11" s="1"/>
  <c r="O218" i="11" s="1"/>
  <c r="R243" i="11" l="1"/>
  <c r="AP244" i="11"/>
  <c r="AA243" i="11"/>
  <c r="AV243" i="11"/>
  <c r="O243" i="11" s="1"/>
  <c r="V243" i="11"/>
  <c r="AW243" i="11"/>
  <c r="P243" i="11" s="1"/>
  <c r="AS243" i="11"/>
  <c r="L243" i="11" s="1"/>
  <c r="AP243" i="11" l="1"/>
  <c r="BW237" i="11"/>
  <c r="BC237" i="11"/>
  <c r="AT237" i="11" s="1"/>
  <c r="M237" i="11" s="1"/>
  <c r="AZ237" i="11"/>
  <c r="S237" i="11" s="1"/>
  <c r="AW237" i="11"/>
  <c r="P237" i="11" s="1"/>
  <c r="AU237" i="11"/>
  <c r="N237" i="11" s="1"/>
  <c r="AR237" i="11"/>
  <c r="K237" i="11" s="1"/>
  <c r="AQ237" i="11"/>
  <c r="AN237" i="11"/>
  <c r="AC237" i="11"/>
  <c r="AB237" i="11"/>
  <c r="AA237" i="11"/>
  <c r="Z237" i="11"/>
  <c r="Y237" i="11"/>
  <c r="X237" i="11"/>
  <c r="W237" i="11"/>
  <c r="U237" i="11"/>
  <c r="T237" i="11"/>
  <c r="BH340" i="11"/>
  <c r="AV340" i="11" s="1"/>
  <c r="O340" i="11" s="1"/>
  <c r="R237" i="11" l="1"/>
  <c r="V237" i="11"/>
  <c r="AS237" i="11"/>
  <c r="L237" i="11" s="1"/>
  <c r="AP237" i="11"/>
  <c r="BH467" i="11" l="1"/>
  <c r="AV467" i="11" s="1"/>
  <c r="O467" i="11" s="1"/>
  <c r="BW242" i="11" l="1"/>
  <c r="BH242" i="11"/>
  <c r="BC242" i="11"/>
  <c r="AT242" i="11" s="1"/>
  <c r="M242" i="11" s="1"/>
  <c r="AZ242" i="11"/>
  <c r="S242" i="11" s="1"/>
  <c r="AU242" i="11"/>
  <c r="AR242" i="11"/>
  <c r="K242" i="11" s="1"/>
  <c r="AQ242" i="11"/>
  <c r="AN242" i="11"/>
  <c r="AC242" i="11"/>
  <c r="AB242" i="11"/>
  <c r="Z242" i="11"/>
  <c r="Y242" i="11"/>
  <c r="X242" i="11"/>
  <c r="W242" i="11"/>
  <c r="U242" i="11"/>
  <c r="T242" i="11"/>
  <c r="R242" i="11" l="1"/>
  <c r="AW242" i="11"/>
  <c r="P242" i="11" s="1"/>
  <c r="AV242" i="11"/>
  <c r="O242" i="11" s="1"/>
  <c r="AA242" i="11"/>
  <c r="V242" i="11"/>
  <c r="N242" i="11"/>
  <c r="AS242" i="11"/>
  <c r="L242" i="11" s="1"/>
  <c r="AP242" i="11" l="1"/>
  <c r="BW456" i="11"/>
  <c r="BF456" i="11"/>
  <c r="Y456" i="11" s="1"/>
  <c r="BE456" i="11"/>
  <c r="X456" i="11" s="1"/>
  <c r="BC456" i="11"/>
  <c r="V456" i="11" s="1"/>
  <c r="AZ456" i="11"/>
  <c r="S456" i="11" s="1"/>
  <c r="AY456" i="11"/>
  <c r="AW456" i="11"/>
  <c r="P456" i="11" s="1"/>
  <c r="AU456" i="11"/>
  <c r="N456" i="11" s="1"/>
  <c r="AR456" i="11"/>
  <c r="K456" i="11" s="1"/>
  <c r="AQ456" i="11"/>
  <c r="AN456" i="11"/>
  <c r="AC456" i="11"/>
  <c r="AB456" i="11"/>
  <c r="AA456" i="11"/>
  <c r="Z456" i="11"/>
  <c r="W456" i="11"/>
  <c r="U456" i="11"/>
  <c r="T456" i="11"/>
  <c r="BH240" i="11"/>
  <c r="AV240" i="11" s="1"/>
  <c r="O240" i="11" s="1"/>
  <c r="BH239" i="11"/>
  <c r="AV239" i="11" s="1"/>
  <c r="O239" i="11" s="1"/>
  <c r="BH238" i="11"/>
  <c r="AV238" i="11" s="1"/>
  <c r="O238" i="11" s="1"/>
  <c r="BH241" i="11"/>
  <c r="AV241" i="11" s="1"/>
  <c r="O241" i="11" s="1"/>
  <c r="BW341" i="11"/>
  <c r="BH341" i="11"/>
  <c r="BG341" i="11"/>
  <c r="AU341" i="11" s="1"/>
  <c r="N341" i="11" s="1"/>
  <c r="BC341" i="11"/>
  <c r="AS341" i="11" s="1"/>
  <c r="L341" i="11" s="1"/>
  <c r="AZ341" i="11"/>
  <c r="S341" i="11" s="1"/>
  <c r="AY341" i="11"/>
  <c r="AR341" i="11"/>
  <c r="K341" i="11" s="1"/>
  <c r="AQ341" i="11"/>
  <c r="AN341" i="11"/>
  <c r="AC341" i="11"/>
  <c r="AB341" i="11"/>
  <c r="Y341" i="11"/>
  <c r="X341" i="11"/>
  <c r="W341" i="11"/>
  <c r="U341" i="11"/>
  <c r="T341" i="11"/>
  <c r="R341" i="11" l="1"/>
  <c r="R456" i="11"/>
  <c r="AA341" i="11"/>
  <c r="AV341" i="11"/>
  <c r="AW341" i="11"/>
  <c r="P341" i="11" s="1"/>
  <c r="V341" i="11"/>
  <c r="AP456" i="11"/>
  <c r="AT341" i="11"/>
  <c r="M341" i="11" s="1"/>
  <c r="AS456" i="11"/>
  <c r="L456" i="11" s="1"/>
  <c r="AT456" i="11"/>
  <c r="M456" i="11" s="1"/>
  <c r="Z341" i="11"/>
  <c r="AV316" i="11" l="1"/>
  <c r="F35" i="22" s="1"/>
  <c r="O341" i="11"/>
  <c r="O316" i="11" s="1"/>
  <c r="AP341" i="11"/>
  <c r="BW314" i="11"/>
  <c r="BC314" i="11"/>
  <c r="AT314" i="11" s="1"/>
  <c r="M314" i="11" s="1"/>
  <c r="AZ314" i="11"/>
  <c r="S314" i="11" s="1"/>
  <c r="AY314" i="11"/>
  <c r="AW314" i="11"/>
  <c r="P314" i="11" s="1"/>
  <c r="AU314" i="11"/>
  <c r="N314" i="11" s="1"/>
  <c r="AR314" i="11"/>
  <c r="K314" i="11" s="1"/>
  <c r="AQ314" i="11"/>
  <c r="Z315" i="11"/>
  <c r="AN314" i="11"/>
  <c r="AC314" i="11"/>
  <c r="AB314" i="11"/>
  <c r="AA314" i="11"/>
  <c r="Z314" i="11"/>
  <c r="Y314" i="11"/>
  <c r="X314" i="11"/>
  <c r="W314" i="11"/>
  <c r="U314" i="11"/>
  <c r="T314" i="11"/>
  <c r="BW484" i="11"/>
  <c r="BC484" i="11"/>
  <c r="AT484" i="11" s="1"/>
  <c r="M484" i="11" s="1"/>
  <c r="AZ484" i="11"/>
  <c r="S484" i="11" s="1"/>
  <c r="AY484" i="11"/>
  <c r="AW484" i="11"/>
  <c r="P484" i="11" s="1"/>
  <c r="AU484" i="11"/>
  <c r="AR484" i="11"/>
  <c r="K484" i="11" s="1"/>
  <c r="AQ484" i="11"/>
  <c r="AN484" i="11"/>
  <c r="AC484" i="11"/>
  <c r="AB484" i="11"/>
  <c r="AA484" i="11"/>
  <c r="Z484" i="11"/>
  <c r="Y484" i="11"/>
  <c r="X484" i="11"/>
  <c r="W484" i="11"/>
  <c r="U484" i="11"/>
  <c r="T484" i="11"/>
  <c r="BW241" i="11"/>
  <c r="AW241" i="11"/>
  <c r="P241" i="11" s="1"/>
  <c r="BC241" i="11"/>
  <c r="V241" i="11" s="1"/>
  <c r="AZ241" i="11"/>
  <c r="S241" i="11" s="1"/>
  <c r="AU241" i="11"/>
  <c r="N241" i="11" s="1"/>
  <c r="AR241" i="11"/>
  <c r="K241" i="11" s="1"/>
  <c r="AQ241" i="11"/>
  <c r="AN241" i="11"/>
  <c r="AC241" i="11"/>
  <c r="AB241" i="11"/>
  <c r="Z241" i="11"/>
  <c r="Y241" i="11"/>
  <c r="X241" i="11"/>
  <c r="W241" i="11"/>
  <c r="U241" i="11"/>
  <c r="T241" i="11"/>
  <c r="BW240" i="11"/>
  <c r="AW240" i="11"/>
  <c r="P240" i="11" s="1"/>
  <c r="BC240" i="11"/>
  <c r="AT240" i="11" s="1"/>
  <c r="M240" i="11" s="1"/>
  <c r="AZ240" i="11"/>
  <c r="S240" i="11" s="1"/>
  <c r="AU240" i="11"/>
  <c r="AR240" i="11"/>
  <c r="K240" i="11" s="1"/>
  <c r="AQ240" i="11"/>
  <c r="AN240" i="11"/>
  <c r="AC240" i="11"/>
  <c r="AB240" i="11"/>
  <c r="Z240" i="11"/>
  <c r="Y240" i="11"/>
  <c r="X240" i="11"/>
  <c r="W240" i="11"/>
  <c r="U240" i="11"/>
  <c r="T240" i="11"/>
  <c r="BW239" i="11"/>
  <c r="AW239" i="11"/>
  <c r="P239" i="11" s="1"/>
  <c r="BC239" i="11"/>
  <c r="AS239" i="11" s="1"/>
  <c r="L239" i="11" s="1"/>
  <c r="AZ239" i="11"/>
  <c r="S239" i="11" s="1"/>
  <c r="AU239" i="11"/>
  <c r="AR239" i="11"/>
  <c r="K239" i="11" s="1"/>
  <c r="AQ239" i="11"/>
  <c r="AN239" i="11"/>
  <c r="AC239" i="11"/>
  <c r="AB239" i="11"/>
  <c r="AA239" i="11"/>
  <c r="Z239" i="11"/>
  <c r="Y239" i="11"/>
  <c r="X239" i="11"/>
  <c r="W239" i="11"/>
  <c r="U239" i="11"/>
  <c r="T239" i="11"/>
  <c r="BW238" i="11"/>
  <c r="AW238" i="11"/>
  <c r="P238" i="11" s="1"/>
  <c r="BC238" i="11"/>
  <c r="AT238" i="11" s="1"/>
  <c r="M238" i="11" s="1"/>
  <c r="AZ238" i="11"/>
  <c r="S238" i="11" s="1"/>
  <c r="AU238" i="11"/>
  <c r="N238" i="11" s="1"/>
  <c r="AR238" i="11"/>
  <c r="K238" i="11" s="1"/>
  <c r="AQ238" i="11"/>
  <c r="AN238" i="11"/>
  <c r="AC238" i="11"/>
  <c r="AB238" i="11"/>
  <c r="Z238" i="11"/>
  <c r="Y238" i="11"/>
  <c r="X238" i="11"/>
  <c r="W238" i="11"/>
  <c r="U238" i="11"/>
  <c r="T238" i="11"/>
  <c r="BW236" i="11"/>
  <c r="AW236" i="11"/>
  <c r="P236" i="11" s="1"/>
  <c r="BC236" i="11"/>
  <c r="AT236" i="11" s="1"/>
  <c r="M236" i="11" s="1"/>
  <c r="AZ236" i="11"/>
  <c r="S236" i="11" s="1"/>
  <c r="AU236" i="11"/>
  <c r="N236" i="11" s="1"/>
  <c r="AR236" i="11"/>
  <c r="K236" i="11" s="1"/>
  <c r="AQ236" i="11"/>
  <c r="AN236" i="11"/>
  <c r="AC236" i="11"/>
  <c r="AB236" i="11"/>
  <c r="Z236" i="11"/>
  <c r="Y236" i="11"/>
  <c r="X236" i="11"/>
  <c r="W236" i="11"/>
  <c r="U236" i="11"/>
  <c r="T236" i="11"/>
  <c r="BV235" i="11"/>
  <c r="BW235" i="11" s="1"/>
  <c r="BH235" i="11"/>
  <c r="BC235" i="11"/>
  <c r="V235" i="11" s="1"/>
  <c r="AZ235" i="11"/>
  <c r="S235" i="11" s="1"/>
  <c r="AU235" i="11"/>
  <c r="N235" i="11" s="1"/>
  <c r="AR235" i="11"/>
  <c r="K235" i="11" s="1"/>
  <c r="AQ235" i="11"/>
  <c r="AN235" i="11"/>
  <c r="AC235" i="11"/>
  <c r="AB235" i="11"/>
  <c r="Z235" i="11"/>
  <c r="Y235" i="11"/>
  <c r="X235" i="11"/>
  <c r="W235" i="11"/>
  <c r="U235" i="11"/>
  <c r="T235" i="11"/>
  <c r="R314" i="11" l="1"/>
  <c r="R240" i="11"/>
  <c r="R239" i="11"/>
  <c r="R235" i="11"/>
  <c r="R241" i="11"/>
  <c r="R236" i="11"/>
  <c r="R484" i="11"/>
  <c r="R238" i="11"/>
  <c r="V240" i="11"/>
  <c r="AW235" i="11"/>
  <c r="P235" i="11" s="1"/>
  <c r="AV235" i="11"/>
  <c r="O235" i="11" s="1"/>
  <c r="AS314" i="11"/>
  <c r="L314" i="11" s="1"/>
  <c r="V484" i="11"/>
  <c r="AA240" i="11"/>
  <c r="AA241" i="11"/>
  <c r="AS484" i="11"/>
  <c r="L484" i="11" s="1"/>
  <c r="AP314" i="11"/>
  <c r="V314" i="11"/>
  <c r="AP484" i="11"/>
  <c r="N484" i="11"/>
  <c r="V239" i="11"/>
  <c r="AS241" i="11"/>
  <c r="L241" i="11" s="1"/>
  <c r="AT241" i="11"/>
  <c r="M241" i="11" s="1"/>
  <c r="AA238" i="11"/>
  <c r="AT239" i="11"/>
  <c r="M239" i="11" s="1"/>
  <c r="AS240" i="11"/>
  <c r="L240" i="11" s="1"/>
  <c r="AP240" i="11"/>
  <c r="AP241" i="11"/>
  <c r="AP239" i="11"/>
  <c r="N240" i="11"/>
  <c r="AS238" i="11"/>
  <c r="L238" i="11" s="1"/>
  <c r="N239" i="11"/>
  <c r="V238" i="11"/>
  <c r="AA236" i="11"/>
  <c r="V236" i="11"/>
  <c r="AP238" i="11"/>
  <c r="AS235" i="11"/>
  <c r="L235" i="11" s="1"/>
  <c r="AA235" i="11"/>
  <c r="AT235" i="11"/>
  <c r="M235" i="11" s="1"/>
  <c r="AP236" i="11"/>
  <c r="AS236" i="11"/>
  <c r="L236" i="11" s="1"/>
  <c r="AP235" i="11" l="1"/>
  <c r="BW234" i="11"/>
  <c r="BC234" i="11"/>
  <c r="AT234" i="11" s="1"/>
  <c r="M234" i="11" s="1"/>
  <c r="AZ234" i="11"/>
  <c r="S234" i="11" s="1"/>
  <c r="AW234" i="11"/>
  <c r="P234" i="11" s="1"/>
  <c r="AU234" i="11"/>
  <c r="AR234" i="11"/>
  <c r="K234" i="11" s="1"/>
  <c r="AQ234" i="11"/>
  <c r="AN234" i="11"/>
  <c r="AC234" i="11"/>
  <c r="AB234" i="11"/>
  <c r="AA234" i="11"/>
  <c r="Z234" i="11"/>
  <c r="Y234" i="11"/>
  <c r="X234" i="11"/>
  <c r="W234" i="11"/>
  <c r="U234" i="11"/>
  <c r="T234" i="11"/>
  <c r="BW233" i="11"/>
  <c r="BC233" i="11"/>
  <c r="V233" i="11" s="1"/>
  <c r="AZ233" i="11"/>
  <c r="S233" i="11" s="1"/>
  <c r="AW233" i="11"/>
  <c r="P233" i="11" s="1"/>
  <c r="AU233" i="11"/>
  <c r="AR233" i="11"/>
  <c r="K233" i="11" s="1"/>
  <c r="AQ233" i="11"/>
  <c r="AN233" i="11"/>
  <c r="AC233" i="11"/>
  <c r="AB233" i="11"/>
  <c r="AA233" i="11"/>
  <c r="Z233" i="11"/>
  <c r="Y233" i="11"/>
  <c r="X233" i="11"/>
  <c r="W233" i="11"/>
  <c r="U233" i="11"/>
  <c r="T233" i="11"/>
  <c r="BW232" i="11"/>
  <c r="BC232" i="11"/>
  <c r="V232" i="11" s="1"/>
  <c r="AZ232" i="11"/>
  <c r="S232" i="11" s="1"/>
  <c r="AW232" i="11"/>
  <c r="P232" i="11" s="1"/>
  <c r="AU232" i="11"/>
  <c r="N232" i="11" s="1"/>
  <c r="AR232" i="11"/>
  <c r="K232" i="11" s="1"/>
  <c r="AQ232" i="11"/>
  <c r="AN232" i="11"/>
  <c r="AC232" i="11"/>
  <c r="AB232" i="11"/>
  <c r="AA232" i="11"/>
  <c r="Z232" i="11"/>
  <c r="Y232" i="11"/>
  <c r="X232" i="11"/>
  <c r="W232" i="11"/>
  <c r="U232" i="11"/>
  <c r="T232" i="11"/>
  <c r="R233" i="11" l="1"/>
  <c r="R234" i="11"/>
  <c r="R232" i="11"/>
  <c r="AS233" i="11"/>
  <c r="L233" i="11" s="1"/>
  <c r="AT233" i="11"/>
  <c r="M233" i="11" s="1"/>
  <c r="V234" i="11"/>
  <c r="AS234" i="11"/>
  <c r="L234" i="11" s="1"/>
  <c r="AP234" i="11"/>
  <c r="AP233" i="11"/>
  <c r="N234" i="11"/>
  <c r="AT232" i="11"/>
  <c r="M232" i="11" s="1"/>
  <c r="AS232" i="11"/>
  <c r="L232" i="11" s="1"/>
  <c r="N233" i="11"/>
  <c r="AP232" i="11"/>
  <c r="AW231" i="11"/>
  <c r="P231" i="11" s="1"/>
  <c r="BW231" i="11"/>
  <c r="BC231" i="11"/>
  <c r="AT231" i="11" s="1"/>
  <c r="M231" i="11" s="1"/>
  <c r="AZ231" i="11"/>
  <c r="S231" i="11" s="1"/>
  <c r="AU231" i="11"/>
  <c r="N231" i="11" s="1"/>
  <c r="AR231" i="11"/>
  <c r="AQ231" i="11"/>
  <c r="J231" i="11" s="1"/>
  <c r="AN231" i="11"/>
  <c r="AC231" i="11"/>
  <c r="AB231" i="11"/>
  <c r="AA231" i="11"/>
  <c r="Z231" i="11"/>
  <c r="Y231" i="11"/>
  <c r="X231" i="11"/>
  <c r="W231" i="11"/>
  <c r="U231" i="11"/>
  <c r="T231" i="11"/>
  <c r="BW455" i="11"/>
  <c r="BF455" i="11"/>
  <c r="Y455" i="11" s="1"/>
  <c r="BE455" i="11"/>
  <c r="X455" i="11" s="1"/>
  <c r="BC455" i="11"/>
  <c r="V455" i="11" s="1"/>
  <c r="AZ455" i="11"/>
  <c r="S455" i="11" s="1"/>
  <c r="AY455" i="11"/>
  <c r="AW455" i="11"/>
  <c r="P455" i="11" s="1"/>
  <c r="AU455" i="11"/>
  <c r="AR455" i="11"/>
  <c r="K455" i="11" s="1"/>
  <c r="AQ455" i="11"/>
  <c r="J455" i="11" s="1"/>
  <c r="AN455" i="11"/>
  <c r="AC455" i="11"/>
  <c r="AB455" i="11"/>
  <c r="AA455" i="11"/>
  <c r="Z455" i="11"/>
  <c r="W455" i="11"/>
  <c r="U455" i="11"/>
  <c r="T455" i="11"/>
  <c r="BW454" i="11"/>
  <c r="BF454" i="11"/>
  <c r="Y454" i="11" s="1"/>
  <c r="BE454" i="11"/>
  <c r="X454" i="11" s="1"/>
  <c r="BC454" i="11"/>
  <c r="AT454" i="11" s="1"/>
  <c r="M454" i="11" s="1"/>
  <c r="AZ454" i="11"/>
  <c r="S454" i="11" s="1"/>
  <c r="AY454" i="11"/>
  <c r="AW454" i="11"/>
  <c r="P454" i="11" s="1"/>
  <c r="AU454" i="11"/>
  <c r="N454" i="11" s="1"/>
  <c r="AR454" i="11"/>
  <c r="AQ454" i="11"/>
  <c r="J454" i="11" s="1"/>
  <c r="AN454" i="11"/>
  <c r="AC454" i="11"/>
  <c r="AB454" i="11"/>
  <c r="AA454" i="11"/>
  <c r="Z454" i="11"/>
  <c r="W454" i="11"/>
  <c r="U454" i="11"/>
  <c r="T454" i="11"/>
  <c r="BW313" i="11"/>
  <c r="BC313" i="11"/>
  <c r="AT313" i="11" s="1"/>
  <c r="M313" i="11" s="1"/>
  <c r="AZ313" i="11"/>
  <c r="S313" i="11" s="1"/>
  <c r="AY313" i="11"/>
  <c r="AW313" i="11"/>
  <c r="P313" i="11" s="1"/>
  <c r="AU313" i="11"/>
  <c r="N313" i="11" s="1"/>
  <c r="AR313" i="11"/>
  <c r="K313" i="11" s="1"/>
  <c r="AQ313" i="11"/>
  <c r="J313" i="11" s="1"/>
  <c r="AN313" i="11"/>
  <c r="AC313" i="11"/>
  <c r="AB313" i="11"/>
  <c r="AA313" i="11"/>
  <c r="Z313" i="11"/>
  <c r="Y313" i="11"/>
  <c r="X313" i="11"/>
  <c r="W313" i="11"/>
  <c r="U313" i="11"/>
  <c r="T313" i="11"/>
  <c r="R231" i="11" l="1"/>
  <c r="R313" i="11"/>
  <c r="R454" i="11"/>
  <c r="R455" i="11"/>
  <c r="AS231" i="11"/>
  <c r="L231" i="11" s="1"/>
  <c r="AT455" i="11"/>
  <c r="M455" i="11" s="1"/>
  <c r="V231" i="11"/>
  <c r="AS313" i="11"/>
  <c r="L313" i="11" s="1"/>
  <c r="V454" i="11"/>
  <c r="AS455" i="11"/>
  <c r="L455" i="11" s="1"/>
  <c r="V313" i="11"/>
  <c r="AP231" i="11"/>
  <c r="K231" i="11"/>
  <c r="AP455" i="11"/>
  <c r="N455" i="11"/>
  <c r="AP454" i="11"/>
  <c r="AS454" i="11"/>
  <c r="L454" i="11" s="1"/>
  <c r="K454" i="11"/>
  <c r="AP313" i="11"/>
  <c r="BH87" i="11" l="1"/>
  <c r="BG87" i="11"/>
  <c r="BB87" i="11"/>
  <c r="BK89" i="11" l="1"/>
  <c r="AD89" i="11" s="1"/>
  <c r="AD88" i="11" s="1"/>
  <c r="AD77" i="11" s="1"/>
  <c r="BH89" i="11"/>
  <c r="BV47" i="11"/>
  <c r="I19" i="22" s="1"/>
  <c r="BW452" i="11"/>
  <c r="K9" i="22"/>
  <c r="J9" i="22"/>
  <c r="B9" i="17"/>
  <c r="B9" i="22" s="1"/>
  <c r="C9" i="17"/>
  <c r="C9" i="22" s="1"/>
  <c r="D9" i="17"/>
  <c r="D9" i="22" s="1"/>
  <c r="E9" i="17"/>
  <c r="E9" i="22" s="1"/>
  <c r="AW221" i="11"/>
  <c r="P221" i="11" s="1"/>
  <c r="BW230" i="11"/>
  <c r="BC230" i="11"/>
  <c r="AT230" i="11" s="1"/>
  <c r="M230" i="11" s="1"/>
  <c r="AZ230" i="11"/>
  <c r="S230" i="11" s="1"/>
  <c r="AW230" i="11"/>
  <c r="P230" i="11" s="1"/>
  <c r="AU230" i="11"/>
  <c r="N230" i="11" s="1"/>
  <c r="AR230" i="11"/>
  <c r="AQ230" i="11"/>
  <c r="J230" i="11" s="1"/>
  <c r="AN230" i="11"/>
  <c r="AC230" i="11"/>
  <c r="AB230" i="11"/>
  <c r="AA230" i="11"/>
  <c r="Z230" i="11"/>
  <c r="Y230" i="11"/>
  <c r="X230" i="11"/>
  <c r="W230" i="11"/>
  <c r="U230" i="11"/>
  <c r="T230" i="11"/>
  <c r="BW453" i="11"/>
  <c r="BF453" i="11"/>
  <c r="Y453" i="11" s="1"/>
  <c r="BE453" i="11"/>
  <c r="X453" i="11" s="1"/>
  <c r="BC453" i="11"/>
  <c r="V453" i="11" s="1"/>
  <c r="AZ453" i="11"/>
  <c r="S453" i="11" s="1"/>
  <c r="AY453" i="11"/>
  <c r="AW453" i="11"/>
  <c r="P453" i="11" s="1"/>
  <c r="AU453" i="11"/>
  <c r="N453" i="11" s="1"/>
  <c r="AR453" i="11"/>
  <c r="K453" i="11" s="1"/>
  <c r="AQ453" i="11"/>
  <c r="J453" i="11" s="1"/>
  <c r="AN453" i="11"/>
  <c r="AC453" i="11"/>
  <c r="AB453" i="11"/>
  <c r="AA453" i="11"/>
  <c r="Z453" i="11"/>
  <c r="W453" i="11"/>
  <c r="U453" i="11"/>
  <c r="T453" i="11"/>
  <c r="BG122" i="11"/>
  <c r="BH370" i="11"/>
  <c r="AA370" i="11" s="1"/>
  <c r="AU206" i="11"/>
  <c r="N206" i="11" s="1"/>
  <c r="Z199" i="11"/>
  <c r="BG158" i="11"/>
  <c r="BG137" i="11"/>
  <c r="Z137" i="11" s="1"/>
  <c r="BG132" i="11"/>
  <c r="Z132" i="11" s="1"/>
  <c r="BB115" i="11"/>
  <c r="U115" i="11" s="1"/>
  <c r="BW229" i="11"/>
  <c r="BC229" i="11"/>
  <c r="AT229" i="11" s="1"/>
  <c r="M229" i="11" s="1"/>
  <c r="AZ229" i="11"/>
  <c r="S229" i="11" s="1"/>
  <c r="AW229" i="11"/>
  <c r="P229" i="11" s="1"/>
  <c r="AU229" i="11"/>
  <c r="N229" i="11" s="1"/>
  <c r="AR229" i="11"/>
  <c r="K229" i="11" s="1"/>
  <c r="AQ229" i="11"/>
  <c r="J229" i="11" s="1"/>
  <c r="AN229" i="11"/>
  <c r="AC229" i="11"/>
  <c r="AB229" i="11"/>
  <c r="AA229" i="11"/>
  <c r="Z229" i="11"/>
  <c r="Y229" i="11"/>
  <c r="X229" i="11"/>
  <c r="W229" i="11"/>
  <c r="U229" i="11"/>
  <c r="T229" i="11"/>
  <c r="BW469" i="11"/>
  <c r="BC469" i="11"/>
  <c r="AT469" i="11" s="1"/>
  <c r="M469" i="11" s="1"/>
  <c r="AZ469" i="11"/>
  <c r="S469" i="11" s="1"/>
  <c r="AY469" i="11"/>
  <c r="AW469" i="11"/>
  <c r="P469" i="11" s="1"/>
  <c r="AU469" i="11"/>
  <c r="N469" i="11" s="1"/>
  <c r="AR469" i="11"/>
  <c r="K469" i="11" s="1"/>
  <c r="AQ469" i="11"/>
  <c r="J469" i="11" s="1"/>
  <c r="AN469" i="11"/>
  <c r="AC469" i="11"/>
  <c r="AB469" i="11"/>
  <c r="AA469" i="11"/>
  <c r="Z469" i="11"/>
  <c r="Y469" i="11"/>
  <c r="X469" i="11"/>
  <c r="W469" i="11"/>
  <c r="U469" i="11"/>
  <c r="T469" i="11"/>
  <c r="BW312" i="11"/>
  <c r="BG312" i="11"/>
  <c r="BC312" i="11"/>
  <c r="V312" i="11" s="1"/>
  <c r="AZ312" i="11"/>
  <c r="AY312" i="11"/>
  <c r="AW312" i="11"/>
  <c r="P312" i="11" s="1"/>
  <c r="AR312" i="11"/>
  <c r="K312" i="11" s="1"/>
  <c r="AQ312" i="11"/>
  <c r="J312" i="11" s="1"/>
  <c r="AN312" i="11"/>
  <c r="AC312" i="11"/>
  <c r="AB312" i="11"/>
  <c r="AA312" i="11"/>
  <c r="Y312" i="11"/>
  <c r="X312" i="11"/>
  <c r="W312" i="11"/>
  <c r="U312" i="11"/>
  <c r="T312" i="11"/>
  <c r="BW228" i="11"/>
  <c r="BC228" i="11"/>
  <c r="AZ228" i="11"/>
  <c r="S228" i="11" s="1"/>
  <c r="AW228" i="11"/>
  <c r="P228" i="11" s="1"/>
  <c r="AU228" i="11"/>
  <c r="N228" i="11" s="1"/>
  <c r="AR228" i="11"/>
  <c r="K228" i="11" s="1"/>
  <c r="AQ228" i="11"/>
  <c r="J228" i="11" s="1"/>
  <c r="AN228" i="11"/>
  <c r="AC228" i="11"/>
  <c r="AB228" i="11"/>
  <c r="AA228" i="11"/>
  <c r="Z228" i="11"/>
  <c r="Y228" i="11"/>
  <c r="X228" i="11"/>
  <c r="W228" i="11"/>
  <c r="U228" i="11"/>
  <c r="T228" i="11"/>
  <c r="BH81" i="11"/>
  <c r="AA81" i="11" s="1"/>
  <c r="AA80" i="11" s="1"/>
  <c r="BJ500" i="11"/>
  <c r="AC79" i="11"/>
  <c r="AC78" i="11" s="1"/>
  <c r="AE78" i="11"/>
  <c r="BJ494" i="11"/>
  <c r="BJ492" i="11"/>
  <c r="BJ468" i="11"/>
  <c r="AC468" i="11" s="1"/>
  <c r="BJ386" i="11"/>
  <c r="BJ351" i="11"/>
  <c r="BJ346" i="11"/>
  <c r="BJ316" i="11"/>
  <c r="BJ304" i="11"/>
  <c r="BJ281" i="11" s="1"/>
  <c r="BJ263" i="11"/>
  <c r="BJ179" i="11"/>
  <c r="AC179" i="11" s="1"/>
  <c r="BJ178" i="11"/>
  <c r="AC178" i="11" s="1"/>
  <c r="BJ177" i="11"/>
  <c r="AC177" i="11" s="1"/>
  <c r="AC176" i="11"/>
  <c r="BJ175" i="11"/>
  <c r="AC175" i="11" s="1"/>
  <c r="BJ174" i="11"/>
  <c r="BJ173" i="11"/>
  <c r="AC173" i="11" s="1"/>
  <c r="BJ172" i="11"/>
  <c r="AC172" i="11" s="1"/>
  <c r="BJ90" i="11"/>
  <c r="BJ88" i="11"/>
  <c r="BJ86" i="11"/>
  <c r="BJ84" i="11"/>
  <c r="BJ82" i="11"/>
  <c r="BJ80" i="11"/>
  <c r="BJ78" i="11"/>
  <c r="BJ59" i="11"/>
  <c r="BJ56" i="11"/>
  <c r="BJ52" i="11"/>
  <c r="BJ50" i="11"/>
  <c r="BJ47" i="11"/>
  <c r="BJ45" i="11"/>
  <c r="BJ43" i="11"/>
  <c r="BJ38" i="11"/>
  <c r="BJ30" i="11"/>
  <c r="BJ27" i="11"/>
  <c r="BJ25" i="11"/>
  <c r="BJ23" i="11"/>
  <c r="BJ21" i="11"/>
  <c r="BJ20" i="11"/>
  <c r="AC20" i="11" s="1"/>
  <c r="BJ17" i="11"/>
  <c r="AC17" i="11" s="1"/>
  <c r="BJ16" i="11"/>
  <c r="AC16" i="11" s="1"/>
  <c r="BJ15" i="11"/>
  <c r="BJ13" i="11"/>
  <c r="AC13" i="11" s="1"/>
  <c r="BJ12" i="11"/>
  <c r="AC12" i="11" s="1"/>
  <c r="BJ11" i="11"/>
  <c r="AC11" i="11" s="1"/>
  <c r="AC496" i="11"/>
  <c r="AC495" i="11"/>
  <c r="AC493" i="11"/>
  <c r="AC492" i="11" s="1"/>
  <c r="AC490" i="11"/>
  <c r="AC489" i="11"/>
  <c r="AC487" i="11"/>
  <c r="AC486" i="11"/>
  <c r="AC483" i="11"/>
  <c r="AC482" i="11"/>
  <c r="AC481" i="11"/>
  <c r="AC480" i="11"/>
  <c r="AC479" i="11"/>
  <c r="AC478" i="11"/>
  <c r="AC477" i="11"/>
  <c r="AC476" i="11"/>
  <c r="AC475" i="11"/>
  <c r="AC474" i="11"/>
  <c r="AC473" i="11"/>
  <c r="AC472" i="11"/>
  <c r="AC471" i="11"/>
  <c r="AC470" i="11"/>
  <c r="AC467" i="11"/>
  <c r="AC466" i="11"/>
  <c r="AC465" i="11"/>
  <c r="AC464" i="11"/>
  <c r="AC463" i="11"/>
  <c r="AC462" i="11"/>
  <c r="AC461" i="11"/>
  <c r="AC460" i="11"/>
  <c r="AC459" i="11"/>
  <c r="AC458" i="11"/>
  <c r="AC452" i="11"/>
  <c r="AC451" i="11"/>
  <c r="AC450" i="11"/>
  <c r="AC449" i="11"/>
  <c r="AC448" i="11"/>
  <c r="AC447" i="11"/>
  <c r="AC446" i="11"/>
  <c r="AC445" i="11"/>
  <c r="AC444" i="11"/>
  <c r="AC443" i="11"/>
  <c r="AC442" i="11"/>
  <c r="AC441" i="11"/>
  <c r="AC440" i="11"/>
  <c r="AC439" i="11"/>
  <c r="AC438" i="11"/>
  <c r="AC437" i="11"/>
  <c r="AC436" i="11"/>
  <c r="AC435" i="11"/>
  <c r="AC434" i="11"/>
  <c r="AC433" i="11"/>
  <c r="AC432" i="11"/>
  <c r="AC430" i="11"/>
  <c r="AC429" i="11"/>
  <c r="AC428" i="11"/>
  <c r="AC427" i="11"/>
  <c r="AC426" i="11"/>
  <c r="AC425" i="11"/>
  <c r="AC424" i="11"/>
  <c r="AC423" i="11"/>
  <c r="AC422" i="11"/>
  <c r="AC421" i="11"/>
  <c r="AC420" i="11"/>
  <c r="AC419" i="11"/>
  <c r="AC418" i="11"/>
  <c r="AC417" i="11"/>
  <c r="AC416" i="11"/>
  <c r="AC415" i="11"/>
  <c r="AC414" i="11"/>
  <c r="AC413" i="11"/>
  <c r="AC412" i="11"/>
  <c r="AC411" i="11"/>
  <c r="AC410" i="11"/>
  <c r="AC409" i="11"/>
  <c r="AC408" i="11"/>
  <c r="AC407" i="11"/>
  <c r="AC406" i="11"/>
  <c r="AC405" i="11"/>
  <c r="AC404" i="11"/>
  <c r="AC403" i="11"/>
  <c r="AC402" i="11"/>
  <c r="AC401" i="11"/>
  <c r="AC400" i="11"/>
  <c r="AC399" i="11"/>
  <c r="AC398" i="11"/>
  <c r="AC397" i="11"/>
  <c r="AC396" i="11"/>
  <c r="AC395" i="11"/>
  <c r="AC394" i="11"/>
  <c r="AC393" i="11"/>
  <c r="AC392" i="11"/>
  <c r="AC391" i="11"/>
  <c r="AC389" i="11"/>
  <c r="AC388" i="11"/>
  <c r="AC387" i="11"/>
  <c r="AC385" i="11"/>
  <c r="AC382" i="11"/>
  <c r="AC381" i="11"/>
  <c r="AC380" i="11"/>
  <c r="AC379" i="11"/>
  <c r="AC378" i="11"/>
  <c r="AC377" i="11"/>
  <c r="AC376" i="11"/>
  <c r="AC375" i="11"/>
  <c r="AC374" i="11"/>
  <c r="AC373" i="11"/>
  <c r="AC372" i="11"/>
  <c r="AC371" i="11"/>
  <c r="AC370" i="11"/>
  <c r="AC369" i="11"/>
  <c r="AC368" i="11"/>
  <c r="AC367" i="11"/>
  <c r="AC366" i="11"/>
  <c r="AC365" i="11"/>
  <c r="AC364" i="11"/>
  <c r="AC363" i="11"/>
  <c r="AC362" i="11"/>
  <c r="AC361" i="11"/>
  <c r="AC360" i="11"/>
  <c r="AC359" i="11"/>
  <c r="AC358" i="11"/>
  <c r="AC357" i="11"/>
  <c r="AC356" i="11"/>
  <c r="AC355" i="11"/>
  <c r="AC354" i="11"/>
  <c r="AC353" i="11"/>
  <c r="AC352" i="11"/>
  <c r="AC350" i="11"/>
  <c r="AC348" i="11"/>
  <c r="AC347" i="11"/>
  <c r="AC345" i="11"/>
  <c r="AC340" i="11"/>
  <c r="AC339" i="11"/>
  <c r="AC338" i="11"/>
  <c r="AC337" i="11"/>
  <c r="AC336" i="11"/>
  <c r="AC335" i="11"/>
  <c r="AC334" i="11"/>
  <c r="AC333" i="11"/>
  <c r="AC332" i="11"/>
  <c r="AC331" i="11"/>
  <c r="AC330" i="11"/>
  <c r="AC329" i="11"/>
  <c r="AC328" i="11"/>
  <c r="AC327" i="11"/>
  <c r="AC326" i="11"/>
  <c r="AC325" i="11"/>
  <c r="AC324" i="11"/>
  <c r="AC323" i="11"/>
  <c r="AC322" i="11"/>
  <c r="AC321" i="11"/>
  <c r="AC320" i="11"/>
  <c r="AC319" i="11"/>
  <c r="AC318" i="11"/>
  <c r="AC317" i="11"/>
  <c r="AC315" i="11"/>
  <c r="AC311" i="11"/>
  <c r="AC310" i="11"/>
  <c r="AC309" i="11"/>
  <c r="AC308" i="11"/>
  <c r="AC307" i="11"/>
  <c r="AC306" i="11"/>
  <c r="AC305" i="11"/>
  <c r="AC303" i="11"/>
  <c r="AC302" i="11"/>
  <c r="AC301" i="11"/>
  <c r="AC300" i="11"/>
  <c r="AC299" i="11"/>
  <c r="AC298" i="11"/>
  <c r="AC297" i="11"/>
  <c r="AC296" i="11"/>
  <c r="AC295" i="11"/>
  <c r="AC294" i="11"/>
  <c r="AC293" i="11"/>
  <c r="AC292" i="11"/>
  <c r="AC291" i="11"/>
  <c r="AC290" i="11"/>
  <c r="AC289" i="11"/>
  <c r="AC288" i="11"/>
  <c r="AC287" i="11"/>
  <c r="AC286" i="11"/>
  <c r="AC285" i="11"/>
  <c r="AC284" i="11"/>
  <c r="AC283" i="11"/>
  <c r="AC282" i="11"/>
  <c r="AC280" i="11"/>
  <c r="AC278" i="11"/>
  <c r="AC277" i="11"/>
  <c r="AC276" i="11"/>
  <c r="AC275" i="11"/>
  <c r="AC274" i="11"/>
  <c r="AC273" i="11"/>
  <c r="AC272" i="11"/>
  <c r="AC271" i="11"/>
  <c r="AC269" i="11"/>
  <c r="AC268" i="11"/>
  <c r="AC267" i="11"/>
  <c r="AC266" i="11"/>
  <c r="AC265" i="11"/>
  <c r="AC264" i="11"/>
  <c r="AC227" i="11"/>
  <c r="AC226" i="11"/>
  <c r="AC225" i="11"/>
  <c r="AC224" i="11"/>
  <c r="AC223" i="11"/>
  <c r="AC222" i="11"/>
  <c r="AC221" i="11"/>
  <c r="AC220" i="11"/>
  <c r="AC219" i="11"/>
  <c r="AC218" i="11"/>
  <c r="AC217" i="11"/>
  <c r="AC216" i="11"/>
  <c r="AC215" i="11"/>
  <c r="AC214" i="11"/>
  <c r="AC213" i="11"/>
  <c r="AC212" i="11"/>
  <c r="AC211" i="11"/>
  <c r="AC210" i="11"/>
  <c r="AC209" i="11"/>
  <c r="AC208" i="11"/>
  <c r="AC206" i="11"/>
  <c r="AC205" i="11"/>
  <c r="AC204" i="11"/>
  <c r="AC203" i="11"/>
  <c r="AC202" i="11"/>
  <c r="AC201" i="11"/>
  <c r="AC200" i="11"/>
  <c r="AC199" i="11"/>
  <c r="AC198" i="11"/>
  <c r="AC197" i="11"/>
  <c r="AC196" i="11"/>
  <c r="AC195" i="11"/>
  <c r="AC194" i="11"/>
  <c r="AC193" i="11"/>
  <c r="AC192" i="11"/>
  <c r="AC191" i="11"/>
  <c r="AC190" i="11"/>
  <c r="AC189" i="11"/>
  <c r="AC188" i="11"/>
  <c r="AC187" i="11"/>
  <c r="AC186" i="11"/>
  <c r="AC185" i="11"/>
  <c r="AC184" i="11"/>
  <c r="AC183" i="11"/>
  <c r="AC182" i="11"/>
  <c r="AC181" i="11"/>
  <c r="AC180" i="11"/>
  <c r="AC171" i="11"/>
  <c r="AC170" i="11"/>
  <c r="AC169" i="11"/>
  <c r="AC168" i="11"/>
  <c r="AC167" i="11"/>
  <c r="AC166" i="11"/>
  <c r="AC165" i="11"/>
  <c r="AC164" i="11"/>
  <c r="AC163" i="11"/>
  <c r="AC162" i="11"/>
  <c r="AC161" i="11"/>
  <c r="AC160" i="11"/>
  <c r="AC159" i="11"/>
  <c r="AC158" i="11"/>
  <c r="AC157" i="11"/>
  <c r="AC156" i="11"/>
  <c r="AC155" i="11"/>
  <c r="AC154" i="11"/>
  <c r="AC153" i="11"/>
  <c r="AC152" i="11"/>
  <c r="AC151" i="11"/>
  <c r="AC150" i="11"/>
  <c r="AC149" i="11"/>
  <c r="AC148" i="11"/>
  <c r="AC147" i="11"/>
  <c r="AC146" i="11"/>
  <c r="AC145" i="11"/>
  <c r="AC144" i="11"/>
  <c r="AC143" i="11"/>
  <c r="AC142" i="11"/>
  <c r="AC141" i="11"/>
  <c r="AC140" i="11"/>
  <c r="AC139" i="11"/>
  <c r="AC138" i="11"/>
  <c r="AC137" i="11"/>
  <c r="AC136" i="11"/>
  <c r="AC135" i="11"/>
  <c r="AC134" i="11"/>
  <c r="AC133" i="11"/>
  <c r="AC132" i="11"/>
  <c r="AC131" i="11"/>
  <c r="AC130" i="11"/>
  <c r="AC129" i="11"/>
  <c r="AC128" i="11"/>
  <c r="AC127" i="11"/>
  <c r="AC126" i="11"/>
  <c r="AC125" i="11"/>
  <c r="AC124" i="11"/>
  <c r="AC122" i="11"/>
  <c r="AC121" i="11"/>
  <c r="AC120" i="11"/>
  <c r="AC119" i="11"/>
  <c r="AC118" i="11"/>
  <c r="AC117" i="11"/>
  <c r="AC116" i="11"/>
  <c r="AC115" i="11"/>
  <c r="AC113" i="11"/>
  <c r="AC112" i="11"/>
  <c r="AC111" i="11"/>
  <c r="AC110" i="11"/>
  <c r="AC109" i="11"/>
  <c r="AC97" i="11"/>
  <c r="AC96" i="11"/>
  <c r="AC94" i="11"/>
  <c r="AC93" i="11"/>
  <c r="AC92" i="11"/>
  <c r="AC91" i="11"/>
  <c r="AC89" i="11"/>
  <c r="AC88" i="11" s="1"/>
  <c r="AC87" i="11"/>
  <c r="AC86" i="11" s="1"/>
  <c r="AC85" i="11"/>
  <c r="AC84" i="11" s="1"/>
  <c r="AC83" i="11"/>
  <c r="AC82" i="11" s="1"/>
  <c r="AC81" i="11"/>
  <c r="AC80" i="11" s="1"/>
  <c r="AC76" i="11"/>
  <c r="AC75" i="11"/>
  <c r="AC73" i="11"/>
  <c r="AC72" i="11"/>
  <c r="AC71" i="11"/>
  <c r="AC70" i="11"/>
  <c r="AC69" i="11"/>
  <c r="AC68" i="11"/>
  <c r="AC67" i="11"/>
  <c r="AC64" i="11"/>
  <c r="AC63" i="11"/>
  <c r="AC62" i="11"/>
  <c r="AC60" i="11"/>
  <c r="AC57" i="11"/>
  <c r="AC56" i="11" s="1"/>
  <c r="AC55" i="11"/>
  <c r="AC53" i="11"/>
  <c r="AC51" i="11"/>
  <c r="AC50" i="11" s="1"/>
  <c r="AC49" i="11"/>
  <c r="AC48" i="11"/>
  <c r="AC46" i="11"/>
  <c r="AC45" i="11" s="1"/>
  <c r="AC44" i="11"/>
  <c r="AC43" i="11" s="1"/>
  <c r="AC42" i="11"/>
  <c r="AC41" i="11"/>
  <c r="AC40" i="11"/>
  <c r="AC39" i="11"/>
  <c r="AC37" i="11"/>
  <c r="AC31" i="11"/>
  <c r="AC28" i="11"/>
  <c r="AC27" i="11" s="1"/>
  <c r="AC26" i="11"/>
  <c r="AC25" i="11" s="1"/>
  <c r="AC24" i="11"/>
  <c r="AC23" i="11" s="1"/>
  <c r="AC22" i="11"/>
  <c r="AC21" i="11" s="1"/>
  <c r="AC19" i="11"/>
  <c r="AC18" i="11"/>
  <c r="AC14" i="11"/>
  <c r="BW489" i="11"/>
  <c r="BW458" i="11"/>
  <c r="BF452" i="11"/>
  <c r="Y452" i="11" s="1"/>
  <c r="BE452" i="11"/>
  <c r="X452" i="11" s="1"/>
  <c r="BC452" i="11"/>
  <c r="AT452" i="11" s="1"/>
  <c r="M452" i="11" s="1"/>
  <c r="AZ452" i="11"/>
  <c r="S452" i="11" s="1"/>
  <c r="AY452" i="11"/>
  <c r="AW452" i="11"/>
  <c r="P452" i="11" s="1"/>
  <c r="AU452" i="11"/>
  <c r="N452" i="11" s="1"/>
  <c r="AR452" i="11"/>
  <c r="K452" i="11" s="1"/>
  <c r="AQ452" i="11"/>
  <c r="J452" i="11" s="1"/>
  <c r="AN452" i="11"/>
  <c r="AB452" i="11"/>
  <c r="AA452" i="11"/>
  <c r="Z452" i="11"/>
  <c r="W452" i="11"/>
  <c r="U452" i="11"/>
  <c r="T452" i="11"/>
  <c r="X348" i="11"/>
  <c r="W348" i="11"/>
  <c r="AA350" i="11"/>
  <c r="BW348" i="11"/>
  <c r="AZ348" i="11"/>
  <c r="AY348" i="11"/>
  <c r="AW348" i="11"/>
  <c r="P348" i="11" s="1"/>
  <c r="AU348" i="11"/>
  <c r="N348" i="11" s="1"/>
  <c r="AT348" i="11"/>
  <c r="M348" i="11" s="1"/>
  <c r="AS348" i="11"/>
  <c r="L348" i="11" s="1"/>
  <c r="AR348" i="11"/>
  <c r="K348" i="11" s="1"/>
  <c r="AQ348" i="11"/>
  <c r="J348" i="11" s="1"/>
  <c r="AN348" i="11"/>
  <c r="AB348" i="11"/>
  <c r="AA348" i="11"/>
  <c r="Z348" i="11"/>
  <c r="Y348" i="11"/>
  <c r="V348" i="11"/>
  <c r="U348" i="11"/>
  <c r="T348" i="11"/>
  <c r="BW345" i="11"/>
  <c r="BH60" i="11"/>
  <c r="BH489" i="11"/>
  <c r="AV489" i="11" s="1"/>
  <c r="O489" i="11" s="1"/>
  <c r="AZ489" i="11"/>
  <c r="S489" i="11" s="1"/>
  <c r="AY489" i="11"/>
  <c r="AU489" i="11"/>
  <c r="N489" i="11" s="1"/>
  <c r="AT489" i="11"/>
  <c r="M489" i="11" s="1"/>
  <c r="AS489" i="11"/>
  <c r="L489" i="11" s="1"/>
  <c r="AR489" i="11"/>
  <c r="K489" i="11" s="1"/>
  <c r="AQ489" i="11"/>
  <c r="AN489" i="11"/>
  <c r="AB489" i="11"/>
  <c r="Z489" i="11"/>
  <c r="Y489" i="11"/>
  <c r="X489" i="11"/>
  <c r="W489" i="11"/>
  <c r="V489" i="11"/>
  <c r="U489" i="11"/>
  <c r="T489" i="11"/>
  <c r="BW488" i="11"/>
  <c r="AZ488" i="11"/>
  <c r="S488" i="11" s="1"/>
  <c r="AY488" i="11"/>
  <c r="AW488" i="11"/>
  <c r="P488" i="11" s="1"/>
  <c r="AU488" i="11"/>
  <c r="N488" i="11" s="1"/>
  <c r="AT488" i="11"/>
  <c r="M488" i="11" s="1"/>
  <c r="AS488" i="11"/>
  <c r="L488" i="11" s="1"/>
  <c r="AR488" i="11"/>
  <c r="K488" i="11" s="1"/>
  <c r="AQ488" i="11"/>
  <c r="J488" i="11" s="1"/>
  <c r="BW227" i="11"/>
  <c r="BC227" i="11"/>
  <c r="AT227" i="11" s="1"/>
  <c r="M227" i="11" s="1"/>
  <c r="AZ227" i="11"/>
  <c r="S227" i="11" s="1"/>
  <c r="AW227" i="11"/>
  <c r="P227" i="11" s="1"/>
  <c r="AU227" i="11"/>
  <c r="AR227" i="11"/>
  <c r="K227" i="11" s="1"/>
  <c r="AQ227" i="11"/>
  <c r="Z227" i="11"/>
  <c r="AN227" i="11"/>
  <c r="AB227" i="11"/>
  <c r="AA227" i="11"/>
  <c r="Y227" i="11"/>
  <c r="X227" i="11"/>
  <c r="W227" i="11"/>
  <c r="U227" i="11"/>
  <c r="T227" i="11"/>
  <c r="AA467" i="11"/>
  <c r="BW226" i="11"/>
  <c r="BC226" i="11"/>
  <c r="AT226" i="11" s="1"/>
  <c r="M226" i="11" s="1"/>
  <c r="AZ226" i="11"/>
  <c r="S226" i="11" s="1"/>
  <c r="AW226" i="11"/>
  <c r="P226" i="11" s="1"/>
  <c r="AU226" i="11"/>
  <c r="N226" i="11" s="1"/>
  <c r="AR226" i="11"/>
  <c r="K226" i="11" s="1"/>
  <c r="AQ226" i="11"/>
  <c r="AN226" i="11"/>
  <c r="AB226" i="11"/>
  <c r="AA226" i="11"/>
  <c r="Z226" i="11"/>
  <c r="Y226" i="11"/>
  <c r="X226" i="11"/>
  <c r="W226" i="11"/>
  <c r="U226" i="11"/>
  <c r="T226" i="11"/>
  <c r="AW340" i="11"/>
  <c r="P340" i="11" s="1"/>
  <c r="I9" i="22"/>
  <c r="H9" i="22"/>
  <c r="AP109" i="11"/>
  <c r="AP21" i="11"/>
  <c r="AP11" i="11"/>
  <c r="AN181" i="11"/>
  <c r="AB181" i="11"/>
  <c r="AA181" i="11"/>
  <c r="Z181" i="11"/>
  <c r="Y181" i="11"/>
  <c r="X181" i="11"/>
  <c r="W181" i="11"/>
  <c r="V181" i="11"/>
  <c r="U181" i="11"/>
  <c r="T181" i="11"/>
  <c r="S181" i="11"/>
  <c r="N181" i="11"/>
  <c r="M181" i="11"/>
  <c r="L181" i="11"/>
  <c r="K181" i="11"/>
  <c r="J181" i="11"/>
  <c r="U85" i="11"/>
  <c r="U84" i="11" s="1"/>
  <c r="K85" i="11"/>
  <c r="K84" i="11" s="1"/>
  <c r="AA85" i="11"/>
  <c r="AA84" i="11" s="1"/>
  <c r="Z85" i="11"/>
  <c r="Z84" i="11" s="1"/>
  <c r="AN23" i="11"/>
  <c r="BO390" i="11"/>
  <c r="BO281" i="11"/>
  <c r="BO492" i="11"/>
  <c r="BO494" i="11"/>
  <c r="BK494" i="11"/>
  <c r="BO386" i="11"/>
  <c r="BU351" i="11"/>
  <c r="BO351" i="11"/>
  <c r="BI351" i="11"/>
  <c r="BK351" i="11"/>
  <c r="BO346" i="11"/>
  <c r="BO316" i="11"/>
  <c r="BK316" i="11"/>
  <c r="BO263" i="11"/>
  <c r="BK263" i="11"/>
  <c r="BO108" i="11"/>
  <c r="BU263" i="11"/>
  <c r="AW345" i="11"/>
  <c r="P345" i="11" s="1"/>
  <c r="BW225" i="11"/>
  <c r="BC225" i="11"/>
  <c r="AS225" i="11" s="1"/>
  <c r="L225" i="11" s="1"/>
  <c r="AZ225" i="11"/>
  <c r="S225" i="11" s="1"/>
  <c r="AW225" i="11"/>
  <c r="P225" i="11" s="1"/>
  <c r="AU225" i="11"/>
  <c r="N225" i="11" s="1"/>
  <c r="AR225" i="11"/>
  <c r="AQ225" i="11"/>
  <c r="J225" i="11" s="1"/>
  <c r="AN225" i="11"/>
  <c r="AB225" i="11"/>
  <c r="AA225" i="11"/>
  <c r="Z225" i="11"/>
  <c r="Y225" i="11"/>
  <c r="X225" i="11"/>
  <c r="W225" i="11"/>
  <c r="U225" i="11"/>
  <c r="T225" i="11"/>
  <c r="W486" i="11"/>
  <c r="AN483" i="11"/>
  <c r="AB483" i="11"/>
  <c r="AA483" i="11"/>
  <c r="Z483" i="11"/>
  <c r="Y483" i="11"/>
  <c r="X483" i="11"/>
  <c r="W483" i="11"/>
  <c r="U483" i="11"/>
  <c r="T483" i="11"/>
  <c r="AZ486" i="11"/>
  <c r="S486" i="11" s="1"/>
  <c r="BW483" i="11"/>
  <c r="BC483" i="11"/>
  <c r="V483" i="11" s="1"/>
  <c r="AZ483" i="11"/>
  <c r="S483" i="11" s="1"/>
  <c r="AY483" i="11"/>
  <c r="AW483" i="11"/>
  <c r="P483" i="11" s="1"/>
  <c r="AU483" i="11"/>
  <c r="N483" i="11" s="1"/>
  <c r="AR483" i="11"/>
  <c r="K483" i="11" s="1"/>
  <c r="AQ483" i="11"/>
  <c r="J483" i="11" s="1"/>
  <c r="BW11" i="11"/>
  <c r="BW10" i="11" s="1"/>
  <c r="AW10" i="11"/>
  <c r="AW224" i="11"/>
  <c r="P224" i="11" s="1"/>
  <c r="BW224" i="11"/>
  <c r="BC224" i="11"/>
  <c r="V224" i="11" s="1"/>
  <c r="AZ224" i="11"/>
  <c r="S224" i="11" s="1"/>
  <c r="AU224" i="11"/>
  <c r="N224" i="11" s="1"/>
  <c r="AR224" i="11"/>
  <c r="K224" i="11" s="1"/>
  <c r="AQ224" i="11"/>
  <c r="J224" i="11" s="1"/>
  <c r="T224" i="11"/>
  <c r="U224" i="11"/>
  <c r="W224" i="11"/>
  <c r="X224" i="11"/>
  <c r="Y224" i="11"/>
  <c r="Z224" i="11"/>
  <c r="AA224" i="11"/>
  <c r="AB224" i="11"/>
  <c r="AN224" i="11"/>
  <c r="BW223" i="11"/>
  <c r="BC223" i="11"/>
  <c r="AT223" i="11" s="1"/>
  <c r="M223" i="11" s="1"/>
  <c r="AZ223" i="11"/>
  <c r="S223" i="11" s="1"/>
  <c r="AW223" i="11"/>
  <c r="P223" i="11" s="1"/>
  <c r="AU223" i="11"/>
  <c r="N223" i="11" s="1"/>
  <c r="AR223" i="11"/>
  <c r="K223" i="11" s="1"/>
  <c r="AQ223" i="11"/>
  <c r="J223" i="11" s="1"/>
  <c r="AN223" i="11"/>
  <c r="AB223" i="11"/>
  <c r="AA223" i="11"/>
  <c r="Z223" i="11"/>
  <c r="Y223" i="11"/>
  <c r="X223" i="11"/>
  <c r="W223" i="11"/>
  <c r="U223" i="11"/>
  <c r="T223" i="11"/>
  <c r="BW222" i="11"/>
  <c r="BC222" i="11"/>
  <c r="V222" i="11" s="1"/>
  <c r="AZ222" i="11"/>
  <c r="S222" i="11" s="1"/>
  <c r="AW222" i="11"/>
  <c r="P222" i="11" s="1"/>
  <c r="AU222" i="11"/>
  <c r="N222" i="11" s="1"/>
  <c r="AR222" i="11"/>
  <c r="K222" i="11" s="1"/>
  <c r="AQ222" i="11"/>
  <c r="J222" i="11" s="1"/>
  <c r="AN222" i="11"/>
  <c r="AB222" i="11"/>
  <c r="AA222" i="11"/>
  <c r="Z222" i="11"/>
  <c r="Y222" i="11"/>
  <c r="X222" i="11"/>
  <c r="W222" i="11"/>
  <c r="U222" i="11"/>
  <c r="T222" i="11"/>
  <c r="AY451" i="11"/>
  <c r="BW451" i="11"/>
  <c r="BF451" i="11"/>
  <c r="Y451" i="11" s="1"/>
  <c r="BE451" i="11"/>
  <c r="X451" i="11" s="1"/>
  <c r="BC451" i="11"/>
  <c r="V451" i="11" s="1"/>
  <c r="AZ451" i="11"/>
  <c r="S451" i="11" s="1"/>
  <c r="AW451" i="11"/>
  <c r="P451" i="11" s="1"/>
  <c r="AU451" i="11"/>
  <c r="N451" i="11" s="1"/>
  <c r="AR451" i="11"/>
  <c r="K451" i="11" s="1"/>
  <c r="AQ451" i="11"/>
  <c r="J451" i="11" s="1"/>
  <c r="U451" i="11"/>
  <c r="AN451" i="11"/>
  <c r="AB451" i="11"/>
  <c r="AA451" i="11"/>
  <c r="Z451" i="11"/>
  <c r="W451" i="11"/>
  <c r="T451" i="11"/>
  <c r="BV340" i="11"/>
  <c r="BW340" i="11" s="1"/>
  <c r="BG340" i="11"/>
  <c r="Z340" i="11" s="1"/>
  <c r="BC340" i="11"/>
  <c r="V340" i="11" s="1"/>
  <c r="AZ340" i="11"/>
  <c r="S340" i="11" s="1"/>
  <c r="AY340" i="11"/>
  <c r="AR340" i="11"/>
  <c r="K340" i="11" s="1"/>
  <c r="AQ340" i="11"/>
  <c r="J340" i="11" s="1"/>
  <c r="AN340" i="11"/>
  <c r="AB340" i="11"/>
  <c r="Y340" i="11"/>
  <c r="X340" i="11"/>
  <c r="W340" i="11"/>
  <c r="U340" i="11"/>
  <c r="T340" i="11"/>
  <c r="BH382" i="11"/>
  <c r="AW385" i="11"/>
  <c r="P385" i="11" s="1"/>
  <c r="Z382" i="11"/>
  <c r="BV382" i="11"/>
  <c r="BW382" i="11" s="1"/>
  <c r="BC382" i="11"/>
  <c r="AS382" i="11" s="1"/>
  <c r="L382" i="11" s="1"/>
  <c r="AZ382" i="11"/>
  <c r="S382" i="11" s="1"/>
  <c r="AY382" i="11"/>
  <c r="AR382" i="11"/>
  <c r="K382" i="11" s="1"/>
  <c r="AQ382" i="11"/>
  <c r="J382" i="11" s="1"/>
  <c r="AN382" i="11"/>
  <c r="AB382" i="11"/>
  <c r="Y382" i="11"/>
  <c r="X382" i="11"/>
  <c r="W382" i="11"/>
  <c r="U382" i="11"/>
  <c r="T382" i="11"/>
  <c r="AU385" i="11"/>
  <c r="N385" i="11" s="1"/>
  <c r="BW212" i="11"/>
  <c r="BW205" i="11"/>
  <c r="AU94" i="11"/>
  <c r="AU90" i="11" s="1"/>
  <c r="AS94" i="11"/>
  <c r="L94" i="11" s="1"/>
  <c r="BW94" i="11"/>
  <c r="AZ94" i="11"/>
  <c r="S94" i="11" s="1"/>
  <c r="AY94" i="11"/>
  <c r="AR94" i="11"/>
  <c r="AN94" i="11"/>
  <c r="AB94" i="11"/>
  <c r="AA94" i="11"/>
  <c r="Y94" i="11"/>
  <c r="X94" i="11"/>
  <c r="W94" i="11"/>
  <c r="V94" i="11"/>
  <c r="U94" i="11"/>
  <c r="T94" i="11"/>
  <c r="BW93" i="11"/>
  <c r="AZ93" i="11"/>
  <c r="S93" i="11" s="1"/>
  <c r="AY93" i="11"/>
  <c r="AW93" i="11"/>
  <c r="AR93" i="11"/>
  <c r="K93" i="11" s="1"/>
  <c r="AN93" i="11"/>
  <c r="AB93" i="11"/>
  <c r="AA93" i="11"/>
  <c r="Z93" i="11"/>
  <c r="Y93" i="11"/>
  <c r="X93" i="11"/>
  <c r="W93" i="11"/>
  <c r="V93" i="11"/>
  <c r="U93" i="11"/>
  <c r="T93" i="11"/>
  <c r="N93" i="11"/>
  <c r="L93" i="11"/>
  <c r="AW86" i="11"/>
  <c r="BH78" i="11"/>
  <c r="BG51" i="11"/>
  <c r="Z51" i="11" s="1"/>
  <c r="Z50" i="11" s="1"/>
  <c r="BW221" i="11"/>
  <c r="BC221" i="11"/>
  <c r="AT221" i="11" s="1"/>
  <c r="M221" i="11" s="1"/>
  <c r="AZ221" i="11"/>
  <c r="S221" i="11" s="1"/>
  <c r="AU221" i="11"/>
  <c r="N221" i="11" s="1"/>
  <c r="AR221" i="11"/>
  <c r="K221" i="11" s="1"/>
  <c r="AQ221" i="11"/>
  <c r="J221" i="11" s="1"/>
  <c r="AN221" i="11"/>
  <c r="AB221" i="11"/>
  <c r="Z221" i="11"/>
  <c r="Y221" i="11"/>
  <c r="X221" i="11"/>
  <c r="W221" i="11"/>
  <c r="U221" i="11"/>
  <c r="T221" i="11"/>
  <c r="BW450" i="11"/>
  <c r="BF450" i="11"/>
  <c r="Y450" i="11" s="1"/>
  <c r="BE450" i="11"/>
  <c r="X450" i="11" s="1"/>
  <c r="BC450" i="11"/>
  <c r="AT450" i="11" s="1"/>
  <c r="M450" i="11" s="1"/>
  <c r="AZ450" i="11"/>
  <c r="S450" i="11" s="1"/>
  <c r="AY450" i="11"/>
  <c r="AW450" i="11"/>
  <c r="P450" i="11" s="1"/>
  <c r="AU450" i="11"/>
  <c r="N450" i="11" s="1"/>
  <c r="AR450" i="11"/>
  <c r="K450" i="11" s="1"/>
  <c r="AQ450" i="11"/>
  <c r="J450" i="11" s="1"/>
  <c r="AN450" i="11"/>
  <c r="AB450" i="11"/>
  <c r="AA450" i="11"/>
  <c r="Z450" i="11"/>
  <c r="W450" i="11"/>
  <c r="U450" i="11"/>
  <c r="T450" i="11"/>
  <c r="AW76" i="11"/>
  <c r="P76" i="11" s="1"/>
  <c r="BW75" i="11"/>
  <c r="AZ75" i="11"/>
  <c r="S75" i="11" s="1"/>
  <c r="AY75" i="11"/>
  <c r="AW75" i="11"/>
  <c r="P75" i="11" s="1"/>
  <c r="AU75" i="11"/>
  <c r="N75" i="11" s="1"/>
  <c r="AT75" i="11"/>
  <c r="M75" i="11" s="1"/>
  <c r="AS75" i="11"/>
  <c r="L75" i="11" s="1"/>
  <c r="AR75" i="11"/>
  <c r="K75" i="11" s="1"/>
  <c r="AQ75" i="11"/>
  <c r="J75" i="11" s="1"/>
  <c r="AA76" i="11"/>
  <c r="AN75" i="11"/>
  <c r="AB75" i="11"/>
  <c r="AA75" i="11"/>
  <c r="Y75" i="11"/>
  <c r="X75" i="11"/>
  <c r="W75" i="11"/>
  <c r="V75" i="11"/>
  <c r="U75" i="11"/>
  <c r="AW458" i="11"/>
  <c r="P458" i="11" s="1"/>
  <c r="AU449" i="11"/>
  <c r="N449" i="11" s="1"/>
  <c r="BW449" i="11"/>
  <c r="BF449" i="11"/>
  <c r="Y449" i="11" s="1"/>
  <c r="BE449" i="11"/>
  <c r="X449" i="11" s="1"/>
  <c r="BC449" i="11"/>
  <c r="AS449" i="11" s="1"/>
  <c r="L449" i="11" s="1"/>
  <c r="AZ449" i="11"/>
  <c r="S449" i="11" s="1"/>
  <c r="AY449" i="11"/>
  <c r="AW449" i="11"/>
  <c r="P449" i="11" s="1"/>
  <c r="AR449" i="11"/>
  <c r="K449" i="11" s="1"/>
  <c r="AQ449" i="11"/>
  <c r="J449" i="11" s="1"/>
  <c r="AN449" i="11"/>
  <c r="AB449" i="11"/>
  <c r="AA449" i="11"/>
  <c r="Z449" i="11"/>
  <c r="W449" i="11"/>
  <c r="U449" i="11"/>
  <c r="T449" i="11"/>
  <c r="AU482" i="11"/>
  <c r="N482" i="11" s="1"/>
  <c r="BW308" i="11"/>
  <c r="BG83" i="11"/>
  <c r="Z83" i="11" s="1"/>
  <c r="Z82" i="11" s="1"/>
  <c r="BG81" i="11"/>
  <c r="BG80" i="11" s="1"/>
  <c r="E24" i="17" s="1"/>
  <c r="E24" i="22" s="1"/>
  <c r="BG79" i="11"/>
  <c r="BW202" i="11"/>
  <c r="AU133" i="11"/>
  <c r="AP133" i="11" s="1"/>
  <c r="AU85" i="11"/>
  <c r="AU84" i="11" s="1"/>
  <c r="D27" i="17" s="1"/>
  <c r="D27" i="22" s="1"/>
  <c r="AU490" i="11"/>
  <c r="N490" i="11" s="1"/>
  <c r="AU487" i="11"/>
  <c r="N487" i="11" s="1"/>
  <c r="AU486" i="11"/>
  <c r="N486" i="11" s="1"/>
  <c r="AU481" i="11"/>
  <c r="N481" i="11" s="1"/>
  <c r="AU480" i="11"/>
  <c r="N480" i="11" s="1"/>
  <c r="AU479" i="11"/>
  <c r="N479" i="11" s="1"/>
  <c r="AU478" i="11"/>
  <c r="N478" i="11" s="1"/>
  <c r="AU477" i="11"/>
  <c r="N477" i="11" s="1"/>
  <c r="AU476" i="11"/>
  <c r="N476" i="11" s="1"/>
  <c r="AU473" i="11"/>
  <c r="N473" i="11" s="1"/>
  <c r="AU472" i="11"/>
  <c r="N472" i="11" s="1"/>
  <c r="AU471" i="11"/>
  <c r="N471" i="11" s="1"/>
  <c r="AU470" i="11"/>
  <c r="N470" i="11" s="1"/>
  <c r="AU467" i="11"/>
  <c r="N467" i="11" s="1"/>
  <c r="AU466" i="11"/>
  <c r="N466" i="11" s="1"/>
  <c r="AU465" i="11"/>
  <c r="N465" i="11" s="1"/>
  <c r="AU464" i="11"/>
  <c r="N464" i="11" s="1"/>
  <c r="AU463" i="11"/>
  <c r="N463" i="11" s="1"/>
  <c r="AU462" i="11"/>
  <c r="N462" i="11" s="1"/>
  <c r="AU460" i="11"/>
  <c r="N460" i="11" s="1"/>
  <c r="AU459" i="11"/>
  <c r="N459" i="11" s="1"/>
  <c r="AU458" i="11"/>
  <c r="N458" i="11" s="1"/>
  <c r="AU448" i="11"/>
  <c r="N448" i="11" s="1"/>
  <c r="AU447" i="11"/>
  <c r="N447" i="11" s="1"/>
  <c r="AU446" i="11"/>
  <c r="N446" i="11" s="1"/>
  <c r="AU445" i="11"/>
  <c r="N445" i="11" s="1"/>
  <c r="AU444" i="11"/>
  <c r="N444" i="11" s="1"/>
  <c r="AU443" i="11"/>
  <c r="N443" i="11" s="1"/>
  <c r="AU442" i="11"/>
  <c r="N442" i="11" s="1"/>
  <c r="AU441" i="11"/>
  <c r="N441" i="11" s="1"/>
  <c r="AU440" i="11"/>
  <c r="N440" i="11" s="1"/>
  <c r="AU439" i="11"/>
  <c r="N439" i="11" s="1"/>
  <c r="AU438" i="11"/>
  <c r="N438" i="11" s="1"/>
  <c r="AU434" i="11"/>
  <c r="N434" i="11" s="1"/>
  <c r="AU433" i="11"/>
  <c r="N433" i="11" s="1"/>
  <c r="AU432" i="11"/>
  <c r="N432" i="11" s="1"/>
  <c r="AU430" i="11"/>
  <c r="N430" i="11" s="1"/>
  <c r="AU429" i="11"/>
  <c r="N429" i="11" s="1"/>
  <c r="AU428" i="11"/>
  <c r="N428" i="11" s="1"/>
  <c r="AU427" i="11"/>
  <c r="N427" i="11" s="1"/>
  <c r="AU426" i="11"/>
  <c r="N426" i="11" s="1"/>
  <c r="AU425" i="11"/>
  <c r="N425" i="11" s="1"/>
  <c r="AU424" i="11"/>
  <c r="N424" i="11" s="1"/>
  <c r="AU423" i="11"/>
  <c r="N423" i="11" s="1"/>
  <c r="AU422" i="11"/>
  <c r="N422" i="11" s="1"/>
  <c r="AU421" i="11"/>
  <c r="N421" i="11" s="1"/>
  <c r="AU420" i="11"/>
  <c r="N420" i="11" s="1"/>
  <c r="AU419" i="11"/>
  <c r="N419" i="11" s="1"/>
  <c r="AU418" i="11"/>
  <c r="N418" i="11" s="1"/>
  <c r="AU417" i="11"/>
  <c r="N417" i="11" s="1"/>
  <c r="AU416" i="11"/>
  <c r="N416" i="11" s="1"/>
  <c r="AU415" i="11"/>
  <c r="N415" i="11" s="1"/>
  <c r="AU414" i="11"/>
  <c r="N414" i="11" s="1"/>
  <c r="AU413" i="11"/>
  <c r="N413" i="11" s="1"/>
  <c r="AU412" i="11"/>
  <c r="N412" i="11" s="1"/>
  <c r="AU411" i="11"/>
  <c r="N411" i="11" s="1"/>
  <c r="AU410" i="11"/>
  <c r="N410" i="11" s="1"/>
  <c r="AU409" i="11"/>
  <c r="N409" i="11" s="1"/>
  <c r="AU408" i="11"/>
  <c r="N408" i="11" s="1"/>
  <c r="AU407" i="11"/>
  <c r="N407" i="11" s="1"/>
  <c r="AU406" i="11"/>
  <c r="N406" i="11" s="1"/>
  <c r="AU405" i="11"/>
  <c r="N405" i="11" s="1"/>
  <c r="AU403" i="11"/>
  <c r="N403" i="11" s="1"/>
  <c r="AU401" i="11"/>
  <c r="N401" i="11" s="1"/>
  <c r="AU399" i="11"/>
  <c r="N399" i="11" s="1"/>
  <c r="AU397" i="11"/>
  <c r="N397" i="11" s="1"/>
  <c r="AU396" i="11"/>
  <c r="N396" i="11" s="1"/>
  <c r="AU395" i="11"/>
  <c r="N395" i="11" s="1"/>
  <c r="AU394" i="11"/>
  <c r="N394" i="11" s="1"/>
  <c r="AU391" i="11"/>
  <c r="AU388" i="11"/>
  <c r="N388" i="11" s="1"/>
  <c r="AU387" i="11"/>
  <c r="AU381" i="11"/>
  <c r="N381" i="11" s="1"/>
  <c r="AU380" i="11"/>
  <c r="N380" i="11" s="1"/>
  <c r="AU376" i="11"/>
  <c r="N376" i="11" s="1"/>
  <c r="AU375" i="11"/>
  <c r="N375" i="11" s="1"/>
  <c r="AU371" i="11"/>
  <c r="N371" i="11" s="1"/>
  <c r="N370" i="11"/>
  <c r="AU368" i="11"/>
  <c r="N368" i="11" s="1"/>
  <c r="AU367" i="11"/>
  <c r="N367" i="11" s="1"/>
  <c r="AU365" i="11"/>
  <c r="N365" i="11" s="1"/>
  <c r="AU364" i="11"/>
  <c r="N364" i="11" s="1"/>
  <c r="AU363" i="11"/>
  <c r="N363" i="11" s="1"/>
  <c r="AU355" i="11"/>
  <c r="N355" i="11" s="1"/>
  <c r="AU353" i="11"/>
  <c r="N353" i="11" s="1"/>
  <c r="AU352" i="11"/>
  <c r="AU350" i="11"/>
  <c r="N350" i="11" s="1"/>
  <c r="AU347" i="11"/>
  <c r="AU330" i="11"/>
  <c r="N330" i="11" s="1"/>
  <c r="AU329" i="11"/>
  <c r="N329" i="11" s="1"/>
  <c r="AU326" i="11"/>
  <c r="N326" i="11" s="1"/>
  <c r="AU325" i="11"/>
  <c r="N325" i="11" s="1"/>
  <c r="AU323" i="11"/>
  <c r="N323" i="11" s="1"/>
  <c r="AU322" i="11"/>
  <c r="N322" i="11" s="1"/>
  <c r="AU320" i="11"/>
  <c r="N320" i="11" s="1"/>
  <c r="AU319" i="11"/>
  <c r="N319" i="11" s="1"/>
  <c r="AU318" i="11"/>
  <c r="N318" i="11" s="1"/>
  <c r="AU305" i="11"/>
  <c r="N305" i="11" s="1"/>
  <c r="AU304" i="11"/>
  <c r="N304" i="11" s="1"/>
  <c r="AU303" i="11"/>
  <c r="N303" i="11" s="1"/>
  <c r="AU299" i="11"/>
  <c r="N299" i="11" s="1"/>
  <c r="AU298" i="11"/>
  <c r="N298" i="11" s="1"/>
  <c r="AU295" i="11"/>
  <c r="N295" i="11" s="1"/>
  <c r="AU294" i="11"/>
  <c r="N294" i="11" s="1"/>
  <c r="AU293" i="11"/>
  <c r="N293" i="11" s="1"/>
  <c r="AU292" i="11"/>
  <c r="N292" i="11" s="1"/>
  <c r="AU291" i="11"/>
  <c r="N291" i="11" s="1"/>
  <c r="AU286" i="11"/>
  <c r="N286" i="11" s="1"/>
  <c r="AU284" i="11"/>
  <c r="N284" i="11" s="1"/>
  <c r="AU283" i="11"/>
  <c r="N283" i="11" s="1"/>
  <c r="AU282" i="11"/>
  <c r="N282" i="11" s="1"/>
  <c r="AU280" i="11"/>
  <c r="N280" i="11" s="1"/>
  <c r="AU278" i="11"/>
  <c r="N278" i="11" s="1"/>
  <c r="AU277" i="11"/>
  <c r="N277" i="11" s="1"/>
  <c r="AU276" i="11"/>
  <c r="N276" i="11" s="1"/>
  <c r="AU275" i="11"/>
  <c r="N275" i="11" s="1"/>
  <c r="AU274" i="11"/>
  <c r="N274" i="11" s="1"/>
  <c r="AU273" i="11"/>
  <c r="N273" i="11" s="1"/>
  <c r="AU272" i="11"/>
  <c r="N272" i="11" s="1"/>
  <c r="AU271" i="11"/>
  <c r="N271" i="11" s="1"/>
  <c r="AU269" i="11"/>
  <c r="N269" i="11" s="1"/>
  <c r="AU267" i="11"/>
  <c r="N267" i="11" s="1"/>
  <c r="AU266" i="11"/>
  <c r="N266" i="11" s="1"/>
  <c r="AU265" i="11"/>
  <c r="N265" i="11" s="1"/>
  <c r="AU264" i="11"/>
  <c r="N264" i="11" s="1"/>
  <c r="AU220" i="11"/>
  <c r="N220" i="11" s="1"/>
  <c r="AU219" i="11"/>
  <c r="N219" i="11" s="1"/>
  <c r="AU218" i="11"/>
  <c r="N218" i="11" s="1"/>
  <c r="AU217" i="11"/>
  <c r="N217" i="11" s="1"/>
  <c r="AU216" i="11"/>
  <c r="N216" i="11" s="1"/>
  <c r="AU215" i="11"/>
  <c r="N215" i="11" s="1"/>
  <c r="AU214" i="11"/>
  <c r="N214" i="11" s="1"/>
  <c r="AU213" i="11"/>
  <c r="N213" i="11" s="1"/>
  <c r="AU212" i="11"/>
  <c r="N212" i="11" s="1"/>
  <c r="AU211" i="11"/>
  <c r="N211" i="11" s="1"/>
  <c r="AU210" i="11"/>
  <c r="N210" i="11" s="1"/>
  <c r="AU209" i="11"/>
  <c r="N209" i="11" s="1"/>
  <c r="AU208" i="11"/>
  <c r="N208" i="11" s="1"/>
  <c r="AU205" i="11"/>
  <c r="N205" i="11" s="1"/>
  <c r="AU204" i="11"/>
  <c r="N204" i="11" s="1"/>
  <c r="AU203" i="11"/>
  <c r="N203" i="11" s="1"/>
  <c r="AU197" i="11"/>
  <c r="N197" i="11" s="1"/>
  <c r="AU196" i="11"/>
  <c r="N196" i="11" s="1"/>
  <c r="AU194" i="11"/>
  <c r="N194" i="11" s="1"/>
  <c r="AU193" i="11"/>
  <c r="N193" i="11" s="1"/>
  <c r="AU192" i="11"/>
  <c r="N192" i="11" s="1"/>
  <c r="AU191" i="11"/>
  <c r="N191" i="11" s="1"/>
  <c r="AU190" i="11"/>
  <c r="N190" i="11" s="1"/>
  <c r="AU189" i="11"/>
  <c r="N189" i="11" s="1"/>
  <c r="AU188" i="11"/>
  <c r="N188" i="11" s="1"/>
  <c r="AU187" i="11"/>
  <c r="N187" i="11" s="1"/>
  <c r="AU185" i="11"/>
  <c r="N185" i="11" s="1"/>
  <c r="AU184" i="11"/>
  <c r="N184" i="11" s="1"/>
  <c r="AU183" i="11"/>
  <c r="N183" i="11" s="1"/>
  <c r="AU180" i="11"/>
  <c r="N180" i="11" s="1"/>
  <c r="AU179" i="11"/>
  <c r="N179" i="11" s="1"/>
  <c r="AU176" i="11"/>
  <c r="N176" i="11" s="1"/>
  <c r="AU173" i="11"/>
  <c r="N173" i="11" s="1"/>
  <c r="AU172" i="11"/>
  <c r="N172" i="11" s="1"/>
  <c r="AU169" i="11"/>
  <c r="N169" i="11" s="1"/>
  <c r="AU168" i="11"/>
  <c r="N168" i="11" s="1"/>
  <c r="AU167" i="11"/>
  <c r="N167" i="11" s="1"/>
  <c r="AU166" i="11"/>
  <c r="N166" i="11" s="1"/>
  <c r="AU163" i="11"/>
  <c r="N163" i="11" s="1"/>
  <c r="AU157" i="11"/>
  <c r="N157" i="11" s="1"/>
  <c r="AU156" i="11"/>
  <c r="N156" i="11" s="1"/>
  <c r="AU154" i="11"/>
  <c r="N154" i="11" s="1"/>
  <c r="AU151" i="11"/>
  <c r="N151" i="11" s="1"/>
  <c r="AU149" i="11"/>
  <c r="N149" i="11" s="1"/>
  <c r="AU148" i="11"/>
  <c r="N148" i="11" s="1"/>
  <c r="AU146" i="11"/>
  <c r="N146" i="11" s="1"/>
  <c r="AU145" i="11"/>
  <c r="N145" i="11" s="1"/>
  <c r="AU141" i="11"/>
  <c r="N141" i="11" s="1"/>
  <c r="AU140" i="11"/>
  <c r="N140" i="11" s="1"/>
  <c r="AU139" i="11"/>
  <c r="N139" i="11" s="1"/>
  <c r="AU138" i="11"/>
  <c r="N138" i="11" s="1"/>
  <c r="AU131" i="11"/>
  <c r="N131" i="11" s="1"/>
  <c r="AU130" i="11"/>
  <c r="N130" i="11" s="1"/>
  <c r="AU129" i="11"/>
  <c r="N129" i="11" s="1"/>
  <c r="AU126" i="11"/>
  <c r="N126" i="11" s="1"/>
  <c r="AU125" i="11"/>
  <c r="N125" i="11" s="1"/>
  <c r="AU112" i="11"/>
  <c r="N112" i="11" s="1"/>
  <c r="AU76" i="11"/>
  <c r="N76" i="11" s="1"/>
  <c r="AU72" i="11"/>
  <c r="N72" i="11" s="1"/>
  <c r="AU71" i="11"/>
  <c r="N71" i="11" s="1"/>
  <c r="AU70" i="11"/>
  <c r="N70" i="11" s="1"/>
  <c r="AU68" i="11"/>
  <c r="N68" i="11" s="1"/>
  <c r="AU67" i="11"/>
  <c r="N67" i="11" s="1"/>
  <c r="AU64" i="11"/>
  <c r="N64" i="11" s="1"/>
  <c r="AU63" i="11"/>
  <c r="N63" i="11" s="1"/>
  <c r="AU55" i="11"/>
  <c r="N55" i="11" s="1"/>
  <c r="AU48" i="11"/>
  <c r="N48" i="11" s="1"/>
  <c r="AU44" i="11"/>
  <c r="N44" i="11" s="1"/>
  <c r="N43" i="11" s="1"/>
  <c r="AU42" i="11"/>
  <c r="N42" i="11" s="1"/>
  <c r="AU41" i="11"/>
  <c r="N41" i="11" s="1"/>
  <c r="AU40" i="11"/>
  <c r="N40" i="11" s="1"/>
  <c r="AU39" i="11"/>
  <c r="N39" i="11" s="1"/>
  <c r="AU37" i="11"/>
  <c r="N37" i="11" s="1"/>
  <c r="AU31" i="11"/>
  <c r="AT490" i="11"/>
  <c r="M490" i="11" s="1"/>
  <c r="AT487" i="11"/>
  <c r="M487" i="11" s="1"/>
  <c r="AT478" i="11"/>
  <c r="M478" i="11" s="1"/>
  <c r="AT477" i="11"/>
  <c r="M477" i="11" s="1"/>
  <c r="AT476" i="11"/>
  <c r="M476" i="11" s="1"/>
  <c r="AT475" i="11"/>
  <c r="M475" i="11" s="1"/>
  <c r="AT474" i="11"/>
  <c r="M474" i="11" s="1"/>
  <c r="AT473" i="11"/>
  <c r="M473" i="11" s="1"/>
  <c r="AT472" i="11"/>
  <c r="M472" i="11" s="1"/>
  <c r="AT471" i="11"/>
  <c r="M471" i="11" s="1"/>
  <c r="AT466" i="11"/>
  <c r="M466" i="11" s="1"/>
  <c r="AT465" i="11"/>
  <c r="M465" i="11" s="1"/>
  <c r="AT464" i="11"/>
  <c r="M464" i="11" s="1"/>
  <c r="AT463" i="11"/>
  <c r="M463" i="11" s="1"/>
  <c r="AT462" i="11"/>
  <c r="M462" i="11" s="1"/>
  <c r="AT460" i="11"/>
  <c r="M460" i="11" s="1"/>
  <c r="AT459" i="11"/>
  <c r="M459" i="11" s="1"/>
  <c r="AT442" i="11"/>
  <c r="M442" i="11" s="1"/>
  <c r="AT441" i="11"/>
  <c r="M441" i="11" s="1"/>
  <c r="AT440" i="11"/>
  <c r="M440" i="11" s="1"/>
  <c r="AT439" i="11"/>
  <c r="M439" i="11" s="1"/>
  <c r="AT438" i="11"/>
  <c r="M438" i="11" s="1"/>
  <c r="AT436" i="11"/>
  <c r="M436" i="11" s="1"/>
  <c r="AT433" i="11"/>
  <c r="M433" i="11" s="1"/>
  <c r="AT432" i="11"/>
  <c r="M432" i="11" s="1"/>
  <c r="AT429" i="11"/>
  <c r="M429" i="11" s="1"/>
  <c r="AT428" i="11"/>
  <c r="M428" i="11" s="1"/>
  <c r="AT427" i="11"/>
  <c r="M427" i="11" s="1"/>
  <c r="AT426" i="11"/>
  <c r="M426" i="11" s="1"/>
  <c r="AT425" i="11"/>
  <c r="M425" i="11" s="1"/>
  <c r="AT424" i="11"/>
  <c r="M424" i="11" s="1"/>
  <c r="AT423" i="11"/>
  <c r="M423" i="11" s="1"/>
  <c r="AT422" i="11"/>
  <c r="M422" i="11" s="1"/>
  <c r="AT421" i="11"/>
  <c r="M421" i="11" s="1"/>
  <c r="AT420" i="11"/>
  <c r="M420" i="11" s="1"/>
  <c r="AT419" i="11"/>
  <c r="M419" i="11" s="1"/>
  <c r="AT418" i="11"/>
  <c r="M418" i="11" s="1"/>
  <c r="AT417" i="11"/>
  <c r="M417" i="11" s="1"/>
  <c r="AT416" i="11"/>
  <c r="M416" i="11" s="1"/>
  <c r="AT415" i="11"/>
  <c r="M415" i="11" s="1"/>
  <c r="AT414" i="11"/>
  <c r="M414" i="11" s="1"/>
  <c r="AT412" i="11"/>
  <c r="M412" i="11" s="1"/>
  <c r="AT411" i="11"/>
  <c r="M411" i="11" s="1"/>
  <c r="AT406" i="11"/>
  <c r="M406" i="11" s="1"/>
  <c r="AT405" i="11"/>
  <c r="M405" i="11" s="1"/>
  <c r="AT403" i="11"/>
  <c r="M403" i="11" s="1"/>
  <c r="AT402" i="11"/>
  <c r="M402" i="11" s="1"/>
  <c r="AT401" i="11"/>
  <c r="M401" i="11" s="1"/>
  <c r="AT400" i="11"/>
  <c r="M400" i="11" s="1"/>
  <c r="AT399" i="11"/>
  <c r="M399" i="11" s="1"/>
  <c r="AT398" i="11"/>
  <c r="M398" i="11" s="1"/>
  <c r="AT397" i="11"/>
  <c r="M397" i="11" s="1"/>
  <c r="AT396" i="11"/>
  <c r="M396" i="11" s="1"/>
  <c r="AT395" i="11"/>
  <c r="M395" i="11" s="1"/>
  <c r="AT394" i="11"/>
  <c r="M394" i="11" s="1"/>
  <c r="AT391" i="11"/>
  <c r="M391" i="11" s="1"/>
  <c r="AT378" i="11"/>
  <c r="M378" i="11" s="1"/>
  <c r="AT377" i="11"/>
  <c r="M377" i="11" s="1"/>
  <c r="AT376" i="11"/>
  <c r="M376" i="11" s="1"/>
  <c r="AT375" i="11"/>
  <c r="M375" i="11" s="1"/>
  <c r="AT373" i="11"/>
  <c r="M373" i="11" s="1"/>
  <c r="AT372" i="11"/>
  <c r="M372" i="11" s="1"/>
  <c r="AT371" i="11"/>
  <c r="M371" i="11" s="1"/>
  <c r="AT370" i="11"/>
  <c r="M370" i="11" s="1"/>
  <c r="AT369" i="11"/>
  <c r="M369" i="11" s="1"/>
  <c r="AT368" i="11"/>
  <c r="M368" i="11" s="1"/>
  <c r="AT367" i="11"/>
  <c r="M367" i="11" s="1"/>
  <c r="AT366" i="11"/>
  <c r="M366" i="11" s="1"/>
  <c r="AT365" i="11"/>
  <c r="M365" i="11" s="1"/>
  <c r="AT364" i="11"/>
  <c r="M364" i="11" s="1"/>
  <c r="AT362" i="11"/>
  <c r="M362" i="11" s="1"/>
  <c r="AT361" i="11"/>
  <c r="M361" i="11" s="1"/>
  <c r="AT360" i="11"/>
  <c r="M360" i="11" s="1"/>
  <c r="AT359" i="11"/>
  <c r="M359" i="11" s="1"/>
  <c r="AT358" i="11"/>
  <c r="M358" i="11" s="1"/>
  <c r="AT357" i="11"/>
  <c r="M357" i="11" s="1"/>
  <c r="AT356" i="11"/>
  <c r="M356" i="11" s="1"/>
  <c r="AT355" i="11"/>
  <c r="M355" i="11" s="1"/>
  <c r="AT354" i="11"/>
  <c r="M354" i="11" s="1"/>
  <c r="AT353" i="11"/>
  <c r="M353" i="11" s="1"/>
  <c r="AT350" i="11"/>
  <c r="M350" i="11" s="1"/>
  <c r="AT347" i="11"/>
  <c r="M347" i="11" s="1"/>
  <c r="AT335" i="11"/>
  <c r="M335" i="11" s="1"/>
  <c r="AT333" i="11"/>
  <c r="M333" i="11" s="1"/>
  <c r="AT332" i="11"/>
  <c r="M332" i="11" s="1"/>
  <c r="AT331" i="11"/>
  <c r="M331" i="11" s="1"/>
  <c r="AT329" i="11"/>
  <c r="M329" i="11" s="1"/>
  <c r="AT328" i="11"/>
  <c r="M328" i="11" s="1"/>
  <c r="AT327" i="11"/>
  <c r="M327" i="11" s="1"/>
  <c r="AT326" i="11"/>
  <c r="M326" i="11" s="1"/>
  <c r="AT325" i="11"/>
  <c r="M325" i="11" s="1"/>
  <c r="AT324" i="11"/>
  <c r="M324" i="11" s="1"/>
  <c r="AT323" i="11"/>
  <c r="M323" i="11" s="1"/>
  <c r="AT322" i="11"/>
  <c r="M322" i="11" s="1"/>
  <c r="AT321" i="11"/>
  <c r="M321" i="11" s="1"/>
  <c r="AT320" i="11"/>
  <c r="M320" i="11" s="1"/>
  <c r="AT319" i="11"/>
  <c r="M319" i="11" s="1"/>
  <c r="AT318" i="11"/>
  <c r="M318" i="11" s="1"/>
  <c r="AT317" i="11"/>
  <c r="M317" i="11" s="1"/>
  <c r="AT306" i="11"/>
  <c r="M306" i="11" s="1"/>
  <c r="AT305" i="11"/>
  <c r="M305" i="11" s="1"/>
  <c r="AT303" i="11"/>
  <c r="M303" i="11" s="1"/>
  <c r="AT302" i="11"/>
  <c r="M302" i="11" s="1"/>
  <c r="AT301" i="11"/>
  <c r="M301" i="11" s="1"/>
  <c r="AT300" i="11"/>
  <c r="M300" i="11" s="1"/>
  <c r="AT299" i="11"/>
  <c r="M299" i="11" s="1"/>
  <c r="AT298" i="11"/>
  <c r="M298" i="11" s="1"/>
  <c r="AT297" i="11"/>
  <c r="M297" i="11" s="1"/>
  <c r="AT296" i="11"/>
  <c r="M296" i="11" s="1"/>
  <c r="AT295" i="11"/>
  <c r="M295" i="11" s="1"/>
  <c r="AT294" i="11"/>
  <c r="M294" i="11" s="1"/>
  <c r="AT293" i="11"/>
  <c r="M293" i="11" s="1"/>
  <c r="AT292" i="11"/>
  <c r="M292" i="11" s="1"/>
  <c r="AT291" i="11"/>
  <c r="M291" i="11" s="1"/>
  <c r="AT290" i="11"/>
  <c r="M290" i="11" s="1"/>
  <c r="AT289" i="11"/>
  <c r="M289" i="11" s="1"/>
  <c r="AT286" i="11"/>
  <c r="M286" i="11" s="1"/>
  <c r="AT285" i="11"/>
  <c r="M285" i="11" s="1"/>
  <c r="AT284" i="11"/>
  <c r="M284" i="11" s="1"/>
  <c r="AT283" i="11"/>
  <c r="M283" i="11" s="1"/>
  <c r="AT282" i="11"/>
  <c r="M282" i="11" s="1"/>
  <c r="AT278" i="11"/>
  <c r="M278" i="11" s="1"/>
  <c r="AT277" i="11"/>
  <c r="M277" i="11" s="1"/>
  <c r="AT276" i="11"/>
  <c r="M276" i="11" s="1"/>
  <c r="AT275" i="11"/>
  <c r="M275" i="11" s="1"/>
  <c r="AT274" i="11"/>
  <c r="M274" i="11" s="1"/>
  <c r="AT273" i="11"/>
  <c r="M273" i="11" s="1"/>
  <c r="AT272" i="11"/>
  <c r="M272" i="11" s="1"/>
  <c r="AT271" i="11"/>
  <c r="M271" i="11" s="1"/>
  <c r="AT268" i="11"/>
  <c r="M268" i="11" s="1"/>
  <c r="AT267" i="11"/>
  <c r="M267" i="11" s="1"/>
  <c r="AT266" i="11"/>
  <c r="M266" i="11" s="1"/>
  <c r="AT265" i="11"/>
  <c r="M265" i="11" s="1"/>
  <c r="AT264" i="11"/>
  <c r="M264" i="11" s="1"/>
  <c r="AT193" i="11"/>
  <c r="M193" i="11" s="1"/>
  <c r="AT192" i="11"/>
  <c r="M192" i="11" s="1"/>
  <c r="AT191" i="11"/>
  <c r="M191" i="11" s="1"/>
  <c r="AT190" i="11"/>
  <c r="M190" i="11" s="1"/>
  <c r="AT189" i="11"/>
  <c r="M189" i="11" s="1"/>
  <c r="AT188" i="11"/>
  <c r="M188" i="11" s="1"/>
  <c r="AT187" i="11"/>
  <c r="M187" i="11" s="1"/>
  <c r="AT172" i="11"/>
  <c r="M172" i="11" s="1"/>
  <c r="AT171" i="11"/>
  <c r="M171" i="11" s="1"/>
  <c r="AT170" i="11"/>
  <c r="M170" i="11" s="1"/>
  <c r="AT169" i="11"/>
  <c r="M169" i="11" s="1"/>
  <c r="AT168" i="11"/>
  <c r="M168" i="11" s="1"/>
  <c r="AT167" i="11"/>
  <c r="M167" i="11" s="1"/>
  <c r="AT165" i="11"/>
  <c r="M165" i="11" s="1"/>
  <c r="AT160" i="11"/>
  <c r="M160" i="11" s="1"/>
  <c r="AT159" i="11"/>
  <c r="M159" i="11" s="1"/>
  <c r="AT158" i="11"/>
  <c r="M158" i="11" s="1"/>
  <c r="AT157" i="11"/>
  <c r="M157" i="11" s="1"/>
  <c r="AT156" i="11"/>
  <c r="M156" i="11" s="1"/>
  <c r="AT155" i="11"/>
  <c r="M155" i="11" s="1"/>
  <c r="AT154" i="11"/>
  <c r="M154" i="11" s="1"/>
  <c r="AT152" i="11"/>
  <c r="M152" i="11" s="1"/>
  <c r="AT151" i="11"/>
  <c r="M151" i="11" s="1"/>
  <c r="AT150" i="11"/>
  <c r="M150" i="11" s="1"/>
  <c r="AT149" i="11"/>
  <c r="M149" i="11" s="1"/>
  <c r="AT148" i="11"/>
  <c r="M148" i="11" s="1"/>
  <c r="AT145" i="11"/>
  <c r="M145" i="11" s="1"/>
  <c r="AT144" i="11"/>
  <c r="M144" i="11" s="1"/>
  <c r="AT143" i="11"/>
  <c r="M143" i="11" s="1"/>
  <c r="AT141" i="11"/>
  <c r="M141" i="11" s="1"/>
  <c r="AT139" i="11"/>
  <c r="M139" i="11" s="1"/>
  <c r="AT138" i="11"/>
  <c r="M138" i="11" s="1"/>
  <c r="AT136" i="11"/>
  <c r="M136" i="11" s="1"/>
  <c r="AT134" i="11"/>
  <c r="M134" i="11" s="1"/>
  <c r="AT131" i="11"/>
  <c r="M131" i="11" s="1"/>
  <c r="AT129" i="11"/>
  <c r="M129" i="11" s="1"/>
  <c r="AT126" i="11"/>
  <c r="M126" i="11" s="1"/>
  <c r="AT125" i="11"/>
  <c r="M125" i="11" s="1"/>
  <c r="AT112" i="11"/>
  <c r="M112" i="11" s="1"/>
  <c r="AT76" i="11"/>
  <c r="M76" i="11" s="1"/>
  <c r="AT73" i="11"/>
  <c r="M73" i="11" s="1"/>
  <c r="AT72" i="11"/>
  <c r="M72" i="11" s="1"/>
  <c r="AT71" i="11"/>
  <c r="M71" i="11" s="1"/>
  <c r="AT70" i="11"/>
  <c r="M70" i="11" s="1"/>
  <c r="AT68" i="11"/>
  <c r="M68" i="11" s="1"/>
  <c r="AT67" i="11"/>
  <c r="M67" i="11" s="1"/>
  <c r="AT63" i="11"/>
  <c r="M63" i="11" s="1"/>
  <c r="AT62" i="11"/>
  <c r="M62" i="11" s="1"/>
  <c r="AT55" i="11"/>
  <c r="M55" i="11" s="1"/>
  <c r="AT49" i="11"/>
  <c r="M49" i="11" s="1"/>
  <c r="AT48" i="11"/>
  <c r="M48" i="11" s="1"/>
  <c r="AT41" i="11"/>
  <c r="M41" i="11" s="1"/>
  <c r="AT40" i="11"/>
  <c r="M40" i="11" s="1"/>
  <c r="AT39" i="11"/>
  <c r="M39" i="11" s="1"/>
  <c r="AT31" i="11"/>
  <c r="M31" i="11" s="1"/>
  <c r="AS31" i="11"/>
  <c r="L31" i="11" s="1"/>
  <c r="BG10" i="11"/>
  <c r="AP83" i="11"/>
  <c r="AP82" i="11" s="1"/>
  <c r="AP500" i="11"/>
  <c r="AP499" i="11"/>
  <c r="AP498" i="11"/>
  <c r="AP495" i="11"/>
  <c r="AP494" i="11" s="1"/>
  <c r="AP493" i="11"/>
  <c r="AP492" i="11" s="1"/>
  <c r="AP111" i="11"/>
  <c r="AP110" i="11"/>
  <c r="AP92" i="11"/>
  <c r="AP91" i="11"/>
  <c r="AP80" i="11"/>
  <c r="AP79" i="11"/>
  <c r="AP78" i="11" s="1"/>
  <c r="AP28" i="11"/>
  <c r="AP27" i="11" s="1"/>
  <c r="AP26" i="11"/>
  <c r="AP25" i="11" s="1"/>
  <c r="AP24" i="11"/>
  <c r="AP23" i="11" s="1"/>
  <c r="T28" i="11"/>
  <c r="T27" i="11" s="1"/>
  <c r="T26" i="11"/>
  <c r="T25" i="11" s="1"/>
  <c r="N500" i="11"/>
  <c r="N499" i="11"/>
  <c r="N498" i="11"/>
  <c r="N404" i="11"/>
  <c r="N393" i="11"/>
  <c r="N392" i="11"/>
  <c r="N128" i="11"/>
  <c r="N127" i="11"/>
  <c r="N124" i="11"/>
  <c r="N121" i="11"/>
  <c r="N120" i="11"/>
  <c r="N119" i="11"/>
  <c r="N118" i="11"/>
  <c r="N117" i="11"/>
  <c r="N116" i="11"/>
  <c r="N115" i="11"/>
  <c r="N111" i="11"/>
  <c r="N110" i="11"/>
  <c r="N109" i="11"/>
  <c r="N92" i="11"/>
  <c r="N91" i="11"/>
  <c r="N89" i="11"/>
  <c r="N88" i="11" s="1"/>
  <c r="N87" i="11"/>
  <c r="N86" i="11" s="1"/>
  <c r="N83" i="11"/>
  <c r="N82" i="11" s="1"/>
  <c r="N81" i="11"/>
  <c r="N80" i="11" s="1"/>
  <c r="N79" i="11"/>
  <c r="N78" i="11" s="1"/>
  <c r="M500" i="11"/>
  <c r="M499" i="11"/>
  <c r="M498" i="11"/>
  <c r="M495" i="11"/>
  <c r="M494" i="11" s="1"/>
  <c r="M493" i="11"/>
  <c r="M492" i="11" s="1"/>
  <c r="M404" i="11"/>
  <c r="M393" i="11"/>
  <c r="M392" i="11"/>
  <c r="M153" i="11"/>
  <c r="M137" i="11"/>
  <c r="M132" i="11"/>
  <c r="M128" i="11"/>
  <c r="M127" i="11"/>
  <c r="M124" i="11"/>
  <c r="M122" i="11"/>
  <c r="M121" i="11"/>
  <c r="M120" i="11"/>
  <c r="M119" i="11"/>
  <c r="M118" i="11"/>
  <c r="M117" i="11"/>
  <c r="M116" i="11"/>
  <c r="M115" i="11"/>
  <c r="M111" i="11"/>
  <c r="M110" i="11"/>
  <c r="M109" i="11"/>
  <c r="M96" i="11"/>
  <c r="M89" i="11"/>
  <c r="M88" i="11" s="1"/>
  <c r="M87" i="11"/>
  <c r="M86" i="11" s="1"/>
  <c r="M78" i="11"/>
  <c r="AN220" i="11"/>
  <c r="AB220" i="11"/>
  <c r="Z220" i="11"/>
  <c r="Y220" i="11"/>
  <c r="X220" i="11"/>
  <c r="W220" i="11"/>
  <c r="U220" i="11"/>
  <c r="T220" i="11"/>
  <c r="AN219" i="11"/>
  <c r="AB219" i="11"/>
  <c r="Z219" i="11"/>
  <c r="Y219" i="11"/>
  <c r="X219" i="11"/>
  <c r="W219" i="11"/>
  <c r="U219" i="11"/>
  <c r="T219" i="11"/>
  <c r="N28" i="11"/>
  <c r="N27" i="11" s="1"/>
  <c r="N26" i="11"/>
  <c r="N25" i="11" s="1"/>
  <c r="N23" i="11"/>
  <c r="N22" i="11"/>
  <c r="N21" i="11" s="1"/>
  <c r="N16" i="11"/>
  <c r="D40" i="17"/>
  <c r="D40" i="22" s="1"/>
  <c r="D39" i="17"/>
  <c r="D39" i="22" s="1"/>
  <c r="AU88" i="11"/>
  <c r="D28" i="17" s="1"/>
  <c r="D28" i="22" s="1"/>
  <c r="AU86" i="11"/>
  <c r="AU82" i="11"/>
  <c r="D25" i="17" s="1"/>
  <c r="D25" i="22" s="1"/>
  <c r="AU80" i="11"/>
  <c r="D24" i="17" s="1"/>
  <c r="D24" i="22" s="1"/>
  <c r="AU78" i="11"/>
  <c r="D26" i="17" s="1"/>
  <c r="D26" i="22" s="1"/>
  <c r="AU27" i="11"/>
  <c r="AU25" i="11"/>
  <c r="AU23" i="11"/>
  <c r="D12" i="17" s="1"/>
  <c r="D12" i="22" s="1"/>
  <c r="AU21" i="11"/>
  <c r="AU10" i="11"/>
  <c r="D11" i="17" s="1"/>
  <c r="D11" i="22" s="1"/>
  <c r="Z500" i="11"/>
  <c r="Z499" i="11"/>
  <c r="Z498" i="11"/>
  <c r="Z496" i="11"/>
  <c r="Z495" i="11"/>
  <c r="Z493" i="11"/>
  <c r="Z492" i="11" s="1"/>
  <c r="Z490" i="11"/>
  <c r="Z487" i="11"/>
  <c r="Z486" i="11"/>
  <c r="Z482" i="11"/>
  <c r="Z481" i="11"/>
  <c r="Z480" i="11"/>
  <c r="Z479" i="11"/>
  <c r="Z478" i="11"/>
  <c r="Z477" i="11"/>
  <c r="Z476" i="11"/>
  <c r="Z473" i="11"/>
  <c r="Z472" i="11"/>
  <c r="Z471" i="11"/>
  <c r="Z470" i="11"/>
  <c r="Z467" i="11"/>
  <c r="Z466" i="11"/>
  <c r="Z465" i="11"/>
  <c r="Z464" i="11"/>
  <c r="Z463" i="11"/>
  <c r="Z462" i="11"/>
  <c r="Z460" i="11"/>
  <c r="Z459" i="11"/>
  <c r="Z458" i="11"/>
  <c r="Z448" i="11"/>
  <c r="Z447" i="11"/>
  <c r="Z446" i="11"/>
  <c r="Z445" i="11"/>
  <c r="Z444" i="11"/>
  <c r="Z443" i="11"/>
  <c r="Z442" i="11"/>
  <c r="Z441" i="11"/>
  <c r="Z440" i="11"/>
  <c r="Z439" i="11"/>
  <c r="Z438" i="11"/>
  <c r="Z434" i="11"/>
  <c r="Z433" i="11"/>
  <c r="Z432" i="11"/>
  <c r="Z430" i="11"/>
  <c r="Z429" i="11"/>
  <c r="Z428" i="11"/>
  <c r="Z427" i="11"/>
  <c r="Z426" i="11"/>
  <c r="Z425" i="11"/>
  <c r="Z424" i="11"/>
  <c r="Z423" i="11"/>
  <c r="Z422" i="11"/>
  <c r="Z421" i="11"/>
  <c r="Z420" i="11"/>
  <c r="Z419" i="11"/>
  <c r="Z418" i="11"/>
  <c r="Z417" i="11"/>
  <c r="Z416" i="11"/>
  <c r="Z415" i="11"/>
  <c r="Z414" i="11"/>
  <c r="Z413" i="11"/>
  <c r="Z412" i="11"/>
  <c r="Z411" i="11"/>
  <c r="Z410" i="11"/>
  <c r="Z409" i="11"/>
  <c r="Z408" i="11"/>
  <c r="Z407" i="11"/>
  <c r="Z406" i="11"/>
  <c r="Z405" i="11"/>
  <c r="Z404" i="11"/>
  <c r="Z403" i="11"/>
  <c r="Z401" i="11"/>
  <c r="Z399" i="11"/>
  <c r="Z397" i="11"/>
  <c r="Z396" i="11"/>
  <c r="Z395" i="11"/>
  <c r="Z394" i="11"/>
  <c r="Z393" i="11"/>
  <c r="Z392" i="11"/>
  <c r="Z391" i="11"/>
  <c r="Z388" i="11"/>
  <c r="Z387" i="11"/>
  <c r="Z381" i="11"/>
  <c r="Z380" i="11"/>
  <c r="Z376" i="11"/>
  <c r="Z375" i="11"/>
  <c r="Z371" i="11"/>
  <c r="Z370" i="11"/>
  <c r="Z368" i="11"/>
  <c r="Z367" i="11"/>
  <c r="Z365" i="11"/>
  <c r="Z364" i="11"/>
  <c r="Z363" i="11"/>
  <c r="Z355" i="11"/>
  <c r="Z353" i="11"/>
  <c r="Z352" i="11"/>
  <c r="Z350" i="11"/>
  <c r="Z347" i="11"/>
  <c r="Z330" i="11"/>
  <c r="Z329" i="11"/>
  <c r="Z326" i="11"/>
  <c r="Z325" i="11"/>
  <c r="Z323" i="11"/>
  <c r="Z322" i="11"/>
  <c r="Z320" i="11"/>
  <c r="Z319" i="11"/>
  <c r="Z318" i="11"/>
  <c r="Z305" i="11"/>
  <c r="Z304" i="11"/>
  <c r="Z303" i="11"/>
  <c r="Z299" i="11"/>
  <c r="Z298" i="11"/>
  <c r="Z295" i="11"/>
  <c r="Z294" i="11"/>
  <c r="Z293" i="11"/>
  <c r="Z292" i="11"/>
  <c r="Z291" i="11"/>
  <c r="Z286" i="11"/>
  <c r="Z284" i="11"/>
  <c r="Z283" i="11"/>
  <c r="Z282" i="11"/>
  <c r="Z280" i="11"/>
  <c r="Z278" i="11"/>
  <c r="Z277" i="11"/>
  <c r="Z276" i="11"/>
  <c r="Z275" i="11"/>
  <c r="Z274" i="11"/>
  <c r="Z273" i="11"/>
  <c r="Z272" i="11"/>
  <c r="Z271" i="11"/>
  <c r="Z269" i="11"/>
  <c r="Z267" i="11"/>
  <c r="Z266" i="11"/>
  <c r="Z265" i="11"/>
  <c r="Z264" i="11"/>
  <c r="Z218" i="11"/>
  <c r="Z217" i="11"/>
  <c r="Z216" i="11"/>
  <c r="Z215" i="11"/>
  <c r="Z214" i="11"/>
  <c r="Z213" i="11"/>
  <c r="Z212" i="11"/>
  <c r="Z211" i="11"/>
  <c r="Z210" i="11"/>
  <c r="Z209" i="11"/>
  <c r="Z208" i="11"/>
  <c r="Z205" i="11"/>
  <c r="Z204" i="11"/>
  <c r="Z203" i="11"/>
  <c r="Z197" i="11"/>
  <c r="Z196" i="11"/>
  <c r="Z194" i="11"/>
  <c r="Z193" i="11"/>
  <c r="Z192" i="11"/>
  <c r="Z191" i="11"/>
  <c r="Z190" i="11"/>
  <c r="Z189" i="11"/>
  <c r="Z188" i="11"/>
  <c r="Z187" i="11"/>
  <c r="Z185" i="11"/>
  <c r="Z184" i="11"/>
  <c r="Z183" i="11"/>
  <c r="Z180" i="11"/>
  <c r="Z179" i="11"/>
  <c r="Z176" i="11"/>
  <c r="Z173" i="11"/>
  <c r="Z172" i="11"/>
  <c r="Z169" i="11"/>
  <c r="Z168" i="11"/>
  <c r="Z167" i="11"/>
  <c r="Z166" i="11"/>
  <c r="Z163" i="11"/>
  <c r="Z157" i="11"/>
  <c r="Z156" i="11"/>
  <c r="Z154" i="11"/>
  <c r="Z151" i="11"/>
  <c r="Z149" i="11"/>
  <c r="Z148" i="11"/>
  <c r="Z146" i="11"/>
  <c r="Z145" i="11"/>
  <c r="Z141" i="11"/>
  <c r="Z140" i="11"/>
  <c r="Z139" i="11"/>
  <c r="Z138" i="11"/>
  <c r="Z133" i="11"/>
  <c r="Z131" i="11"/>
  <c r="Z130" i="11"/>
  <c r="Z129" i="11"/>
  <c r="Z126" i="11"/>
  <c r="Z125" i="11"/>
  <c r="Z124" i="11"/>
  <c r="Z121" i="11"/>
  <c r="Z120" i="11"/>
  <c r="Z119" i="11"/>
  <c r="Z111" i="11"/>
  <c r="Z89" i="11"/>
  <c r="Z88" i="11" s="1"/>
  <c r="Z87" i="11"/>
  <c r="Z86" i="11" s="1"/>
  <c r="Z76" i="11"/>
  <c r="Z72" i="11"/>
  <c r="Z70" i="11"/>
  <c r="Z55" i="11"/>
  <c r="Z48" i="11"/>
  <c r="Z43" i="11"/>
  <c r="Z27" i="11"/>
  <c r="Z25" i="11"/>
  <c r="BG497" i="11"/>
  <c r="BG494" i="11"/>
  <c r="E40" i="17" s="1"/>
  <c r="E40" i="22" s="1"/>
  <c r="BG492" i="11"/>
  <c r="E39" i="17" s="1"/>
  <c r="E39" i="22" s="1"/>
  <c r="BG475" i="11"/>
  <c r="AU475" i="11" s="1"/>
  <c r="N475" i="11" s="1"/>
  <c r="BG474" i="11"/>
  <c r="AU474" i="11" s="1"/>
  <c r="N474" i="11" s="1"/>
  <c r="BG468" i="11"/>
  <c r="Z468" i="11" s="1"/>
  <c r="BG461" i="11"/>
  <c r="AU461" i="11" s="1"/>
  <c r="N461" i="11" s="1"/>
  <c r="BG437" i="11"/>
  <c r="AU437" i="11" s="1"/>
  <c r="N437" i="11" s="1"/>
  <c r="BG436" i="11"/>
  <c r="AU436" i="11" s="1"/>
  <c r="N436" i="11" s="1"/>
  <c r="BG435" i="11"/>
  <c r="Z435" i="11" s="1"/>
  <c r="BG402" i="11"/>
  <c r="AU402" i="11" s="1"/>
  <c r="N402" i="11" s="1"/>
  <c r="BG400" i="11"/>
  <c r="AU400" i="11" s="1"/>
  <c r="N400" i="11" s="1"/>
  <c r="BG398" i="11"/>
  <c r="AU398" i="11" s="1"/>
  <c r="N398" i="11" s="1"/>
  <c r="BG389" i="11"/>
  <c r="BG386" i="11" s="1"/>
  <c r="E33" i="17" s="1"/>
  <c r="E33" i="22" s="1"/>
  <c r="BG379" i="11"/>
  <c r="AU379" i="11" s="1"/>
  <c r="N379" i="11" s="1"/>
  <c r="BG378" i="11"/>
  <c r="AU378" i="11" s="1"/>
  <c r="N378" i="11" s="1"/>
  <c r="BG377" i="11"/>
  <c r="AU377" i="11" s="1"/>
  <c r="N377" i="11" s="1"/>
  <c r="BG374" i="11"/>
  <c r="AU374" i="11" s="1"/>
  <c r="N374" i="11" s="1"/>
  <c r="BG373" i="11"/>
  <c r="AU373" i="11" s="1"/>
  <c r="N373" i="11" s="1"/>
  <c r="BG372" i="11"/>
  <c r="AU372" i="11" s="1"/>
  <c r="N372" i="11" s="1"/>
  <c r="BG369" i="11"/>
  <c r="AU369" i="11" s="1"/>
  <c r="N369" i="11" s="1"/>
  <c r="BG366" i="11"/>
  <c r="AU366" i="11" s="1"/>
  <c r="N366" i="11" s="1"/>
  <c r="BG362" i="11"/>
  <c r="AU362" i="11" s="1"/>
  <c r="N362" i="11" s="1"/>
  <c r="BG361" i="11"/>
  <c r="AU361" i="11" s="1"/>
  <c r="N361" i="11" s="1"/>
  <c r="BG360" i="11"/>
  <c r="AU360" i="11" s="1"/>
  <c r="N360" i="11" s="1"/>
  <c r="BG359" i="11"/>
  <c r="AU359" i="11" s="1"/>
  <c r="N359" i="11" s="1"/>
  <c r="BG358" i="11"/>
  <c r="AU358" i="11" s="1"/>
  <c r="N358" i="11" s="1"/>
  <c r="BG357" i="11"/>
  <c r="AU357" i="11" s="1"/>
  <c r="N357" i="11" s="1"/>
  <c r="BG356" i="11"/>
  <c r="AU356" i="11" s="1"/>
  <c r="N356" i="11" s="1"/>
  <c r="BG354" i="11"/>
  <c r="Z354" i="11" s="1"/>
  <c r="BG346" i="11"/>
  <c r="E34" i="17" s="1"/>
  <c r="E34" i="22" s="1"/>
  <c r="BG345" i="11"/>
  <c r="AU345" i="11" s="1"/>
  <c r="N345" i="11" s="1"/>
  <c r="BG339" i="11"/>
  <c r="AU339" i="11" s="1"/>
  <c r="N339" i="11" s="1"/>
  <c r="BG338" i="11"/>
  <c r="Z338" i="11" s="1"/>
  <c r="BG337" i="11"/>
  <c r="AU337" i="11" s="1"/>
  <c r="N337" i="11" s="1"/>
  <c r="BG336" i="11"/>
  <c r="AU336" i="11" s="1"/>
  <c r="N336" i="11" s="1"/>
  <c r="BG335" i="11"/>
  <c r="AU335" i="11" s="1"/>
  <c r="N335" i="11" s="1"/>
  <c r="BG334" i="11"/>
  <c r="AU334" i="11" s="1"/>
  <c r="N334" i="11" s="1"/>
  <c r="BG333" i="11"/>
  <c r="Z333" i="11" s="1"/>
  <c r="BG332" i="11"/>
  <c r="AU332" i="11" s="1"/>
  <c r="N332" i="11" s="1"/>
  <c r="BG331" i="11"/>
  <c r="AU331" i="11" s="1"/>
  <c r="N331" i="11" s="1"/>
  <c r="BG328" i="11"/>
  <c r="AU328" i="11" s="1"/>
  <c r="N328" i="11" s="1"/>
  <c r="BG327" i="11"/>
  <c r="AU327" i="11" s="1"/>
  <c r="N327" i="11" s="1"/>
  <c r="BG324" i="11"/>
  <c r="AU324" i="11" s="1"/>
  <c r="N324" i="11" s="1"/>
  <c r="BG321" i="11"/>
  <c r="AU321" i="11" s="1"/>
  <c r="N321" i="11" s="1"/>
  <c r="BG317" i="11"/>
  <c r="Z317" i="11" s="1"/>
  <c r="AU315" i="11"/>
  <c r="N315" i="11" s="1"/>
  <c r="BG311" i="11"/>
  <c r="AU311" i="11" s="1"/>
  <c r="N311" i="11" s="1"/>
  <c r="BG310" i="11"/>
  <c r="AU310" i="11" s="1"/>
  <c r="N310" i="11" s="1"/>
  <c r="BG309" i="11"/>
  <c r="Z309" i="11" s="1"/>
  <c r="BG308" i="11"/>
  <c r="AU308" i="11" s="1"/>
  <c r="BG307" i="11"/>
  <c r="AU307" i="11" s="1"/>
  <c r="N307" i="11" s="1"/>
  <c r="BG306" i="11"/>
  <c r="AU306" i="11" s="1"/>
  <c r="N306" i="11" s="1"/>
  <c r="BG302" i="11"/>
  <c r="AU302" i="11" s="1"/>
  <c r="N302" i="11" s="1"/>
  <c r="BG301" i="11"/>
  <c r="AU301" i="11" s="1"/>
  <c r="N301" i="11" s="1"/>
  <c r="BG300" i="11"/>
  <c r="AU300" i="11" s="1"/>
  <c r="N300" i="11" s="1"/>
  <c r="BG297" i="11"/>
  <c r="AU297" i="11" s="1"/>
  <c r="N297" i="11" s="1"/>
  <c r="BG296" i="11"/>
  <c r="AU296" i="11" s="1"/>
  <c r="N296" i="11" s="1"/>
  <c r="BG290" i="11"/>
  <c r="AU290" i="11" s="1"/>
  <c r="N290" i="11" s="1"/>
  <c r="BG289" i="11"/>
  <c r="AU289" i="11" s="1"/>
  <c r="N289" i="11" s="1"/>
  <c r="BG288" i="11"/>
  <c r="Z288" i="11" s="1"/>
  <c r="BG287" i="11"/>
  <c r="AU287" i="11" s="1"/>
  <c r="N287" i="11" s="1"/>
  <c r="BG285" i="11"/>
  <c r="Z285" i="11" s="1"/>
  <c r="BG268" i="11"/>
  <c r="AU268" i="11" s="1"/>
  <c r="N268" i="11" s="1"/>
  <c r="BG202" i="11"/>
  <c r="AU202" i="11" s="1"/>
  <c r="N202" i="11" s="1"/>
  <c r="BG201" i="11"/>
  <c r="Z201" i="11" s="1"/>
  <c r="BG200" i="11"/>
  <c r="AU200" i="11" s="1"/>
  <c r="N200" i="11" s="1"/>
  <c r="N199" i="11"/>
  <c r="BG198" i="11"/>
  <c r="AU198" i="11" s="1"/>
  <c r="N198" i="11" s="1"/>
  <c r="BG195" i="11"/>
  <c r="AU195" i="11" s="1"/>
  <c r="N195" i="11" s="1"/>
  <c r="BG186" i="11"/>
  <c r="AU186" i="11" s="1"/>
  <c r="N186" i="11" s="1"/>
  <c r="BG182" i="11"/>
  <c r="AU182" i="11" s="1"/>
  <c r="N182" i="11" s="1"/>
  <c r="BG178" i="11"/>
  <c r="AU178" i="11" s="1"/>
  <c r="N178" i="11" s="1"/>
  <c r="BG177" i="11"/>
  <c r="AU177" i="11" s="1"/>
  <c r="N177" i="11" s="1"/>
  <c r="BG175" i="11"/>
  <c r="AU175" i="11" s="1"/>
  <c r="N175" i="11" s="1"/>
  <c r="BG174" i="11"/>
  <c r="AU174" i="11" s="1"/>
  <c r="N174" i="11" s="1"/>
  <c r="BG171" i="11"/>
  <c r="AU171" i="11" s="1"/>
  <c r="N171" i="11" s="1"/>
  <c r="BG170" i="11"/>
  <c r="AU170" i="11" s="1"/>
  <c r="N170" i="11" s="1"/>
  <c r="BG165" i="11"/>
  <c r="AU165" i="11" s="1"/>
  <c r="N165" i="11" s="1"/>
  <c r="BG164" i="11"/>
  <c r="AU164" i="11" s="1"/>
  <c r="N164" i="11" s="1"/>
  <c r="BG162" i="11"/>
  <c r="AU162" i="11" s="1"/>
  <c r="N162" i="11" s="1"/>
  <c r="BG161" i="11"/>
  <c r="AU161" i="11" s="1"/>
  <c r="N161" i="11" s="1"/>
  <c r="BG160" i="11"/>
  <c r="AU160" i="11" s="1"/>
  <c r="N160" i="11" s="1"/>
  <c r="BG159" i="11"/>
  <c r="Z159" i="11" s="1"/>
  <c r="N158" i="11"/>
  <c r="BG155" i="11"/>
  <c r="AU155" i="11" s="1"/>
  <c r="N155" i="11" s="1"/>
  <c r="N153" i="11"/>
  <c r="BG152" i="11"/>
  <c r="AU152" i="11" s="1"/>
  <c r="N152" i="11" s="1"/>
  <c r="BG150" i="11"/>
  <c r="AU150" i="11" s="1"/>
  <c r="N150" i="11" s="1"/>
  <c r="BG147" i="11"/>
  <c r="AU147" i="11" s="1"/>
  <c r="N147" i="11" s="1"/>
  <c r="BG144" i="11"/>
  <c r="AU144" i="11" s="1"/>
  <c r="N144" i="11" s="1"/>
  <c r="BG143" i="11"/>
  <c r="AU143" i="11" s="1"/>
  <c r="N143" i="11" s="1"/>
  <c r="BG142" i="11"/>
  <c r="AU142" i="11" s="1"/>
  <c r="N142" i="11" s="1"/>
  <c r="N137" i="11"/>
  <c r="BG136" i="11"/>
  <c r="AU136" i="11" s="1"/>
  <c r="N136" i="11" s="1"/>
  <c r="BG135" i="11"/>
  <c r="AU135" i="11" s="1"/>
  <c r="N135" i="11" s="1"/>
  <c r="BG134" i="11"/>
  <c r="AU134" i="11" s="1"/>
  <c r="N134" i="11" s="1"/>
  <c r="N132" i="11"/>
  <c r="BG128" i="11"/>
  <c r="Z128" i="11" s="1"/>
  <c r="BG127" i="11"/>
  <c r="Z127" i="11" s="1"/>
  <c r="BG113" i="11"/>
  <c r="BG109" i="11"/>
  <c r="Z109" i="11" s="1"/>
  <c r="BG97" i="11"/>
  <c r="AU96" i="11"/>
  <c r="BG92" i="11"/>
  <c r="Z92" i="11" s="1"/>
  <c r="BG91" i="11"/>
  <c r="Z91" i="11" s="1"/>
  <c r="BG88" i="11"/>
  <c r="E28" i="17" s="1"/>
  <c r="E28" i="22" s="1"/>
  <c r="BG86" i="11"/>
  <c r="BG84" i="11"/>
  <c r="E27" i="17" s="1"/>
  <c r="E27" i="22" s="1"/>
  <c r="BG73" i="11"/>
  <c r="BG69" i="11"/>
  <c r="BG62" i="11"/>
  <c r="BG60" i="11"/>
  <c r="AU60" i="11" s="1"/>
  <c r="N60" i="11" s="1"/>
  <c r="BG57" i="11"/>
  <c r="Z57" i="11" s="1"/>
  <c r="Z56" i="11" s="1"/>
  <c r="BG53" i="11"/>
  <c r="AU53" i="11" s="1"/>
  <c r="BG49" i="11"/>
  <c r="AU49" i="11" s="1"/>
  <c r="BG46" i="11"/>
  <c r="Z46" i="11" s="1"/>
  <c r="Z45" i="11" s="1"/>
  <c r="BG43" i="11"/>
  <c r="E20" i="17" s="1"/>
  <c r="E20" i="22" s="1"/>
  <c r="BG38" i="11"/>
  <c r="E16" i="17" s="1"/>
  <c r="E16" i="22" s="1"/>
  <c r="BG30" i="11"/>
  <c r="E15" i="17" s="1"/>
  <c r="E15" i="22" s="1"/>
  <c r="BG27" i="11"/>
  <c r="BG25" i="11"/>
  <c r="BG23" i="11"/>
  <c r="E12" i="17" s="1"/>
  <c r="E12" i="22" s="1"/>
  <c r="BG21" i="11"/>
  <c r="E13" i="17" s="1"/>
  <c r="E13" i="22" s="1"/>
  <c r="AW202" i="11"/>
  <c r="P202" i="11" s="1"/>
  <c r="AZ202" i="11"/>
  <c r="S202" i="11" s="1"/>
  <c r="AR202" i="11"/>
  <c r="K202" i="11" s="1"/>
  <c r="AW273" i="11"/>
  <c r="P273" i="11" s="1"/>
  <c r="BV346" i="11"/>
  <c r="I34" i="22" s="1"/>
  <c r="BV10" i="11"/>
  <c r="BV21" i="11"/>
  <c r="BV23" i="11"/>
  <c r="I12" i="22" s="1"/>
  <c r="BV25" i="11"/>
  <c r="BV27" i="11"/>
  <c r="BV30" i="11"/>
  <c r="I15" i="22" s="1"/>
  <c r="BV38" i="11"/>
  <c r="I16" i="22" s="1"/>
  <c r="BV43" i="11"/>
  <c r="I20" i="22" s="1"/>
  <c r="BV45" i="11"/>
  <c r="I21" i="22" s="1"/>
  <c r="BV78" i="11"/>
  <c r="I26" i="22" s="1"/>
  <c r="BV81" i="11"/>
  <c r="BV80" i="11" s="1"/>
  <c r="I24" i="22" s="1"/>
  <c r="BV82" i="11"/>
  <c r="I25" i="22" s="1"/>
  <c r="BV84" i="11"/>
  <c r="I27" i="22" s="1"/>
  <c r="BV86" i="11"/>
  <c r="BV88" i="11"/>
  <c r="BV91" i="11"/>
  <c r="BV92" i="11"/>
  <c r="BV492" i="11"/>
  <c r="BV494" i="11"/>
  <c r="I40" i="22" s="1"/>
  <c r="BV497" i="11"/>
  <c r="AR391" i="11"/>
  <c r="K391" i="11" s="1"/>
  <c r="AS391" i="11"/>
  <c r="L391" i="11" s="1"/>
  <c r="AZ391" i="11"/>
  <c r="S391" i="11" s="1"/>
  <c r="AW391" i="11"/>
  <c r="P391" i="11" s="1"/>
  <c r="AY391" i="11"/>
  <c r="AR392" i="11"/>
  <c r="K392" i="11" s="1"/>
  <c r="AR393" i="11"/>
  <c r="K393" i="11" s="1"/>
  <c r="AR394" i="11"/>
  <c r="K394" i="11" s="1"/>
  <c r="AS394" i="11"/>
  <c r="L394" i="11" s="1"/>
  <c r="AZ394" i="11"/>
  <c r="S394" i="11" s="1"/>
  <c r="AW394" i="11"/>
  <c r="P394" i="11" s="1"/>
  <c r="AY394" i="11"/>
  <c r="AR395" i="11"/>
  <c r="K395" i="11" s="1"/>
  <c r="AS395" i="11"/>
  <c r="L395" i="11" s="1"/>
  <c r="AZ395" i="11"/>
  <c r="S395" i="11" s="1"/>
  <c r="AW395" i="11"/>
  <c r="P395" i="11" s="1"/>
  <c r="AY395" i="11"/>
  <c r="AR396" i="11"/>
  <c r="K396" i="11" s="1"/>
  <c r="AS396" i="11"/>
  <c r="L396" i="11" s="1"/>
  <c r="AZ396" i="11"/>
  <c r="S396" i="11" s="1"/>
  <c r="AW396" i="11"/>
  <c r="P396" i="11" s="1"/>
  <c r="AY396" i="11"/>
  <c r="AR397" i="11"/>
  <c r="K397" i="11" s="1"/>
  <c r="AS397" i="11"/>
  <c r="L397" i="11" s="1"/>
  <c r="AZ397" i="11"/>
  <c r="S397" i="11" s="1"/>
  <c r="AW397" i="11"/>
  <c r="P397" i="11" s="1"/>
  <c r="AY397" i="11"/>
  <c r="AR398" i="11"/>
  <c r="K398" i="11" s="1"/>
  <c r="AS398" i="11"/>
  <c r="L398" i="11" s="1"/>
  <c r="AZ398" i="11"/>
  <c r="S398" i="11" s="1"/>
  <c r="AW398" i="11"/>
  <c r="P398" i="11" s="1"/>
  <c r="AY398" i="11"/>
  <c r="AR399" i="11"/>
  <c r="K399" i="11" s="1"/>
  <c r="AS399" i="11"/>
  <c r="L399" i="11" s="1"/>
  <c r="AZ399" i="11"/>
  <c r="S399" i="11" s="1"/>
  <c r="AW399" i="11"/>
  <c r="P399" i="11" s="1"/>
  <c r="AY399" i="11"/>
  <c r="AR400" i="11"/>
  <c r="K400" i="11" s="1"/>
  <c r="AS400" i="11"/>
  <c r="L400" i="11" s="1"/>
  <c r="AZ400" i="11"/>
  <c r="S400" i="11" s="1"/>
  <c r="AW400" i="11"/>
  <c r="P400" i="11" s="1"/>
  <c r="AY400" i="11"/>
  <c r="AR401" i="11"/>
  <c r="K401" i="11" s="1"/>
  <c r="AS401" i="11"/>
  <c r="L401" i="11" s="1"/>
  <c r="AZ401" i="11"/>
  <c r="S401" i="11" s="1"/>
  <c r="AW401" i="11"/>
  <c r="P401" i="11" s="1"/>
  <c r="AY401" i="11"/>
  <c r="AR402" i="11"/>
  <c r="K402" i="11" s="1"/>
  <c r="AS402" i="11"/>
  <c r="L402" i="11" s="1"/>
  <c r="AZ402" i="11"/>
  <c r="S402" i="11" s="1"/>
  <c r="AW402" i="11"/>
  <c r="P402" i="11" s="1"/>
  <c r="AY402" i="11"/>
  <c r="AR403" i="11"/>
  <c r="K403" i="11" s="1"/>
  <c r="AS403" i="11"/>
  <c r="L403" i="11" s="1"/>
  <c r="AZ403" i="11"/>
  <c r="S403" i="11" s="1"/>
  <c r="AW403" i="11"/>
  <c r="P403" i="11" s="1"/>
  <c r="AY403" i="11"/>
  <c r="AR404" i="11"/>
  <c r="AP404" i="11" s="1"/>
  <c r="AR405" i="11"/>
  <c r="K405" i="11" s="1"/>
  <c r="AS405" i="11"/>
  <c r="L405" i="11" s="1"/>
  <c r="AZ405" i="11"/>
  <c r="S405" i="11" s="1"/>
  <c r="AW405" i="11"/>
  <c r="P405" i="11" s="1"/>
  <c r="AY405" i="11"/>
  <c r="AR406" i="11"/>
  <c r="K406" i="11" s="1"/>
  <c r="AS406" i="11"/>
  <c r="L406" i="11" s="1"/>
  <c r="AZ406" i="11"/>
  <c r="S406" i="11" s="1"/>
  <c r="AW406" i="11"/>
  <c r="P406" i="11" s="1"/>
  <c r="AY406" i="11"/>
  <c r="AR407" i="11"/>
  <c r="K407" i="11" s="1"/>
  <c r="AZ407" i="11"/>
  <c r="S407" i="11" s="1"/>
  <c r="AW407" i="11"/>
  <c r="P407" i="11" s="1"/>
  <c r="AY407" i="11"/>
  <c r="AR408" i="11"/>
  <c r="K408" i="11" s="1"/>
  <c r="AZ408" i="11"/>
  <c r="S408" i="11" s="1"/>
  <c r="AW408" i="11"/>
  <c r="P408" i="11" s="1"/>
  <c r="AY408" i="11"/>
  <c r="AR409" i="11"/>
  <c r="K409" i="11" s="1"/>
  <c r="AZ409" i="11"/>
  <c r="S409" i="11" s="1"/>
  <c r="AW409" i="11"/>
  <c r="P409" i="11" s="1"/>
  <c r="AY409" i="11"/>
  <c r="AR410" i="11"/>
  <c r="K410" i="11" s="1"/>
  <c r="AZ410" i="11"/>
  <c r="S410" i="11" s="1"/>
  <c r="AW410" i="11"/>
  <c r="P410" i="11" s="1"/>
  <c r="AY410" i="11"/>
  <c r="AR411" i="11"/>
  <c r="K411" i="11" s="1"/>
  <c r="AS411" i="11"/>
  <c r="L411" i="11" s="1"/>
  <c r="AZ411" i="11"/>
  <c r="S411" i="11" s="1"/>
  <c r="AW411" i="11"/>
  <c r="P411" i="11" s="1"/>
  <c r="AY411" i="11"/>
  <c r="AR412" i="11"/>
  <c r="K412" i="11" s="1"/>
  <c r="AS412" i="11"/>
  <c r="L412" i="11" s="1"/>
  <c r="AZ412" i="11"/>
  <c r="S412" i="11" s="1"/>
  <c r="AW412" i="11"/>
  <c r="P412" i="11" s="1"/>
  <c r="AY412" i="11"/>
  <c r="AR413" i="11"/>
  <c r="K413" i="11" s="1"/>
  <c r="AZ413" i="11"/>
  <c r="S413" i="11" s="1"/>
  <c r="AW413" i="11"/>
  <c r="P413" i="11" s="1"/>
  <c r="AY413" i="11"/>
  <c r="AR414" i="11"/>
  <c r="K414" i="11" s="1"/>
  <c r="AS414" i="11"/>
  <c r="L414" i="11" s="1"/>
  <c r="AZ414" i="11"/>
  <c r="S414" i="11" s="1"/>
  <c r="AW414" i="11"/>
  <c r="P414" i="11" s="1"/>
  <c r="AY414" i="11"/>
  <c r="AR415" i="11"/>
  <c r="K415" i="11" s="1"/>
  <c r="AS415" i="11"/>
  <c r="L415" i="11" s="1"/>
  <c r="AZ415" i="11"/>
  <c r="S415" i="11" s="1"/>
  <c r="AW415" i="11"/>
  <c r="P415" i="11" s="1"/>
  <c r="AY415" i="11"/>
  <c r="AR416" i="11"/>
  <c r="K416" i="11" s="1"/>
  <c r="AS416" i="11"/>
  <c r="L416" i="11" s="1"/>
  <c r="AZ416" i="11"/>
  <c r="S416" i="11" s="1"/>
  <c r="AW416" i="11"/>
  <c r="P416" i="11" s="1"/>
  <c r="AY416" i="11"/>
  <c r="AR417" i="11"/>
  <c r="K417" i="11" s="1"/>
  <c r="AS417" i="11"/>
  <c r="L417" i="11" s="1"/>
  <c r="AZ417" i="11"/>
  <c r="S417" i="11" s="1"/>
  <c r="AW417" i="11"/>
  <c r="P417" i="11" s="1"/>
  <c r="AY417" i="11"/>
  <c r="AR418" i="11"/>
  <c r="K418" i="11" s="1"/>
  <c r="AS418" i="11"/>
  <c r="L418" i="11" s="1"/>
  <c r="AZ418" i="11"/>
  <c r="S418" i="11" s="1"/>
  <c r="AW418" i="11"/>
  <c r="P418" i="11" s="1"/>
  <c r="AY418" i="11"/>
  <c r="AS419" i="11"/>
  <c r="L419" i="11" s="1"/>
  <c r="AZ419" i="11"/>
  <c r="S419" i="11" s="1"/>
  <c r="AW419" i="11"/>
  <c r="P419" i="11" s="1"/>
  <c r="AY419" i="11"/>
  <c r="AR420" i="11"/>
  <c r="K420" i="11" s="1"/>
  <c r="AS420" i="11"/>
  <c r="L420" i="11" s="1"/>
  <c r="AZ420" i="11"/>
  <c r="S420" i="11" s="1"/>
  <c r="AW420" i="11"/>
  <c r="P420" i="11" s="1"/>
  <c r="AY420" i="11"/>
  <c r="AR421" i="11"/>
  <c r="K421" i="11" s="1"/>
  <c r="AS421" i="11"/>
  <c r="L421" i="11" s="1"/>
  <c r="AZ421" i="11"/>
  <c r="S421" i="11" s="1"/>
  <c r="AW421" i="11"/>
  <c r="P421" i="11" s="1"/>
  <c r="AY421" i="11"/>
  <c r="AR422" i="11"/>
  <c r="K422" i="11" s="1"/>
  <c r="AS422" i="11"/>
  <c r="L422" i="11" s="1"/>
  <c r="AZ422" i="11"/>
  <c r="S422" i="11" s="1"/>
  <c r="AW422" i="11"/>
  <c r="P422" i="11" s="1"/>
  <c r="AY422" i="11"/>
  <c r="AR423" i="11"/>
  <c r="K423" i="11" s="1"/>
  <c r="AS423" i="11"/>
  <c r="L423" i="11" s="1"/>
  <c r="AZ423" i="11"/>
  <c r="S423" i="11" s="1"/>
  <c r="AW423" i="11"/>
  <c r="P423" i="11" s="1"/>
  <c r="AY423" i="11"/>
  <c r="AR424" i="11"/>
  <c r="K424" i="11" s="1"/>
  <c r="AS424" i="11"/>
  <c r="L424" i="11" s="1"/>
  <c r="AZ424" i="11"/>
  <c r="S424" i="11" s="1"/>
  <c r="AW424" i="11"/>
  <c r="P424" i="11" s="1"/>
  <c r="AY424" i="11"/>
  <c r="AR425" i="11"/>
  <c r="K425" i="11" s="1"/>
  <c r="AS425" i="11"/>
  <c r="L425" i="11" s="1"/>
  <c r="AZ425" i="11"/>
  <c r="S425" i="11" s="1"/>
  <c r="AW425" i="11"/>
  <c r="P425" i="11" s="1"/>
  <c r="AY425" i="11"/>
  <c r="AR426" i="11"/>
  <c r="K426" i="11" s="1"/>
  <c r="AS426" i="11"/>
  <c r="L426" i="11" s="1"/>
  <c r="AZ426" i="11"/>
  <c r="S426" i="11" s="1"/>
  <c r="AW426" i="11"/>
  <c r="P426" i="11" s="1"/>
  <c r="AY426" i="11"/>
  <c r="AR427" i="11"/>
  <c r="K427" i="11" s="1"/>
  <c r="AS427" i="11"/>
  <c r="L427" i="11" s="1"/>
  <c r="AZ427" i="11"/>
  <c r="S427" i="11" s="1"/>
  <c r="AW427" i="11"/>
  <c r="P427" i="11" s="1"/>
  <c r="AY427" i="11"/>
  <c r="AR428" i="11"/>
  <c r="K428" i="11" s="1"/>
  <c r="AS428" i="11"/>
  <c r="L428" i="11" s="1"/>
  <c r="AZ428" i="11"/>
  <c r="S428" i="11" s="1"/>
  <c r="AW428" i="11"/>
  <c r="P428" i="11" s="1"/>
  <c r="AY428" i="11"/>
  <c r="AR429" i="11"/>
  <c r="K429" i="11" s="1"/>
  <c r="AS429" i="11"/>
  <c r="L429" i="11" s="1"/>
  <c r="AZ429" i="11"/>
  <c r="S429" i="11" s="1"/>
  <c r="AW429" i="11"/>
  <c r="P429" i="11" s="1"/>
  <c r="AY429" i="11"/>
  <c r="AR430" i="11"/>
  <c r="K430" i="11" s="1"/>
  <c r="AZ430" i="11"/>
  <c r="S430" i="11" s="1"/>
  <c r="AW430" i="11"/>
  <c r="P430" i="11" s="1"/>
  <c r="AY430" i="11"/>
  <c r="AR432" i="11"/>
  <c r="K432" i="11" s="1"/>
  <c r="AS432" i="11"/>
  <c r="L432" i="11" s="1"/>
  <c r="AZ432" i="11"/>
  <c r="S432" i="11" s="1"/>
  <c r="AW432" i="11"/>
  <c r="P432" i="11" s="1"/>
  <c r="AY432" i="11"/>
  <c r="AR433" i="11"/>
  <c r="K433" i="11" s="1"/>
  <c r="AS433" i="11"/>
  <c r="L433" i="11" s="1"/>
  <c r="AZ433" i="11"/>
  <c r="S433" i="11" s="1"/>
  <c r="AW433" i="11"/>
  <c r="P433" i="11" s="1"/>
  <c r="AY433" i="11"/>
  <c r="AR434" i="11"/>
  <c r="K434" i="11" s="1"/>
  <c r="AZ434" i="11"/>
  <c r="S434" i="11" s="1"/>
  <c r="AW434" i="11"/>
  <c r="P434" i="11" s="1"/>
  <c r="AY434" i="11"/>
  <c r="AR435" i="11"/>
  <c r="K435" i="11" s="1"/>
  <c r="AZ435" i="11"/>
  <c r="S435" i="11" s="1"/>
  <c r="AW435" i="11"/>
  <c r="P435" i="11" s="1"/>
  <c r="AY435" i="11"/>
  <c r="AR436" i="11"/>
  <c r="K436" i="11" s="1"/>
  <c r="AS436" i="11"/>
  <c r="L436" i="11" s="1"/>
  <c r="AZ436" i="11"/>
  <c r="S436" i="11" s="1"/>
  <c r="AW436" i="11"/>
  <c r="P436" i="11" s="1"/>
  <c r="AY436" i="11"/>
  <c r="AR437" i="11"/>
  <c r="K437" i="11" s="1"/>
  <c r="AZ437" i="11"/>
  <c r="S437" i="11" s="1"/>
  <c r="AW437" i="11"/>
  <c r="P437" i="11" s="1"/>
  <c r="AY437" i="11"/>
  <c r="AR438" i="11"/>
  <c r="K438" i="11" s="1"/>
  <c r="AS438" i="11"/>
  <c r="L438" i="11" s="1"/>
  <c r="AZ438" i="11"/>
  <c r="S438" i="11" s="1"/>
  <c r="AW438" i="11"/>
  <c r="P438" i="11" s="1"/>
  <c r="AY438" i="11"/>
  <c r="AR439" i="11"/>
  <c r="K439" i="11" s="1"/>
  <c r="AS439" i="11"/>
  <c r="L439" i="11" s="1"/>
  <c r="AZ439" i="11"/>
  <c r="S439" i="11" s="1"/>
  <c r="AW439" i="11"/>
  <c r="P439" i="11" s="1"/>
  <c r="AY439" i="11"/>
  <c r="AR440" i="11"/>
  <c r="K440" i="11" s="1"/>
  <c r="AS440" i="11"/>
  <c r="L440" i="11" s="1"/>
  <c r="AZ440" i="11"/>
  <c r="S440" i="11" s="1"/>
  <c r="AW440" i="11"/>
  <c r="P440" i="11" s="1"/>
  <c r="AY440" i="11"/>
  <c r="AR441" i="11"/>
  <c r="K441" i="11" s="1"/>
  <c r="AS441" i="11"/>
  <c r="L441" i="11" s="1"/>
  <c r="AZ441" i="11"/>
  <c r="S441" i="11" s="1"/>
  <c r="AW441" i="11"/>
  <c r="P441" i="11" s="1"/>
  <c r="AY441" i="11"/>
  <c r="AR442" i="11"/>
  <c r="K442" i="11" s="1"/>
  <c r="AS442" i="11"/>
  <c r="L442" i="11" s="1"/>
  <c r="AZ442" i="11"/>
  <c r="S442" i="11" s="1"/>
  <c r="AW442" i="11"/>
  <c r="P442" i="11" s="1"/>
  <c r="AY442" i="11"/>
  <c r="AR443" i="11"/>
  <c r="K443" i="11" s="1"/>
  <c r="AZ443" i="11"/>
  <c r="S443" i="11" s="1"/>
  <c r="AW443" i="11"/>
  <c r="P443" i="11" s="1"/>
  <c r="AY443" i="11"/>
  <c r="AR444" i="11"/>
  <c r="K444" i="11" s="1"/>
  <c r="AZ444" i="11"/>
  <c r="S444" i="11" s="1"/>
  <c r="AW444" i="11"/>
  <c r="P444" i="11" s="1"/>
  <c r="AY444" i="11"/>
  <c r="AR445" i="11"/>
  <c r="K445" i="11" s="1"/>
  <c r="AZ445" i="11"/>
  <c r="S445" i="11" s="1"/>
  <c r="AW445" i="11"/>
  <c r="P445" i="11" s="1"/>
  <c r="AY445" i="11"/>
  <c r="AR446" i="11"/>
  <c r="K446" i="11" s="1"/>
  <c r="AZ446" i="11"/>
  <c r="S446" i="11" s="1"/>
  <c r="AW446" i="11"/>
  <c r="P446" i="11" s="1"/>
  <c r="AY446" i="11"/>
  <c r="AR447" i="11"/>
  <c r="K447" i="11" s="1"/>
  <c r="AZ447" i="11"/>
  <c r="S447" i="11" s="1"/>
  <c r="AW447" i="11"/>
  <c r="P447" i="11" s="1"/>
  <c r="AY447" i="11"/>
  <c r="AR448" i="11"/>
  <c r="K448" i="11" s="1"/>
  <c r="AZ448" i="11"/>
  <c r="S448" i="11" s="1"/>
  <c r="AW448" i="11"/>
  <c r="P448" i="11" s="1"/>
  <c r="AY448" i="11"/>
  <c r="AR458" i="11"/>
  <c r="K458" i="11" s="1"/>
  <c r="AZ458" i="11"/>
  <c r="S458" i="11" s="1"/>
  <c r="AY458" i="11"/>
  <c r="AR459" i="11"/>
  <c r="K459" i="11" s="1"/>
  <c r="AS459" i="11"/>
  <c r="L459" i="11" s="1"/>
  <c r="AZ459" i="11"/>
  <c r="S459" i="11" s="1"/>
  <c r="AW459" i="11"/>
  <c r="P459" i="11" s="1"/>
  <c r="AY459" i="11"/>
  <c r="AR460" i="11"/>
  <c r="K460" i="11" s="1"/>
  <c r="AS460" i="11"/>
  <c r="L460" i="11" s="1"/>
  <c r="AZ460" i="11"/>
  <c r="S460" i="11" s="1"/>
  <c r="AW460" i="11"/>
  <c r="P460" i="11" s="1"/>
  <c r="AY460" i="11"/>
  <c r="AR461" i="11"/>
  <c r="K461" i="11" s="1"/>
  <c r="AZ461" i="11"/>
  <c r="S461" i="11" s="1"/>
  <c r="AW461" i="11"/>
  <c r="P461" i="11" s="1"/>
  <c r="AY461" i="11"/>
  <c r="AR462" i="11"/>
  <c r="K462" i="11" s="1"/>
  <c r="AS462" i="11"/>
  <c r="L462" i="11" s="1"/>
  <c r="AZ462" i="11"/>
  <c r="S462" i="11" s="1"/>
  <c r="AW462" i="11"/>
  <c r="P462" i="11" s="1"/>
  <c r="AY462" i="11"/>
  <c r="AR463" i="11"/>
  <c r="K463" i="11" s="1"/>
  <c r="AS463" i="11"/>
  <c r="L463" i="11" s="1"/>
  <c r="AZ463" i="11"/>
  <c r="S463" i="11" s="1"/>
  <c r="AW463" i="11"/>
  <c r="P463" i="11" s="1"/>
  <c r="AY463" i="11"/>
  <c r="AR464" i="11"/>
  <c r="K464" i="11" s="1"/>
  <c r="AS464" i="11"/>
  <c r="L464" i="11" s="1"/>
  <c r="AZ464" i="11"/>
  <c r="S464" i="11" s="1"/>
  <c r="AW464" i="11"/>
  <c r="P464" i="11" s="1"/>
  <c r="AY464" i="11"/>
  <c r="AR465" i="11"/>
  <c r="K465" i="11" s="1"/>
  <c r="AS465" i="11"/>
  <c r="L465" i="11" s="1"/>
  <c r="AZ465" i="11"/>
  <c r="S465" i="11" s="1"/>
  <c r="AW465" i="11"/>
  <c r="P465" i="11" s="1"/>
  <c r="AY465" i="11"/>
  <c r="AR466" i="11"/>
  <c r="K466" i="11" s="1"/>
  <c r="AS466" i="11"/>
  <c r="L466" i="11" s="1"/>
  <c r="AZ466" i="11"/>
  <c r="S466" i="11" s="1"/>
  <c r="AW466" i="11"/>
  <c r="P466" i="11" s="1"/>
  <c r="AY466" i="11"/>
  <c r="AR467" i="11"/>
  <c r="K467" i="11" s="1"/>
  <c r="AZ467" i="11"/>
  <c r="S467" i="11" s="1"/>
  <c r="AY467" i="11"/>
  <c r="AR468" i="11"/>
  <c r="K468" i="11" s="1"/>
  <c r="AZ468" i="11"/>
  <c r="S468" i="11" s="1"/>
  <c r="AY468" i="11"/>
  <c r="AR470" i="11"/>
  <c r="K470" i="11" s="1"/>
  <c r="AZ470" i="11"/>
  <c r="S470" i="11" s="1"/>
  <c r="AW470" i="11"/>
  <c r="P470" i="11" s="1"/>
  <c r="AY470" i="11"/>
  <c r="AR471" i="11"/>
  <c r="K471" i="11" s="1"/>
  <c r="AS471" i="11"/>
  <c r="L471" i="11" s="1"/>
  <c r="AZ471" i="11"/>
  <c r="S471" i="11" s="1"/>
  <c r="AW471" i="11"/>
  <c r="P471" i="11" s="1"/>
  <c r="AY471" i="11"/>
  <c r="AR472" i="11"/>
  <c r="K472" i="11" s="1"/>
  <c r="AS472" i="11"/>
  <c r="L472" i="11" s="1"/>
  <c r="AZ472" i="11"/>
  <c r="S472" i="11" s="1"/>
  <c r="AW472" i="11"/>
  <c r="P472" i="11" s="1"/>
  <c r="AY472" i="11"/>
  <c r="AR473" i="11"/>
  <c r="K473" i="11" s="1"/>
  <c r="AS473" i="11"/>
  <c r="L473" i="11" s="1"/>
  <c r="AZ473" i="11"/>
  <c r="S473" i="11" s="1"/>
  <c r="AW473" i="11"/>
  <c r="P473" i="11" s="1"/>
  <c r="AY473" i="11"/>
  <c r="AR474" i="11"/>
  <c r="K474" i="11" s="1"/>
  <c r="AS474" i="11"/>
  <c r="L474" i="11" s="1"/>
  <c r="AZ474" i="11"/>
  <c r="S474" i="11" s="1"/>
  <c r="AW474" i="11"/>
  <c r="P474" i="11" s="1"/>
  <c r="AY474" i="11"/>
  <c r="AR475" i="11"/>
  <c r="K475" i="11" s="1"/>
  <c r="AS475" i="11"/>
  <c r="L475" i="11" s="1"/>
  <c r="AZ475" i="11"/>
  <c r="S475" i="11" s="1"/>
  <c r="AY475" i="11"/>
  <c r="AR476" i="11"/>
  <c r="K476" i="11" s="1"/>
  <c r="AS476" i="11"/>
  <c r="L476" i="11" s="1"/>
  <c r="AZ476" i="11"/>
  <c r="S476" i="11" s="1"/>
  <c r="AW476" i="11"/>
  <c r="P476" i="11" s="1"/>
  <c r="AY476" i="11"/>
  <c r="AR477" i="11"/>
  <c r="K477" i="11" s="1"/>
  <c r="AS477" i="11"/>
  <c r="L477" i="11" s="1"/>
  <c r="AZ477" i="11"/>
  <c r="S477" i="11" s="1"/>
  <c r="AW477" i="11"/>
  <c r="P477" i="11" s="1"/>
  <c r="AY477" i="11"/>
  <c r="AR478" i="11"/>
  <c r="K478" i="11" s="1"/>
  <c r="AS478" i="11"/>
  <c r="L478" i="11" s="1"/>
  <c r="AZ478" i="11"/>
  <c r="S478" i="11" s="1"/>
  <c r="AW478" i="11"/>
  <c r="P478" i="11" s="1"/>
  <c r="AY478" i="11"/>
  <c r="AR479" i="11"/>
  <c r="K479" i="11" s="1"/>
  <c r="AZ479" i="11"/>
  <c r="S479" i="11" s="1"/>
  <c r="AW479" i="11"/>
  <c r="P479" i="11" s="1"/>
  <c r="AY479" i="11"/>
  <c r="AR480" i="11"/>
  <c r="K480" i="11" s="1"/>
  <c r="AZ480" i="11"/>
  <c r="S480" i="11" s="1"/>
  <c r="AW480" i="11"/>
  <c r="P480" i="11" s="1"/>
  <c r="AY480" i="11"/>
  <c r="AR481" i="11"/>
  <c r="K481" i="11" s="1"/>
  <c r="AZ481" i="11"/>
  <c r="S481" i="11" s="1"/>
  <c r="AW481" i="11"/>
  <c r="P481" i="11" s="1"/>
  <c r="AY481" i="11"/>
  <c r="AR482" i="11"/>
  <c r="K482" i="11" s="1"/>
  <c r="AZ482" i="11"/>
  <c r="S482" i="11" s="1"/>
  <c r="AW482" i="11"/>
  <c r="P482" i="11" s="1"/>
  <c r="AY482" i="11"/>
  <c r="AR486" i="11"/>
  <c r="K486" i="11" s="1"/>
  <c r="AW486" i="11"/>
  <c r="P486" i="11" s="1"/>
  <c r="AY486" i="11"/>
  <c r="AR487" i="11"/>
  <c r="K487" i="11" s="1"/>
  <c r="AS487" i="11"/>
  <c r="L487" i="11" s="1"/>
  <c r="AZ487" i="11"/>
  <c r="S487" i="11" s="1"/>
  <c r="AW487" i="11"/>
  <c r="P487" i="11" s="1"/>
  <c r="AY487" i="11"/>
  <c r="AR490" i="11"/>
  <c r="K490" i="11" s="1"/>
  <c r="AS490" i="11"/>
  <c r="L490" i="11" s="1"/>
  <c r="AZ490" i="11"/>
  <c r="S490" i="11" s="1"/>
  <c r="AW490" i="11"/>
  <c r="P490" i="11" s="1"/>
  <c r="AY490" i="11"/>
  <c r="AR112" i="11"/>
  <c r="K112" i="11" s="1"/>
  <c r="AS112" i="11"/>
  <c r="L112" i="11" s="1"/>
  <c r="AZ112" i="11"/>
  <c r="S112" i="11" s="1"/>
  <c r="AW112" i="11"/>
  <c r="P112" i="11" s="1"/>
  <c r="AR113" i="11"/>
  <c r="K113" i="11" s="1"/>
  <c r="AZ113" i="11"/>
  <c r="S113" i="11" s="1"/>
  <c r="AW113" i="11"/>
  <c r="P113" i="11" s="1"/>
  <c r="AS125" i="11"/>
  <c r="L125" i="11" s="1"/>
  <c r="AS126" i="11"/>
  <c r="L126" i="11" s="1"/>
  <c r="AZ122" i="11"/>
  <c r="S122" i="11" s="1"/>
  <c r="AW125" i="11"/>
  <c r="P125" i="11" s="1"/>
  <c r="AZ125" i="11"/>
  <c r="S125" i="11" s="1"/>
  <c r="AW126" i="11"/>
  <c r="P126" i="11" s="1"/>
  <c r="AZ126" i="11"/>
  <c r="S126" i="11" s="1"/>
  <c r="AR129" i="11"/>
  <c r="K129" i="11" s="1"/>
  <c r="AS129" i="11"/>
  <c r="L129" i="11" s="1"/>
  <c r="AZ129" i="11"/>
  <c r="S129" i="11" s="1"/>
  <c r="AW129" i="11"/>
  <c r="P129" i="11" s="1"/>
  <c r="AR130" i="11"/>
  <c r="K130" i="11" s="1"/>
  <c r="AZ130" i="11"/>
  <c r="S130" i="11" s="1"/>
  <c r="AW130" i="11"/>
  <c r="P130" i="11" s="1"/>
  <c r="AR131" i="11"/>
  <c r="K131" i="11" s="1"/>
  <c r="AS131" i="11"/>
  <c r="L131" i="11" s="1"/>
  <c r="AZ131" i="11"/>
  <c r="S131" i="11" s="1"/>
  <c r="AW131" i="11"/>
  <c r="P131" i="11" s="1"/>
  <c r="K132" i="11"/>
  <c r="S132" i="11"/>
  <c r="AR134" i="11"/>
  <c r="K134" i="11" s="1"/>
  <c r="AS134" i="11"/>
  <c r="L134" i="11" s="1"/>
  <c r="AZ134" i="11"/>
  <c r="S134" i="11" s="1"/>
  <c r="AW134" i="11"/>
  <c r="P134" i="11" s="1"/>
  <c r="AR135" i="11"/>
  <c r="K135" i="11" s="1"/>
  <c r="AZ135" i="11"/>
  <c r="S135" i="11" s="1"/>
  <c r="AW135" i="11"/>
  <c r="P135" i="11" s="1"/>
  <c r="AR136" i="11"/>
  <c r="K136" i="11" s="1"/>
  <c r="AS136" i="11"/>
  <c r="L136" i="11" s="1"/>
  <c r="AZ136" i="11"/>
  <c r="S136" i="11" s="1"/>
  <c r="AW136" i="11"/>
  <c r="P136" i="11" s="1"/>
  <c r="K137" i="11"/>
  <c r="S137" i="11"/>
  <c r="AR138" i="11"/>
  <c r="K138" i="11" s="1"/>
  <c r="AS138" i="11"/>
  <c r="L138" i="11" s="1"/>
  <c r="AZ138" i="11"/>
  <c r="S138" i="11" s="1"/>
  <c r="AW138" i="11"/>
  <c r="P138" i="11" s="1"/>
  <c r="AR139" i="11"/>
  <c r="K139" i="11" s="1"/>
  <c r="AS139" i="11"/>
  <c r="L139" i="11" s="1"/>
  <c r="AZ139" i="11"/>
  <c r="S139" i="11" s="1"/>
  <c r="AW139" i="11"/>
  <c r="P139" i="11" s="1"/>
  <c r="AR140" i="11"/>
  <c r="K140" i="11" s="1"/>
  <c r="AZ140" i="11"/>
  <c r="S140" i="11" s="1"/>
  <c r="AW140" i="11"/>
  <c r="P140" i="11" s="1"/>
  <c r="AR141" i="11"/>
  <c r="K141" i="11" s="1"/>
  <c r="AS141" i="11"/>
  <c r="L141" i="11" s="1"/>
  <c r="AZ141" i="11"/>
  <c r="S141" i="11" s="1"/>
  <c r="AW141" i="11"/>
  <c r="P141" i="11" s="1"/>
  <c r="AR142" i="11"/>
  <c r="K142" i="11" s="1"/>
  <c r="AZ142" i="11"/>
  <c r="S142" i="11" s="1"/>
  <c r="AW142" i="11"/>
  <c r="P142" i="11" s="1"/>
  <c r="AR143" i="11"/>
  <c r="K143" i="11" s="1"/>
  <c r="AS143" i="11"/>
  <c r="L143" i="11" s="1"/>
  <c r="AZ143" i="11"/>
  <c r="S143" i="11" s="1"/>
  <c r="AW143" i="11"/>
  <c r="P143" i="11" s="1"/>
  <c r="AR144" i="11"/>
  <c r="K144" i="11" s="1"/>
  <c r="AS144" i="11"/>
  <c r="L144" i="11" s="1"/>
  <c r="AZ144" i="11"/>
  <c r="S144" i="11" s="1"/>
  <c r="AW144" i="11"/>
  <c r="P144" i="11" s="1"/>
  <c r="AR145" i="11"/>
  <c r="K145" i="11" s="1"/>
  <c r="AS145" i="11"/>
  <c r="L145" i="11" s="1"/>
  <c r="AZ145" i="11"/>
  <c r="S145" i="11" s="1"/>
  <c r="AW145" i="11"/>
  <c r="P145" i="11" s="1"/>
  <c r="AR146" i="11"/>
  <c r="K146" i="11" s="1"/>
  <c r="AZ146" i="11"/>
  <c r="S146" i="11" s="1"/>
  <c r="AW146" i="11"/>
  <c r="P146" i="11" s="1"/>
  <c r="AR147" i="11"/>
  <c r="K147" i="11" s="1"/>
  <c r="AZ147" i="11"/>
  <c r="S147" i="11" s="1"/>
  <c r="AW147" i="11"/>
  <c r="P147" i="11" s="1"/>
  <c r="AR148" i="11"/>
  <c r="K148" i="11" s="1"/>
  <c r="AS148" i="11"/>
  <c r="L148" i="11" s="1"/>
  <c r="AZ148" i="11"/>
  <c r="S148" i="11" s="1"/>
  <c r="AW148" i="11"/>
  <c r="P148" i="11" s="1"/>
  <c r="AR149" i="11"/>
  <c r="K149" i="11" s="1"/>
  <c r="AS149" i="11"/>
  <c r="L149" i="11" s="1"/>
  <c r="AZ149" i="11"/>
  <c r="S149" i="11" s="1"/>
  <c r="AW149" i="11"/>
  <c r="P149" i="11" s="1"/>
  <c r="AR150" i="11"/>
  <c r="K150" i="11" s="1"/>
  <c r="AS150" i="11"/>
  <c r="L150" i="11" s="1"/>
  <c r="AZ150" i="11"/>
  <c r="S150" i="11" s="1"/>
  <c r="AW150" i="11"/>
  <c r="P150" i="11" s="1"/>
  <c r="AR151" i="11"/>
  <c r="K151" i="11" s="1"/>
  <c r="AS151" i="11"/>
  <c r="L151" i="11" s="1"/>
  <c r="AZ151" i="11"/>
  <c r="S151" i="11" s="1"/>
  <c r="AW151" i="11"/>
  <c r="P151" i="11" s="1"/>
  <c r="AR152" i="11"/>
  <c r="K152" i="11" s="1"/>
  <c r="AS152" i="11"/>
  <c r="L152" i="11" s="1"/>
  <c r="AZ152" i="11"/>
  <c r="S152" i="11" s="1"/>
  <c r="AW152" i="11"/>
  <c r="P152" i="11" s="1"/>
  <c r="K153" i="11"/>
  <c r="S153" i="11"/>
  <c r="AR154" i="11"/>
  <c r="K154" i="11" s="1"/>
  <c r="AS154" i="11"/>
  <c r="L154" i="11" s="1"/>
  <c r="AZ154" i="11"/>
  <c r="S154" i="11" s="1"/>
  <c r="AW154" i="11"/>
  <c r="P154" i="11" s="1"/>
  <c r="AR155" i="11"/>
  <c r="K155" i="11" s="1"/>
  <c r="AS155" i="11"/>
  <c r="L155" i="11" s="1"/>
  <c r="AZ155" i="11"/>
  <c r="S155" i="11" s="1"/>
  <c r="AW155" i="11"/>
  <c r="P155" i="11" s="1"/>
  <c r="AR156" i="11"/>
  <c r="K156" i="11" s="1"/>
  <c r="AS156" i="11"/>
  <c r="L156" i="11" s="1"/>
  <c r="AZ156" i="11"/>
  <c r="S156" i="11" s="1"/>
  <c r="AW156" i="11"/>
  <c r="P156" i="11" s="1"/>
  <c r="AR157" i="11"/>
  <c r="AS157" i="11"/>
  <c r="L157" i="11" s="1"/>
  <c r="AZ157" i="11"/>
  <c r="S157" i="11" s="1"/>
  <c r="AW157" i="11"/>
  <c r="P157" i="11" s="1"/>
  <c r="AR158" i="11"/>
  <c r="K158" i="11" s="1"/>
  <c r="AS158" i="11"/>
  <c r="L158" i="11" s="1"/>
  <c r="S158" i="11"/>
  <c r="AR159" i="11"/>
  <c r="K159" i="11" s="1"/>
  <c r="AS159" i="11"/>
  <c r="L159" i="11" s="1"/>
  <c r="AZ159" i="11"/>
  <c r="S159" i="11" s="1"/>
  <c r="AW159" i="11"/>
  <c r="P159" i="11" s="1"/>
  <c r="AR160" i="11"/>
  <c r="K160" i="11" s="1"/>
  <c r="AS160" i="11"/>
  <c r="L160" i="11" s="1"/>
  <c r="AZ160" i="11"/>
  <c r="S160" i="11" s="1"/>
  <c r="AW160" i="11"/>
  <c r="P160" i="11" s="1"/>
  <c r="AR161" i="11"/>
  <c r="K161" i="11" s="1"/>
  <c r="AZ161" i="11"/>
  <c r="S161" i="11" s="1"/>
  <c r="AW161" i="11"/>
  <c r="P161" i="11" s="1"/>
  <c r="AR162" i="11"/>
  <c r="K162" i="11" s="1"/>
  <c r="AZ162" i="11"/>
  <c r="S162" i="11" s="1"/>
  <c r="AW162" i="11"/>
  <c r="P162" i="11" s="1"/>
  <c r="AR163" i="11"/>
  <c r="K163" i="11" s="1"/>
  <c r="AZ163" i="11"/>
  <c r="S163" i="11" s="1"/>
  <c r="AW163" i="11"/>
  <c r="P163" i="11" s="1"/>
  <c r="AR164" i="11"/>
  <c r="K164" i="11" s="1"/>
  <c r="AZ164" i="11"/>
  <c r="S164" i="11" s="1"/>
  <c r="AW164" i="11"/>
  <c r="P164" i="11" s="1"/>
  <c r="AR165" i="11"/>
  <c r="K165" i="11" s="1"/>
  <c r="AS165" i="11"/>
  <c r="L165" i="11" s="1"/>
  <c r="AZ165" i="11"/>
  <c r="S165" i="11" s="1"/>
  <c r="AW165" i="11"/>
  <c r="P165" i="11" s="1"/>
  <c r="AR166" i="11"/>
  <c r="K166" i="11" s="1"/>
  <c r="AZ166" i="11"/>
  <c r="S166" i="11" s="1"/>
  <c r="AW166" i="11"/>
  <c r="P166" i="11" s="1"/>
  <c r="AR167" i="11"/>
  <c r="AS167" i="11"/>
  <c r="L167" i="11" s="1"/>
  <c r="AZ167" i="11"/>
  <c r="S167" i="11" s="1"/>
  <c r="AW167" i="11"/>
  <c r="P167" i="11" s="1"/>
  <c r="AR168" i="11"/>
  <c r="K168" i="11" s="1"/>
  <c r="AS168" i="11"/>
  <c r="L168" i="11" s="1"/>
  <c r="AZ168" i="11"/>
  <c r="S168" i="11" s="1"/>
  <c r="AW168" i="11"/>
  <c r="P168" i="11" s="1"/>
  <c r="AR169" i="11"/>
  <c r="K169" i="11" s="1"/>
  <c r="AS169" i="11"/>
  <c r="L169" i="11" s="1"/>
  <c r="AZ169" i="11"/>
  <c r="S169" i="11" s="1"/>
  <c r="AW169" i="11"/>
  <c r="P169" i="11" s="1"/>
  <c r="AR170" i="11"/>
  <c r="K170" i="11" s="1"/>
  <c r="AS170" i="11"/>
  <c r="L170" i="11" s="1"/>
  <c r="AZ170" i="11"/>
  <c r="S170" i="11" s="1"/>
  <c r="AW170" i="11"/>
  <c r="P170" i="11" s="1"/>
  <c r="AR171" i="11"/>
  <c r="K171" i="11" s="1"/>
  <c r="AS171" i="11"/>
  <c r="L171" i="11" s="1"/>
  <c r="AZ171" i="11"/>
  <c r="S171" i="11" s="1"/>
  <c r="AW171" i="11"/>
  <c r="P171" i="11" s="1"/>
  <c r="AR172" i="11"/>
  <c r="K172" i="11" s="1"/>
  <c r="AS172" i="11"/>
  <c r="L172" i="11" s="1"/>
  <c r="AZ172" i="11"/>
  <c r="S172" i="11" s="1"/>
  <c r="AR173" i="11"/>
  <c r="K173" i="11" s="1"/>
  <c r="AZ173" i="11"/>
  <c r="S173" i="11" s="1"/>
  <c r="AR174" i="11"/>
  <c r="K174" i="11" s="1"/>
  <c r="AZ174" i="11"/>
  <c r="S174" i="11" s="1"/>
  <c r="AR175" i="11"/>
  <c r="K175" i="11" s="1"/>
  <c r="AZ175" i="11"/>
  <c r="S175" i="11" s="1"/>
  <c r="AR176" i="11"/>
  <c r="K176" i="11" s="1"/>
  <c r="AZ176" i="11"/>
  <c r="S176" i="11" s="1"/>
  <c r="AR177" i="11"/>
  <c r="K177" i="11" s="1"/>
  <c r="AZ177" i="11"/>
  <c r="S177" i="11" s="1"/>
  <c r="AR178" i="11"/>
  <c r="K178" i="11" s="1"/>
  <c r="AZ178" i="11"/>
  <c r="S178" i="11" s="1"/>
  <c r="AR179" i="11"/>
  <c r="K179" i="11" s="1"/>
  <c r="AZ179" i="11"/>
  <c r="S179" i="11" s="1"/>
  <c r="AR180" i="11"/>
  <c r="K180" i="11" s="1"/>
  <c r="AZ180" i="11"/>
  <c r="S180" i="11" s="1"/>
  <c r="AW180" i="11"/>
  <c r="P180" i="11" s="1"/>
  <c r="AR182" i="11"/>
  <c r="K182" i="11" s="1"/>
  <c r="AZ182" i="11"/>
  <c r="S182" i="11" s="1"/>
  <c r="AW182" i="11"/>
  <c r="P182" i="11" s="1"/>
  <c r="AR183" i="11"/>
  <c r="K183" i="11" s="1"/>
  <c r="AZ183" i="11"/>
  <c r="S183" i="11" s="1"/>
  <c r="AW183" i="11"/>
  <c r="P183" i="11" s="1"/>
  <c r="AR184" i="11"/>
  <c r="K184" i="11" s="1"/>
  <c r="AZ184" i="11"/>
  <c r="S184" i="11" s="1"/>
  <c r="AW184" i="11"/>
  <c r="P184" i="11" s="1"/>
  <c r="AR185" i="11"/>
  <c r="K185" i="11" s="1"/>
  <c r="AZ185" i="11"/>
  <c r="S185" i="11" s="1"/>
  <c r="AW185" i="11"/>
  <c r="P185" i="11" s="1"/>
  <c r="AR186" i="11"/>
  <c r="K186" i="11" s="1"/>
  <c r="AZ186" i="11"/>
  <c r="S186" i="11" s="1"/>
  <c r="AW186" i="11"/>
  <c r="P186" i="11" s="1"/>
  <c r="AR187" i="11"/>
  <c r="K187" i="11" s="1"/>
  <c r="AS187" i="11"/>
  <c r="L187" i="11" s="1"/>
  <c r="AZ187" i="11"/>
  <c r="S187" i="11" s="1"/>
  <c r="AW187" i="11"/>
  <c r="P187" i="11" s="1"/>
  <c r="AR188" i="11"/>
  <c r="K188" i="11" s="1"/>
  <c r="AS188" i="11"/>
  <c r="L188" i="11" s="1"/>
  <c r="AZ188" i="11"/>
  <c r="S188" i="11" s="1"/>
  <c r="AW188" i="11"/>
  <c r="P188" i="11" s="1"/>
  <c r="AR189" i="11"/>
  <c r="K189" i="11" s="1"/>
  <c r="AS189" i="11"/>
  <c r="L189" i="11" s="1"/>
  <c r="AZ189" i="11"/>
  <c r="S189" i="11" s="1"/>
  <c r="AW189" i="11"/>
  <c r="P189" i="11" s="1"/>
  <c r="AR190" i="11"/>
  <c r="K190" i="11" s="1"/>
  <c r="AS190" i="11"/>
  <c r="L190" i="11" s="1"/>
  <c r="AZ190" i="11"/>
  <c r="S190" i="11" s="1"/>
  <c r="AW190" i="11"/>
  <c r="P190" i="11" s="1"/>
  <c r="AR191" i="11"/>
  <c r="K191" i="11" s="1"/>
  <c r="AS191" i="11"/>
  <c r="L191" i="11" s="1"/>
  <c r="AZ191" i="11"/>
  <c r="S191" i="11" s="1"/>
  <c r="AW191" i="11"/>
  <c r="P191" i="11" s="1"/>
  <c r="AR192" i="11"/>
  <c r="K192" i="11" s="1"/>
  <c r="AS192" i="11"/>
  <c r="L192" i="11" s="1"/>
  <c r="AZ192" i="11"/>
  <c r="S192" i="11" s="1"/>
  <c r="AW192" i="11"/>
  <c r="P192" i="11" s="1"/>
  <c r="AR193" i="11"/>
  <c r="K193" i="11" s="1"/>
  <c r="AS193" i="11"/>
  <c r="L193" i="11" s="1"/>
  <c r="AZ193" i="11"/>
  <c r="S193" i="11" s="1"/>
  <c r="AW193" i="11"/>
  <c r="P193" i="11" s="1"/>
  <c r="AR194" i="11"/>
  <c r="K194" i="11" s="1"/>
  <c r="AZ194" i="11"/>
  <c r="S194" i="11" s="1"/>
  <c r="AW194" i="11"/>
  <c r="P194" i="11" s="1"/>
  <c r="AR195" i="11"/>
  <c r="K195" i="11" s="1"/>
  <c r="AZ195" i="11"/>
  <c r="S195" i="11" s="1"/>
  <c r="AW195" i="11"/>
  <c r="P195" i="11" s="1"/>
  <c r="AR196" i="11"/>
  <c r="K196" i="11" s="1"/>
  <c r="AZ196" i="11"/>
  <c r="S196" i="11" s="1"/>
  <c r="AW196" i="11"/>
  <c r="P196" i="11" s="1"/>
  <c r="AR197" i="11"/>
  <c r="K197" i="11" s="1"/>
  <c r="AZ197" i="11"/>
  <c r="S197" i="11" s="1"/>
  <c r="AW197" i="11"/>
  <c r="P197" i="11" s="1"/>
  <c r="AR198" i="11"/>
  <c r="K198" i="11" s="1"/>
  <c r="AZ198" i="11"/>
  <c r="S198" i="11" s="1"/>
  <c r="AW198" i="11"/>
  <c r="P198" i="11" s="1"/>
  <c r="AR199" i="11"/>
  <c r="K199" i="11" s="1"/>
  <c r="S199" i="11"/>
  <c r="AR200" i="11"/>
  <c r="K200" i="11" s="1"/>
  <c r="AZ200" i="11"/>
  <c r="S200" i="11" s="1"/>
  <c r="AW200" i="11"/>
  <c r="P200" i="11" s="1"/>
  <c r="AR201" i="11"/>
  <c r="K201" i="11" s="1"/>
  <c r="AZ201" i="11"/>
  <c r="S201" i="11" s="1"/>
  <c r="AW201" i="11"/>
  <c r="P201" i="11" s="1"/>
  <c r="AR203" i="11"/>
  <c r="K203" i="11" s="1"/>
  <c r="AZ203" i="11"/>
  <c r="S203" i="11" s="1"/>
  <c r="AW203" i="11"/>
  <c r="P203" i="11" s="1"/>
  <c r="AR204" i="11"/>
  <c r="K204" i="11" s="1"/>
  <c r="AZ204" i="11"/>
  <c r="S204" i="11" s="1"/>
  <c r="AW204" i="11"/>
  <c r="P204" i="11" s="1"/>
  <c r="AR205" i="11"/>
  <c r="K205" i="11" s="1"/>
  <c r="AZ205" i="11"/>
  <c r="S205" i="11" s="1"/>
  <c r="AR206" i="11"/>
  <c r="K206" i="11" s="1"/>
  <c r="AZ206" i="11"/>
  <c r="S206" i="11" s="1"/>
  <c r="AW206" i="11"/>
  <c r="P206" i="11" s="1"/>
  <c r="AR208" i="11"/>
  <c r="K208" i="11" s="1"/>
  <c r="AZ208" i="11"/>
  <c r="S208" i="11" s="1"/>
  <c r="AW208" i="11"/>
  <c r="P208" i="11" s="1"/>
  <c r="AR209" i="11"/>
  <c r="K209" i="11" s="1"/>
  <c r="AZ209" i="11"/>
  <c r="S209" i="11" s="1"/>
  <c r="AW209" i="11"/>
  <c r="P209" i="11" s="1"/>
  <c r="AR210" i="11"/>
  <c r="K210" i="11" s="1"/>
  <c r="AZ210" i="11"/>
  <c r="S210" i="11" s="1"/>
  <c r="AR211" i="11"/>
  <c r="K211" i="11" s="1"/>
  <c r="AZ211" i="11"/>
  <c r="S211" i="11" s="1"/>
  <c r="AW211" i="11"/>
  <c r="P211" i="11" s="1"/>
  <c r="AR212" i="11"/>
  <c r="K212" i="11" s="1"/>
  <c r="AZ212" i="11"/>
  <c r="S212" i="11" s="1"/>
  <c r="AW212" i="11"/>
  <c r="P212" i="11" s="1"/>
  <c r="AR213" i="11"/>
  <c r="K213" i="11" s="1"/>
  <c r="AZ213" i="11"/>
  <c r="S213" i="11" s="1"/>
  <c r="AW213" i="11"/>
  <c r="P213" i="11" s="1"/>
  <c r="AR214" i="11"/>
  <c r="K214" i="11" s="1"/>
  <c r="AZ214" i="11"/>
  <c r="S214" i="11" s="1"/>
  <c r="AR215" i="11"/>
  <c r="K215" i="11" s="1"/>
  <c r="AZ215" i="11"/>
  <c r="S215" i="11" s="1"/>
  <c r="AR216" i="11"/>
  <c r="K216" i="11" s="1"/>
  <c r="AZ216" i="11"/>
  <c r="S216" i="11" s="1"/>
  <c r="AR217" i="11"/>
  <c r="K217" i="11" s="1"/>
  <c r="AZ217" i="11"/>
  <c r="AR218" i="11"/>
  <c r="K218" i="11" s="1"/>
  <c r="AZ218" i="11"/>
  <c r="S218" i="11" s="1"/>
  <c r="AR219" i="11"/>
  <c r="AZ219" i="11"/>
  <c r="S219" i="11" s="1"/>
  <c r="AR220" i="11"/>
  <c r="K220" i="11" s="1"/>
  <c r="AZ220" i="11"/>
  <c r="S220" i="11" s="1"/>
  <c r="AR264" i="11"/>
  <c r="K264" i="11" s="1"/>
  <c r="AS264" i="11"/>
  <c r="L264" i="11" s="1"/>
  <c r="AZ264" i="11"/>
  <c r="S264" i="11" s="1"/>
  <c r="AW264" i="11"/>
  <c r="P264" i="11" s="1"/>
  <c r="AY264" i="11"/>
  <c r="AR265" i="11"/>
  <c r="K265" i="11" s="1"/>
  <c r="AS265" i="11"/>
  <c r="L265" i="11" s="1"/>
  <c r="AZ265" i="11"/>
  <c r="S265" i="11" s="1"/>
  <c r="AW265" i="11"/>
  <c r="P265" i="11" s="1"/>
  <c r="AY265" i="11"/>
  <c r="AR266" i="11"/>
  <c r="K266" i="11" s="1"/>
  <c r="AS266" i="11"/>
  <c r="L266" i="11" s="1"/>
  <c r="AZ266" i="11"/>
  <c r="S266" i="11" s="1"/>
  <c r="AW266" i="11"/>
  <c r="P266" i="11" s="1"/>
  <c r="AY266" i="11"/>
  <c r="AR267" i="11"/>
  <c r="K267" i="11" s="1"/>
  <c r="AS267" i="11"/>
  <c r="L267" i="11" s="1"/>
  <c r="AZ267" i="11"/>
  <c r="S267" i="11" s="1"/>
  <c r="AW267" i="11"/>
  <c r="P267" i="11" s="1"/>
  <c r="AY267" i="11"/>
  <c r="AR268" i="11"/>
  <c r="K268" i="11" s="1"/>
  <c r="AS268" i="11"/>
  <c r="L268" i="11" s="1"/>
  <c r="AZ268" i="11"/>
  <c r="S268" i="11" s="1"/>
  <c r="AW268" i="11"/>
  <c r="P268" i="11" s="1"/>
  <c r="AY268" i="11"/>
  <c r="AR269" i="11"/>
  <c r="K269" i="11" s="1"/>
  <c r="AZ269" i="11"/>
  <c r="S269" i="11" s="1"/>
  <c r="AW269" i="11"/>
  <c r="P269" i="11" s="1"/>
  <c r="AY269" i="11"/>
  <c r="AR271" i="11"/>
  <c r="K271" i="11" s="1"/>
  <c r="AS271" i="11"/>
  <c r="L271" i="11" s="1"/>
  <c r="AZ271" i="11"/>
  <c r="S271" i="11" s="1"/>
  <c r="AW271" i="11"/>
  <c r="P271" i="11" s="1"/>
  <c r="AY271" i="11"/>
  <c r="AR272" i="11"/>
  <c r="K272" i="11" s="1"/>
  <c r="AS272" i="11"/>
  <c r="L272" i="11" s="1"/>
  <c r="AZ272" i="11"/>
  <c r="S272" i="11" s="1"/>
  <c r="AW272" i="11"/>
  <c r="P272" i="11" s="1"/>
  <c r="AY272" i="11"/>
  <c r="AR273" i="11"/>
  <c r="K273" i="11" s="1"/>
  <c r="AS273" i="11"/>
  <c r="L273" i="11" s="1"/>
  <c r="AZ273" i="11"/>
  <c r="S273" i="11" s="1"/>
  <c r="AY273" i="11"/>
  <c r="AR274" i="11"/>
  <c r="K274" i="11" s="1"/>
  <c r="AS274" i="11"/>
  <c r="L274" i="11" s="1"/>
  <c r="AZ274" i="11"/>
  <c r="S274" i="11" s="1"/>
  <c r="AW274" i="11"/>
  <c r="P274" i="11" s="1"/>
  <c r="AY274" i="11"/>
  <c r="AR275" i="11"/>
  <c r="K275" i="11" s="1"/>
  <c r="AS275" i="11"/>
  <c r="L275" i="11" s="1"/>
  <c r="AZ275" i="11"/>
  <c r="S275" i="11" s="1"/>
  <c r="AW275" i="11"/>
  <c r="P275" i="11" s="1"/>
  <c r="AY275" i="11"/>
  <c r="AR276" i="11"/>
  <c r="K276" i="11" s="1"/>
  <c r="AS276" i="11"/>
  <c r="L276" i="11" s="1"/>
  <c r="AZ276" i="11"/>
  <c r="S276" i="11" s="1"/>
  <c r="AW276" i="11"/>
  <c r="P276" i="11" s="1"/>
  <c r="AY276" i="11"/>
  <c r="AR277" i="11"/>
  <c r="K277" i="11" s="1"/>
  <c r="AS277" i="11"/>
  <c r="L277" i="11" s="1"/>
  <c r="AZ277" i="11"/>
  <c r="S277" i="11" s="1"/>
  <c r="AW277" i="11"/>
  <c r="P277" i="11" s="1"/>
  <c r="AY277" i="11"/>
  <c r="AR278" i="11"/>
  <c r="K278" i="11" s="1"/>
  <c r="AS278" i="11"/>
  <c r="L278" i="11" s="1"/>
  <c r="AZ278" i="11"/>
  <c r="AW278" i="11"/>
  <c r="P278" i="11" s="1"/>
  <c r="AY278" i="11"/>
  <c r="AR280" i="11"/>
  <c r="K280" i="11" s="1"/>
  <c r="AZ280" i="11"/>
  <c r="S280" i="11" s="1"/>
  <c r="AW280" i="11"/>
  <c r="P280" i="11" s="1"/>
  <c r="AY280" i="11"/>
  <c r="AR282" i="11"/>
  <c r="K282" i="11" s="1"/>
  <c r="AS282" i="11"/>
  <c r="L282" i="11" s="1"/>
  <c r="AZ282" i="11"/>
  <c r="S282" i="11" s="1"/>
  <c r="AW282" i="11"/>
  <c r="P282" i="11" s="1"/>
  <c r="AY282" i="11"/>
  <c r="AR283" i="11"/>
  <c r="K283" i="11" s="1"/>
  <c r="AS283" i="11"/>
  <c r="L283" i="11" s="1"/>
  <c r="AZ283" i="11"/>
  <c r="S283" i="11" s="1"/>
  <c r="AW283" i="11"/>
  <c r="P283" i="11" s="1"/>
  <c r="AY283" i="11"/>
  <c r="AR284" i="11"/>
  <c r="K284" i="11" s="1"/>
  <c r="AS284" i="11"/>
  <c r="L284" i="11" s="1"/>
  <c r="AZ284" i="11"/>
  <c r="S284" i="11" s="1"/>
  <c r="AW284" i="11"/>
  <c r="P284" i="11" s="1"/>
  <c r="AY284" i="11"/>
  <c r="AR285" i="11"/>
  <c r="K285" i="11" s="1"/>
  <c r="AS285" i="11"/>
  <c r="L285" i="11" s="1"/>
  <c r="AZ285" i="11"/>
  <c r="S285" i="11" s="1"/>
  <c r="AW285" i="11"/>
  <c r="P285" i="11" s="1"/>
  <c r="AY285" i="11"/>
  <c r="AR286" i="11"/>
  <c r="K286" i="11" s="1"/>
  <c r="AS286" i="11"/>
  <c r="L286" i="11" s="1"/>
  <c r="AZ286" i="11"/>
  <c r="S286" i="11" s="1"/>
  <c r="AW286" i="11"/>
  <c r="P286" i="11" s="1"/>
  <c r="AY286" i="11"/>
  <c r="AR287" i="11"/>
  <c r="K287" i="11" s="1"/>
  <c r="AZ287" i="11"/>
  <c r="S287" i="11" s="1"/>
  <c r="AW287" i="11"/>
  <c r="P287" i="11" s="1"/>
  <c r="AY287" i="11"/>
  <c r="AR288" i="11"/>
  <c r="K288" i="11" s="1"/>
  <c r="AZ288" i="11"/>
  <c r="S288" i="11" s="1"/>
  <c r="AW288" i="11"/>
  <c r="P288" i="11" s="1"/>
  <c r="AY288" i="11"/>
  <c r="AR289" i="11"/>
  <c r="K289" i="11" s="1"/>
  <c r="AS289" i="11"/>
  <c r="L289" i="11" s="1"/>
  <c r="AZ289" i="11"/>
  <c r="S289" i="11" s="1"/>
  <c r="AW289" i="11"/>
  <c r="P289" i="11" s="1"/>
  <c r="AY289" i="11"/>
  <c r="AR290" i="11"/>
  <c r="K290" i="11" s="1"/>
  <c r="AS290" i="11"/>
  <c r="L290" i="11" s="1"/>
  <c r="AZ290" i="11"/>
  <c r="S290" i="11" s="1"/>
  <c r="AW290" i="11"/>
  <c r="P290" i="11" s="1"/>
  <c r="AY290" i="11"/>
  <c r="AR291" i="11"/>
  <c r="K291" i="11" s="1"/>
  <c r="AS291" i="11"/>
  <c r="L291" i="11" s="1"/>
  <c r="AZ291" i="11"/>
  <c r="S291" i="11" s="1"/>
  <c r="AW291" i="11"/>
  <c r="P291" i="11" s="1"/>
  <c r="AY291" i="11"/>
  <c r="AW292" i="11"/>
  <c r="P292" i="11" s="1"/>
  <c r="AY292" i="11"/>
  <c r="AZ292" i="11"/>
  <c r="S292" i="11" s="1"/>
  <c r="AW293" i="11"/>
  <c r="P293" i="11" s="1"/>
  <c r="AY293" i="11"/>
  <c r="AZ293" i="11"/>
  <c r="S293" i="11" s="1"/>
  <c r="AW294" i="11"/>
  <c r="P294" i="11" s="1"/>
  <c r="AY294" i="11"/>
  <c r="AZ294" i="11"/>
  <c r="S294" i="11" s="1"/>
  <c r="AW295" i="11"/>
  <c r="P295" i="11" s="1"/>
  <c r="AY295" i="11"/>
  <c r="AZ295" i="11"/>
  <c r="S295" i="11" s="1"/>
  <c r="AR292" i="11"/>
  <c r="K292" i="11" s="1"/>
  <c r="AS292" i="11"/>
  <c r="L292" i="11" s="1"/>
  <c r="AS293" i="11"/>
  <c r="L293" i="11" s="1"/>
  <c r="AS294" i="11"/>
  <c r="L294" i="11" s="1"/>
  <c r="AS295" i="11"/>
  <c r="L295" i="11" s="1"/>
  <c r="AR296" i="11"/>
  <c r="K296" i="11" s="1"/>
  <c r="AS296" i="11"/>
  <c r="L296" i="11" s="1"/>
  <c r="AZ296" i="11"/>
  <c r="S296" i="11" s="1"/>
  <c r="AW296" i="11"/>
  <c r="P296" i="11" s="1"/>
  <c r="AY296" i="11"/>
  <c r="AR297" i="11"/>
  <c r="K297" i="11" s="1"/>
  <c r="AS297" i="11"/>
  <c r="L297" i="11" s="1"/>
  <c r="AZ297" i="11"/>
  <c r="S297" i="11" s="1"/>
  <c r="AW297" i="11"/>
  <c r="P297" i="11" s="1"/>
  <c r="AY297" i="11"/>
  <c r="AR298" i="11"/>
  <c r="K298" i="11" s="1"/>
  <c r="AS298" i="11"/>
  <c r="L298" i="11" s="1"/>
  <c r="AZ298" i="11"/>
  <c r="S298" i="11" s="1"/>
  <c r="AW298" i="11"/>
  <c r="P298" i="11" s="1"/>
  <c r="AY298" i="11"/>
  <c r="AR299" i="11"/>
  <c r="K299" i="11" s="1"/>
  <c r="AS299" i="11"/>
  <c r="L299" i="11" s="1"/>
  <c r="AZ299" i="11"/>
  <c r="S299" i="11" s="1"/>
  <c r="AW299" i="11"/>
  <c r="P299" i="11" s="1"/>
  <c r="AY299" i="11"/>
  <c r="AR300" i="11"/>
  <c r="K300" i="11" s="1"/>
  <c r="AS300" i="11"/>
  <c r="L300" i="11" s="1"/>
  <c r="AZ300" i="11"/>
  <c r="S300" i="11" s="1"/>
  <c r="AW300" i="11"/>
  <c r="P300" i="11" s="1"/>
  <c r="AY300" i="11"/>
  <c r="AR301" i="11"/>
  <c r="K301" i="11" s="1"/>
  <c r="AS301" i="11"/>
  <c r="L301" i="11" s="1"/>
  <c r="AZ301" i="11"/>
  <c r="S301" i="11" s="1"/>
  <c r="AW301" i="11"/>
  <c r="P301" i="11" s="1"/>
  <c r="AY301" i="11"/>
  <c r="AR302" i="11"/>
  <c r="K302" i="11" s="1"/>
  <c r="AS302" i="11"/>
  <c r="L302" i="11" s="1"/>
  <c r="AZ302" i="11"/>
  <c r="S302" i="11" s="1"/>
  <c r="AW302" i="11"/>
  <c r="P302" i="11" s="1"/>
  <c r="AY302" i="11"/>
  <c r="AR303" i="11"/>
  <c r="K303" i="11" s="1"/>
  <c r="AS303" i="11"/>
  <c r="L303" i="11" s="1"/>
  <c r="AZ303" i="11"/>
  <c r="S303" i="11" s="1"/>
  <c r="AW303" i="11"/>
  <c r="P303" i="11" s="1"/>
  <c r="AY303" i="11"/>
  <c r="AR304" i="11"/>
  <c r="K304" i="11" s="1"/>
  <c r="AZ304" i="11"/>
  <c r="S304" i="11" s="1"/>
  <c r="AY304" i="11"/>
  <c r="AR305" i="11"/>
  <c r="K305" i="11" s="1"/>
  <c r="AS305" i="11"/>
  <c r="L305" i="11" s="1"/>
  <c r="AZ305" i="11"/>
  <c r="S305" i="11" s="1"/>
  <c r="AW305" i="11"/>
  <c r="P305" i="11" s="1"/>
  <c r="AY305" i="11"/>
  <c r="AR306" i="11"/>
  <c r="K306" i="11" s="1"/>
  <c r="AS306" i="11"/>
  <c r="L306" i="11" s="1"/>
  <c r="AZ306" i="11"/>
  <c r="S306" i="11" s="1"/>
  <c r="AY306" i="11"/>
  <c r="AR307" i="11"/>
  <c r="K307" i="11" s="1"/>
  <c r="AZ307" i="11"/>
  <c r="S307" i="11" s="1"/>
  <c r="AW307" i="11"/>
  <c r="P307" i="11" s="1"/>
  <c r="AY307" i="11"/>
  <c r="AR309" i="11"/>
  <c r="K309" i="11" s="1"/>
  <c r="AZ309" i="11"/>
  <c r="S309" i="11" s="1"/>
  <c r="AW309" i="11"/>
  <c r="P309" i="11" s="1"/>
  <c r="AY309" i="11"/>
  <c r="AR310" i="11"/>
  <c r="K310" i="11" s="1"/>
  <c r="AZ310" i="11"/>
  <c r="S310" i="11" s="1"/>
  <c r="AW310" i="11"/>
  <c r="P310" i="11" s="1"/>
  <c r="AY310" i="11"/>
  <c r="AR311" i="11"/>
  <c r="K311" i="11" s="1"/>
  <c r="AZ311" i="11"/>
  <c r="S311" i="11" s="1"/>
  <c r="AW311" i="11"/>
  <c r="P311" i="11" s="1"/>
  <c r="AY311" i="11"/>
  <c r="AR315" i="11"/>
  <c r="K315" i="11" s="1"/>
  <c r="AZ315" i="11"/>
  <c r="S315" i="11" s="1"/>
  <c r="AW315" i="11"/>
  <c r="P315" i="11" s="1"/>
  <c r="AY315" i="11"/>
  <c r="AW317" i="11"/>
  <c r="P317" i="11" s="1"/>
  <c r="AY317" i="11"/>
  <c r="AZ317" i="11"/>
  <c r="S317" i="11" s="1"/>
  <c r="AW318" i="11"/>
  <c r="P318" i="11" s="1"/>
  <c r="AY318" i="11"/>
  <c r="AZ318" i="11"/>
  <c r="S318" i="11" s="1"/>
  <c r="AR317" i="11"/>
  <c r="K317" i="11" s="1"/>
  <c r="AS317" i="11"/>
  <c r="L317" i="11" s="1"/>
  <c r="AS318" i="11"/>
  <c r="L318" i="11" s="1"/>
  <c r="AR319" i="11"/>
  <c r="K319" i="11" s="1"/>
  <c r="AS319" i="11"/>
  <c r="L319" i="11" s="1"/>
  <c r="AZ319" i="11"/>
  <c r="S319" i="11" s="1"/>
  <c r="AW319" i="11"/>
  <c r="P319" i="11" s="1"/>
  <c r="AY319" i="11"/>
  <c r="AR320" i="11"/>
  <c r="K320" i="11" s="1"/>
  <c r="AS320" i="11"/>
  <c r="L320" i="11" s="1"/>
  <c r="AZ320" i="11"/>
  <c r="S320" i="11" s="1"/>
  <c r="AW320" i="11"/>
  <c r="P320" i="11" s="1"/>
  <c r="AY320" i="11"/>
  <c r="AR321" i="11"/>
  <c r="K321" i="11" s="1"/>
  <c r="AS321" i="11"/>
  <c r="L321" i="11" s="1"/>
  <c r="AZ321" i="11"/>
  <c r="S321" i="11" s="1"/>
  <c r="AW321" i="11"/>
  <c r="P321" i="11" s="1"/>
  <c r="AY321" i="11"/>
  <c r="AR322" i="11"/>
  <c r="K322" i="11" s="1"/>
  <c r="AS322" i="11"/>
  <c r="L322" i="11" s="1"/>
  <c r="AZ322" i="11"/>
  <c r="S322" i="11" s="1"/>
  <c r="AW322" i="11"/>
  <c r="P322" i="11" s="1"/>
  <c r="AY322" i="11"/>
  <c r="AR323" i="11"/>
  <c r="K323" i="11" s="1"/>
  <c r="AS323" i="11"/>
  <c r="L323" i="11" s="1"/>
  <c r="AZ323" i="11"/>
  <c r="S323" i="11" s="1"/>
  <c r="AW323" i="11"/>
  <c r="P323" i="11" s="1"/>
  <c r="AY323" i="11"/>
  <c r="AR324" i="11"/>
  <c r="K324" i="11" s="1"/>
  <c r="AS324" i="11"/>
  <c r="L324" i="11" s="1"/>
  <c r="AZ324" i="11"/>
  <c r="S324" i="11" s="1"/>
  <c r="AW324" i="11"/>
  <c r="P324" i="11" s="1"/>
  <c r="AY324" i="11"/>
  <c r="AR325" i="11"/>
  <c r="AS325" i="11"/>
  <c r="L325" i="11" s="1"/>
  <c r="AZ325" i="11"/>
  <c r="S325" i="11" s="1"/>
  <c r="AW325" i="11"/>
  <c r="P325" i="11" s="1"/>
  <c r="AY325" i="11"/>
  <c r="AR326" i="11"/>
  <c r="K326" i="11" s="1"/>
  <c r="AS326" i="11"/>
  <c r="L326" i="11" s="1"/>
  <c r="AZ326" i="11"/>
  <c r="S326" i="11" s="1"/>
  <c r="AW326" i="11"/>
  <c r="P326" i="11" s="1"/>
  <c r="AY326" i="11"/>
  <c r="AR327" i="11"/>
  <c r="K327" i="11" s="1"/>
  <c r="AS327" i="11"/>
  <c r="L327" i="11" s="1"/>
  <c r="AZ327" i="11"/>
  <c r="S327" i="11" s="1"/>
  <c r="AW327" i="11"/>
  <c r="P327" i="11" s="1"/>
  <c r="AY327" i="11"/>
  <c r="AR328" i="11"/>
  <c r="K328" i="11" s="1"/>
  <c r="AS328" i="11"/>
  <c r="L328" i="11" s="1"/>
  <c r="AZ328" i="11"/>
  <c r="S328" i="11" s="1"/>
  <c r="AW328" i="11"/>
  <c r="P328" i="11" s="1"/>
  <c r="AY328" i="11"/>
  <c r="AR329" i="11"/>
  <c r="K329" i="11" s="1"/>
  <c r="AS329" i="11"/>
  <c r="L329" i="11" s="1"/>
  <c r="AZ329" i="11"/>
  <c r="S329" i="11" s="1"/>
  <c r="AW329" i="11"/>
  <c r="P329" i="11" s="1"/>
  <c r="AY329" i="11"/>
  <c r="AR330" i="11"/>
  <c r="K330" i="11" s="1"/>
  <c r="AZ330" i="11"/>
  <c r="S330" i="11" s="1"/>
  <c r="AW330" i="11"/>
  <c r="P330" i="11" s="1"/>
  <c r="AY330" i="11"/>
  <c r="AR331" i="11"/>
  <c r="K331" i="11" s="1"/>
  <c r="AS331" i="11"/>
  <c r="L331" i="11" s="1"/>
  <c r="AZ331" i="11"/>
  <c r="S331" i="11" s="1"/>
  <c r="AW331" i="11"/>
  <c r="P331" i="11" s="1"/>
  <c r="AY331" i="11"/>
  <c r="AR332" i="11"/>
  <c r="K332" i="11" s="1"/>
  <c r="AS332" i="11"/>
  <c r="L332" i="11" s="1"/>
  <c r="AZ332" i="11"/>
  <c r="S332" i="11" s="1"/>
  <c r="AW332" i="11"/>
  <c r="P332" i="11" s="1"/>
  <c r="AY332" i="11"/>
  <c r="AR333" i="11"/>
  <c r="K333" i="11" s="1"/>
  <c r="AS333" i="11"/>
  <c r="L333" i="11" s="1"/>
  <c r="AZ333" i="11"/>
  <c r="S333" i="11" s="1"/>
  <c r="AW333" i="11"/>
  <c r="P333" i="11" s="1"/>
  <c r="AY333" i="11"/>
  <c r="AR334" i="11"/>
  <c r="K334" i="11" s="1"/>
  <c r="AZ334" i="11"/>
  <c r="S334" i="11" s="1"/>
  <c r="AW334" i="11"/>
  <c r="P334" i="11" s="1"/>
  <c r="AY334" i="11"/>
  <c r="AR335" i="11"/>
  <c r="K335" i="11" s="1"/>
  <c r="AS335" i="11"/>
  <c r="L335" i="11" s="1"/>
  <c r="AZ335" i="11"/>
  <c r="S335" i="11" s="1"/>
  <c r="AW335" i="11"/>
  <c r="P335" i="11" s="1"/>
  <c r="AY335" i="11"/>
  <c r="AR336" i="11"/>
  <c r="K336" i="11" s="1"/>
  <c r="AZ336" i="11"/>
  <c r="S336" i="11" s="1"/>
  <c r="AW336" i="11"/>
  <c r="P336" i="11" s="1"/>
  <c r="AY336" i="11"/>
  <c r="AR337" i="11"/>
  <c r="K337" i="11" s="1"/>
  <c r="AZ337" i="11"/>
  <c r="S337" i="11" s="1"/>
  <c r="AW337" i="11"/>
  <c r="P337" i="11" s="1"/>
  <c r="AY337" i="11"/>
  <c r="AR338" i="11"/>
  <c r="K338" i="11" s="1"/>
  <c r="AZ338" i="11"/>
  <c r="S338" i="11" s="1"/>
  <c r="AW338" i="11"/>
  <c r="P338" i="11" s="1"/>
  <c r="AY338" i="11"/>
  <c r="AR339" i="11"/>
  <c r="K339" i="11" s="1"/>
  <c r="AZ339" i="11"/>
  <c r="S339" i="11" s="1"/>
  <c r="AW339" i="11"/>
  <c r="P339" i="11" s="1"/>
  <c r="AY339" i="11"/>
  <c r="AR345" i="11"/>
  <c r="K345" i="11" s="1"/>
  <c r="AZ345" i="11"/>
  <c r="S345" i="11" s="1"/>
  <c r="AY345" i="11"/>
  <c r="AR347" i="11"/>
  <c r="K347" i="11" s="1"/>
  <c r="AS347" i="11"/>
  <c r="L347" i="11" s="1"/>
  <c r="AZ347" i="11"/>
  <c r="S347" i="11" s="1"/>
  <c r="AW347" i="11"/>
  <c r="P347" i="11" s="1"/>
  <c r="AY347" i="11"/>
  <c r="AR350" i="11"/>
  <c r="K350" i="11" s="1"/>
  <c r="AS350" i="11"/>
  <c r="AZ350" i="11"/>
  <c r="S350" i="11" s="1"/>
  <c r="AY350" i="11"/>
  <c r="AR352" i="11"/>
  <c r="K352" i="11" s="1"/>
  <c r="AZ352" i="11"/>
  <c r="S352" i="11" s="1"/>
  <c r="AY352" i="11"/>
  <c r="AR353" i="11"/>
  <c r="K353" i="11" s="1"/>
  <c r="AS353" i="11"/>
  <c r="L353" i="11" s="1"/>
  <c r="AZ353" i="11"/>
  <c r="S353" i="11" s="1"/>
  <c r="AY353" i="11"/>
  <c r="AR354" i="11"/>
  <c r="K354" i="11" s="1"/>
  <c r="AS354" i="11"/>
  <c r="L354" i="11" s="1"/>
  <c r="AZ354" i="11"/>
  <c r="S354" i="11" s="1"/>
  <c r="AW354" i="11"/>
  <c r="P354" i="11" s="1"/>
  <c r="AY354" i="11"/>
  <c r="AR355" i="11"/>
  <c r="K355" i="11" s="1"/>
  <c r="AS355" i="11"/>
  <c r="L355" i="11" s="1"/>
  <c r="AZ355" i="11"/>
  <c r="S355" i="11" s="1"/>
  <c r="AY355" i="11"/>
  <c r="AR356" i="11"/>
  <c r="K356" i="11" s="1"/>
  <c r="AS356" i="11"/>
  <c r="L356" i="11" s="1"/>
  <c r="AZ356" i="11"/>
  <c r="S356" i="11" s="1"/>
  <c r="AY356" i="11"/>
  <c r="AR357" i="11"/>
  <c r="K357" i="11" s="1"/>
  <c r="AS357" i="11"/>
  <c r="L357" i="11" s="1"/>
  <c r="AZ357" i="11"/>
  <c r="S357" i="11" s="1"/>
  <c r="AY357" i="11"/>
  <c r="AR358" i="11"/>
  <c r="K358" i="11" s="1"/>
  <c r="AS358" i="11"/>
  <c r="L358" i="11" s="1"/>
  <c r="AZ358" i="11"/>
  <c r="S358" i="11" s="1"/>
  <c r="AY358" i="11"/>
  <c r="AR359" i="11"/>
  <c r="K359" i="11" s="1"/>
  <c r="AS359" i="11"/>
  <c r="L359" i="11" s="1"/>
  <c r="AZ359" i="11"/>
  <c r="S359" i="11" s="1"/>
  <c r="AW359" i="11"/>
  <c r="P359" i="11" s="1"/>
  <c r="AY359" i="11"/>
  <c r="AR360" i="11"/>
  <c r="AS360" i="11"/>
  <c r="L360" i="11" s="1"/>
  <c r="AZ360" i="11"/>
  <c r="S360" i="11" s="1"/>
  <c r="AW360" i="11"/>
  <c r="P360" i="11" s="1"/>
  <c r="AY360" i="11"/>
  <c r="AR361" i="11"/>
  <c r="K361" i="11" s="1"/>
  <c r="AS361" i="11"/>
  <c r="L361" i="11" s="1"/>
  <c r="AZ361" i="11"/>
  <c r="S361" i="11" s="1"/>
  <c r="AW361" i="11"/>
  <c r="P361" i="11" s="1"/>
  <c r="AY361" i="11"/>
  <c r="AR362" i="11"/>
  <c r="K362" i="11" s="1"/>
  <c r="AS362" i="11"/>
  <c r="L362" i="11" s="1"/>
  <c r="AZ362" i="11"/>
  <c r="S362" i="11" s="1"/>
  <c r="AY362" i="11"/>
  <c r="AR363" i="11"/>
  <c r="K363" i="11" s="1"/>
  <c r="AZ363" i="11"/>
  <c r="S363" i="11" s="1"/>
  <c r="AW363" i="11"/>
  <c r="P363" i="11" s="1"/>
  <c r="AY363" i="11"/>
  <c r="AR364" i="11"/>
  <c r="K364" i="11" s="1"/>
  <c r="AS364" i="11"/>
  <c r="L364" i="11" s="1"/>
  <c r="AZ364" i="11"/>
  <c r="S364" i="11" s="1"/>
  <c r="AW364" i="11"/>
  <c r="P364" i="11" s="1"/>
  <c r="AY364" i="11"/>
  <c r="AR365" i="11"/>
  <c r="K365" i="11" s="1"/>
  <c r="AS365" i="11"/>
  <c r="L365" i="11" s="1"/>
  <c r="AZ365" i="11"/>
  <c r="S365" i="11" s="1"/>
  <c r="AY365" i="11"/>
  <c r="AR366" i="11"/>
  <c r="K366" i="11" s="1"/>
  <c r="AS366" i="11"/>
  <c r="L366" i="11" s="1"/>
  <c r="AZ366" i="11"/>
  <c r="S366" i="11" s="1"/>
  <c r="AY366" i="11"/>
  <c r="AR367" i="11"/>
  <c r="K367" i="11" s="1"/>
  <c r="AS367" i="11"/>
  <c r="L367" i="11" s="1"/>
  <c r="AZ367" i="11"/>
  <c r="S367" i="11" s="1"/>
  <c r="AY367" i="11"/>
  <c r="AR368" i="11"/>
  <c r="K368" i="11" s="1"/>
  <c r="AS368" i="11"/>
  <c r="L368" i="11" s="1"/>
  <c r="AZ368" i="11"/>
  <c r="S368" i="11" s="1"/>
  <c r="AY368" i="11"/>
  <c r="AR369" i="11"/>
  <c r="K369" i="11" s="1"/>
  <c r="AS369" i="11"/>
  <c r="L369" i="11" s="1"/>
  <c r="AZ369" i="11"/>
  <c r="S369" i="11" s="1"/>
  <c r="AY369" i="11"/>
  <c r="AR370" i="11"/>
  <c r="K370" i="11" s="1"/>
  <c r="AS370" i="11"/>
  <c r="L370" i="11" s="1"/>
  <c r="AZ370" i="11"/>
  <c r="S370" i="11" s="1"/>
  <c r="AY370" i="11"/>
  <c r="AR371" i="11"/>
  <c r="K371" i="11" s="1"/>
  <c r="AS371" i="11"/>
  <c r="L371" i="11" s="1"/>
  <c r="AZ371" i="11"/>
  <c r="S371" i="11" s="1"/>
  <c r="AR372" i="11"/>
  <c r="K372" i="11" s="1"/>
  <c r="AS372" i="11"/>
  <c r="L372" i="11" s="1"/>
  <c r="AZ372" i="11"/>
  <c r="S372" i="11" s="1"/>
  <c r="AY372" i="11"/>
  <c r="AR373" i="11"/>
  <c r="K373" i="11" s="1"/>
  <c r="AS373" i="11"/>
  <c r="L373" i="11" s="1"/>
  <c r="AZ373" i="11"/>
  <c r="S373" i="11" s="1"/>
  <c r="AY373" i="11"/>
  <c r="AR374" i="11"/>
  <c r="K374" i="11" s="1"/>
  <c r="AZ374" i="11"/>
  <c r="S374" i="11" s="1"/>
  <c r="AY374" i="11"/>
  <c r="AR375" i="11"/>
  <c r="K375" i="11" s="1"/>
  <c r="AS375" i="11"/>
  <c r="L375" i="11" s="1"/>
  <c r="AZ375" i="11"/>
  <c r="S375" i="11" s="1"/>
  <c r="AY375" i="11"/>
  <c r="AR376" i="11"/>
  <c r="K376" i="11" s="1"/>
  <c r="AS376" i="11"/>
  <c r="L376" i="11" s="1"/>
  <c r="AZ376" i="11"/>
  <c r="S376" i="11" s="1"/>
  <c r="AY376" i="11"/>
  <c r="AR377" i="11"/>
  <c r="K377" i="11" s="1"/>
  <c r="AS377" i="11"/>
  <c r="L377" i="11" s="1"/>
  <c r="AZ377" i="11"/>
  <c r="S377" i="11" s="1"/>
  <c r="AY377" i="11"/>
  <c r="AR378" i="11"/>
  <c r="K378" i="11" s="1"/>
  <c r="AS378" i="11"/>
  <c r="L378" i="11" s="1"/>
  <c r="AZ378" i="11"/>
  <c r="S378" i="11" s="1"/>
  <c r="AY378" i="11"/>
  <c r="AR379" i="11"/>
  <c r="K379" i="11" s="1"/>
  <c r="AZ379" i="11"/>
  <c r="S379" i="11" s="1"/>
  <c r="AY379" i="11"/>
  <c r="AR380" i="11"/>
  <c r="K380" i="11" s="1"/>
  <c r="AZ380" i="11"/>
  <c r="S380" i="11" s="1"/>
  <c r="AY380" i="11"/>
  <c r="AR381" i="11"/>
  <c r="K381" i="11" s="1"/>
  <c r="AZ381" i="11"/>
  <c r="S381" i="11" s="1"/>
  <c r="AY381" i="11"/>
  <c r="AR385" i="11"/>
  <c r="K385" i="11" s="1"/>
  <c r="AZ385" i="11"/>
  <c r="S385" i="11" s="1"/>
  <c r="AY385" i="11"/>
  <c r="AR387" i="11"/>
  <c r="K387" i="11" s="1"/>
  <c r="AZ387" i="11"/>
  <c r="S387" i="11" s="1"/>
  <c r="AW387" i="11"/>
  <c r="P387" i="11" s="1"/>
  <c r="AY387" i="11"/>
  <c r="AR388" i="11"/>
  <c r="K388" i="11" s="1"/>
  <c r="AZ388" i="11"/>
  <c r="S388" i="11" s="1"/>
  <c r="AY388" i="11"/>
  <c r="AR389" i="11"/>
  <c r="K389" i="11" s="1"/>
  <c r="AZ389" i="11"/>
  <c r="S389" i="11" s="1"/>
  <c r="AY389" i="11"/>
  <c r="AR31" i="11"/>
  <c r="K31" i="11" s="1"/>
  <c r="AZ31" i="11"/>
  <c r="S31" i="11" s="1"/>
  <c r="AW31" i="11"/>
  <c r="P31" i="11" s="1"/>
  <c r="AY31" i="11"/>
  <c r="AR37" i="11"/>
  <c r="K37" i="11" s="1"/>
  <c r="AZ37" i="11"/>
  <c r="S37" i="11" s="1"/>
  <c r="AW37" i="11"/>
  <c r="P37" i="11" s="1"/>
  <c r="AY37" i="11"/>
  <c r="AS39" i="11"/>
  <c r="L39" i="11" s="1"/>
  <c r="AZ39" i="11"/>
  <c r="S39" i="11" s="1"/>
  <c r="AW39" i="11"/>
  <c r="P39" i="11" s="1"/>
  <c r="AY39" i="11"/>
  <c r="AR40" i="11"/>
  <c r="K40" i="11" s="1"/>
  <c r="AS40" i="11"/>
  <c r="L40" i="11" s="1"/>
  <c r="AZ40" i="11"/>
  <c r="S40" i="11" s="1"/>
  <c r="AW40" i="11"/>
  <c r="P40" i="11" s="1"/>
  <c r="AY40" i="11"/>
  <c r="AR41" i="11"/>
  <c r="K41" i="11" s="1"/>
  <c r="AS41" i="11"/>
  <c r="L41" i="11" s="1"/>
  <c r="AZ41" i="11"/>
  <c r="S41" i="11" s="1"/>
  <c r="AW41" i="11"/>
  <c r="P41" i="11" s="1"/>
  <c r="AY41" i="11"/>
  <c r="AR42" i="11"/>
  <c r="K42" i="11" s="1"/>
  <c r="AZ42" i="11"/>
  <c r="S42" i="11" s="1"/>
  <c r="AY42" i="11"/>
  <c r="AR44" i="11"/>
  <c r="AR43" i="11" s="1"/>
  <c r="B20" i="17" s="1"/>
  <c r="B20" i="22" s="1"/>
  <c r="AZ44" i="11"/>
  <c r="S44" i="11" s="1"/>
  <c r="S43" i="11" s="1"/>
  <c r="AW44" i="11"/>
  <c r="P44" i="11" s="1"/>
  <c r="AY44" i="11"/>
  <c r="Q43" i="11" s="1"/>
  <c r="AR46" i="11"/>
  <c r="AR45" i="11" s="1"/>
  <c r="B21" i="17" s="1"/>
  <c r="B21" i="22" s="1"/>
  <c r="AZ46" i="11"/>
  <c r="S46" i="11" s="1"/>
  <c r="S45" i="11" s="1"/>
  <c r="AW46" i="11"/>
  <c r="P46" i="11" s="1"/>
  <c r="AY46" i="11"/>
  <c r="Q45" i="11" s="1"/>
  <c r="AR48" i="11"/>
  <c r="K48" i="11" s="1"/>
  <c r="AS48" i="11"/>
  <c r="L48" i="11" s="1"/>
  <c r="AZ48" i="11"/>
  <c r="S48" i="11" s="1"/>
  <c r="AW48" i="11"/>
  <c r="P48" i="11" s="1"/>
  <c r="AY48" i="11"/>
  <c r="AR49" i="11"/>
  <c r="AS49" i="11"/>
  <c r="L49" i="11" s="1"/>
  <c r="AZ49" i="11"/>
  <c r="S49" i="11" s="1"/>
  <c r="AY49" i="11"/>
  <c r="AR51" i="11"/>
  <c r="AR50" i="11" s="1"/>
  <c r="B22" i="17" s="1"/>
  <c r="B22" i="22" s="1"/>
  <c r="AZ51" i="11"/>
  <c r="AZ50" i="11" s="1"/>
  <c r="AY51" i="11"/>
  <c r="Q50" i="11" s="1"/>
  <c r="AR53" i="11"/>
  <c r="K53" i="11" s="1"/>
  <c r="AZ53" i="11"/>
  <c r="S53" i="11" s="1"/>
  <c r="AW53" i="11"/>
  <c r="P53" i="11" s="1"/>
  <c r="AY53" i="11"/>
  <c r="AR55" i="11"/>
  <c r="AS55" i="11"/>
  <c r="L55" i="11" s="1"/>
  <c r="AZ55" i="11"/>
  <c r="S55" i="11" s="1"/>
  <c r="AW55" i="11"/>
  <c r="P55" i="11" s="1"/>
  <c r="AY55" i="11"/>
  <c r="AZ57" i="11"/>
  <c r="AZ56" i="11" s="1"/>
  <c r="AW57" i="11"/>
  <c r="AY57" i="11"/>
  <c r="Q56" i="11" s="1"/>
  <c r="AZ60" i="11"/>
  <c r="S60" i="11" s="1"/>
  <c r="AY60" i="11"/>
  <c r="AR62" i="11"/>
  <c r="K62" i="11" s="1"/>
  <c r="AS62" i="11"/>
  <c r="L62" i="11" s="1"/>
  <c r="AZ62" i="11"/>
  <c r="S62" i="11" s="1"/>
  <c r="AW62" i="11"/>
  <c r="P62" i="11" s="1"/>
  <c r="AY62" i="11"/>
  <c r="AR63" i="11"/>
  <c r="K63" i="11" s="1"/>
  <c r="AS63" i="11"/>
  <c r="L63" i="11" s="1"/>
  <c r="AZ63" i="11"/>
  <c r="S63" i="11" s="1"/>
  <c r="AW63" i="11"/>
  <c r="P63" i="11" s="1"/>
  <c r="AY63" i="11"/>
  <c r="AR64" i="11"/>
  <c r="AZ64" i="11"/>
  <c r="S64" i="11" s="1"/>
  <c r="AW64" i="11"/>
  <c r="P64" i="11" s="1"/>
  <c r="AY64" i="11"/>
  <c r="AR67" i="11"/>
  <c r="K67" i="11" s="1"/>
  <c r="AS67" i="11"/>
  <c r="L67" i="11" s="1"/>
  <c r="AZ67" i="11"/>
  <c r="S67" i="11" s="1"/>
  <c r="AW67" i="11"/>
  <c r="P67" i="11" s="1"/>
  <c r="AY67" i="11"/>
  <c r="AR68" i="11"/>
  <c r="K68" i="11" s="1"/>
  <c r="AS68" i="11"/>
  <c r="L68" i="11" s="1"/>
  <c r="AZ68" i="11"/>
  <c r="S68" i="11" s="1"/>
  <c r="AW68" i="11"/>
  <c r="P68" i="11" s="1"/>
  <c r="AY68" i="11"/>
  <c r="AR69" i="11"/>
  <c r="K69" i="11" s="1"/>
  <c r="AZ69" i="11"/>
  <c r="S69" i="11" s="1"/>
  <c r="AW69" i="11"/>
  <c r="P69" i="11" s="1"/>
  <c r="AY69" i="11"/>
  <c r="AS70" i="11"/>
  <c r="L70" i="11" s="1"/>
  <c r="AZ70" i="11"/>
  <c r="S70" i="11" s="1"/>
  <c r="AW70" i="11"/>
  <c r="P70" i="11" s="1"/>
  <c r="AY70" i="11"/>
  <c r="AR71" i="11"/>
  <c r="K71" i="11" s="1"/>
  <c r="AS71" i="11"/>
  <c r="L71" i="11" s="1"/>
  <c r="AZ71" i="11"/>
  <c r="S71" i="11" s="1"/>
  <c r="AW71" i="11"/>
  <c r="P71" i="11" s="1"/>
  <c r="AY71" i="11"/>
  <c r="AS72" i="11"/>
  <c r="L72" i="11" s="1"/>
  <c r="AZ72" i="11"/>
  <c r="S72" i="11" s="1"/>
  <c r="AW72" i="11"/>
  <c r="P72" i="11" s="1"/>
  <c r="AY72" i="11"/>
  <c r="AR73" i="11"/>
  <c r="K73" i="11" s="1"/>
  <c r="AS73" i="11"/>
  <c r="L73" i="11" s="1"/>
  <c r="AZ73" i="11"/>
  <c r="S73" i="11" s="1"/>
  <c r="AW73" i="11"/>
  <c r="P73" i="11" s="1"/>
  <c r="AY73" i="11"/>
  <c r="AR76" i="11"/>
  <c r="K76" i="11" s="1"/>
  <c r="AS76" i="11"/>
  <c r="L76" i="11" s="1"/>
  <c r="AZ76" i="11"/>
  <c r="S76" i="11" s="1"/>
  <c r="AY76" i="11"/>
  <c r="AZ87" i="11"/>
  <c r="S87" i="11" s="1"/>
  <c r="S86" i="11" s="1"/>
  <c r="AY87" i="11"/>
  <c r="Q86" i="11" s="1"/>
  <c r="AR89" i="11"/>
  <c r="AR88" i="11" s="1"/>
  <c r="B28" i="17" s="1"/>
  <c r="B28" i="22" s="1"/>
  <c r="AZ88" i="11"/>
  <c r="R88" i="11"/>
  <c r="AY97" i="11"/>
  <c r="BW198" i="11"/>
  <c r="BW186" i="11"/>
  <c r="BW171" i="11"/>
  <c r="BW162" i="11"/>
  <c r="BW144" i="11"/>
  <c r="BW157" i="11"/>
  <c r="AQ157" i="11"/>
  <c r="J157" i="11" s="1"/>
  <c r="AN157" i="11"/>
  <c r="AB157" i="11"/>
  <c r="AA157" i="11"/>
  <c r="Y157" i="11"/>
  <c r="X157" i="11"/>
  <c r="W157" i="11"/>
  <c r="V157" i="11"/>
  <c r="U157" i="11"/>
  <c r="T157" i="11"/>
  <c r="BW165" i="11"/>
  <c r="BW164" i="11"/>
  <c r="BW150" i="11"/>
  <c r="BW152" i="11"/>
  <c r="BC196" i="11"/>
  <c r="V196" i="11" s="1"/>
  <c r="BC203" i="11"/>
  <c r="V203" i="11" s="1"/>
  <c r="BW136" i="11"/>
  <c r="BW195" i="11"/>
  <c r="BW200" i="11"/>
  <c r="BW178" i="11"/>
  <c r="BW177" i="11"/>
  <c r="BW193" i="11"/>
  <c r="AQ193" i="11"/>
  <c r="J193" i="11" s="1"/>
  <c r="AN193" i="11"/>
  <c r="AB193" i="11"/>
  <c r="AA193" i="11"/>
  <c r="Y193" i="11"/>
  <c r="X193" i="11"/>
  <c r="W193" i="11"/>
  <c r="V193" i="11"/>
  <c r="U193" i="11"/>
  <c r="T193" i="11"/>
  <c r="BW192" i="11"/>
  <c r="AQ192" i="11"/>
  <c r="J192" i="11" s="1"/>
  <c r="AN192" i="11"/>
  <c r="AB192" i="11"/>
  <c r="AA192" i="11"/>
  <c r="Y192" i="11"/>
  <c r="X192" i="11"/>
  <c r="W192" i="11"/>
  <c r="V192" i="11"/>
  <c r="U192" i="11"/>
  <c r="T192" i="11"/>
  <c r="BW143" i="11"/>
  <c r="BW159" i="11"/>
  <c r="BW142" i="11"/>
  <c r="BW201" i="11"/>
  <c r="BW175" i="11"/>
  <c r="BW315" i="11"/>
  <c r="BW206" i="11"/>
  <c r="BW147" i="11"/>
  <c r="BW289" i="11"/>
  <c r="BW317" i="11"/>
  <c r="BW374" i="11"/>
  <c r="BW337" i="11"/>
  <c r="BW332" i="11"/>
  <c r="BW333" i="11"/>
  <c r="BW334" i="11"/>
  <c r="BW339" i="11"/>
  <c r="BW338" i="11"/>
  <c r="BW336" i="11"/>
  <c r="BW324" i="11"/>
  <c r="BW331" i="11"/>
  <c r="BW288" i="11"/>
  <c r="BW297" i="11"/>
  <c r="BW302" i="11"/>
  <c r="BW358" i="11"/>
  <c r="BW356" i="11"/>
  <c r="BW296" i="11"/>
  <c r="BW366" i="11"/>
  <c r="BW134" i="11"/>
  <c r="BW287" i="11"/>
  <c r="BW435" i="11"/>
  <c r="BW468" i="11"/>
  <c r="BW46" i="11"/>
  <c r="BW45" i="11" s="1"/>
  <c r="H21" i="22" s="1"/>
  <c r="BW69" i="11"/>
  <c r="BW60" i="11"/>
  <c r="BV56" i="11"/>
  <c r="I18" i="22" s="1"/>
  <c r="BV52" i="11"/>
  <c r="I17" i="22" s="1"/>
  <c r="BV50" i="11"/>
  <c r="I22" i="22" s="1"/>
  <c r="BW327" i="11"/>
  <c r="BW321" i="11"/>
  <c r="BW402" i="11"/>
  <c r="BW400" i="11"/>
  <c r="BV263" i="11"/>
  <c r="I32" i="22" s="1"/>
  <c r="I29" i="22"/>
  <c r="AS87" i="11"/>
  <c r="BC87" i="11" s="1"/>
  <c r="BW306" i="11"/>
  <c r="BW113" i="11"/>
  <c r="BW220" i="11"/>
  <c r="AW220" i="11"/>
  <c r="P220" i="11" s="1"/>
  <c r="BC220" i="11"/>
  <c r="V220" i="11" s="1"/>
  <c r="AQ220" i="11"/>
  <c r="J220" i="11" s="1"/>
  <c r="BC210" i="11"/>
  <c r="V210" i="11" s="1"/>
  <c r="AW210" i="11"/>
  <c r="P210" i="11" s="1"/>
  <c r="BW219" i="11"/>
  <c r="BH219" i="11"/>
  <c r="BC219" i="11"/>
  <c r="AS219" i="11" s="1"/>
  <c r="L219" i="11" s="1"/>
  <c r="AQ219" i="11"/>
  <c r="J219" i="11" s="1"/>
  <c r="BH306" i="11"/>
  <c r="BC345" i="11"/>
  <c r="V345" i="11" s="1"/>
  <c r="BH475" i="11"/>
  <c r="BW273" i="11"/>
  <c r="AQ273" i="11"/>
  <c r="J273" i="11" s="1"/>
  <c r="AN273" i="11"/>
  <c r="AB273" i="11"/>
  <c r="AA273" i="11"/>
  <c r="Y273" i="11"/>
  <c r="X273" i="11"/>
  <c r="W273" i="11"/>
  <c r="V273" i="11"/>
  <c r="U273" i="11"/>
  <c r="T273" i="11"/>
  <c r="AW218" i="11"/>
  <c r="P218" i="11" s="1"/>
  <c r="AW217" i="11"/>
  <c r="P217" i="11" s="1"/>
  <c r="BH216" i="11"/>
  <c r="BH215" i="11"/>
  <c r="AA214" i="11"/>
  <c r="BW63" i="11"/>
  <c r="BW64" i="11"/>
  <c r="BW67" i="11"/>
  <c r="BW68" i="11"/>
  <c r="BW71" i="11"/>
  <c r="BW72" i="11"/>
  <c r="BW73" i="11"/>
  <c r="BW76" i="11"/>
  <c r="BU59" i="11"/>
  <c r="BO59" i="11"/>
  <c r="BK59" i="11"/>
  <c r="BI59" i="11"/>
  <c r="BF73" i="11"/>
  <c r="Y73" i="11" s="1"/>
  <c r="BE59" i="11"/>
  <c r="BD60" i="11"/>
  <c r="W60" i="11" s="1"/>
  <c r="BD69" i="11"/>
  <c r="W69" i="11" s="1"/>
  <c r="BC60" i="11"/>
  <c r="AT60" i="11" s="1"/>
  <c r="M60" i="11" s="1"/>
  <c r="BC64" i="11"/>
  <c r="AT64" i="11" s="1"/>
  <c r="M64" i="11" s="1"/>
  <c r="BC69" i="11"/>
  <c r="V69" i="11" s="1"/>
  <c r="BB60" i="11"/>
  <c r="AR60" i="11" s="1"/>
  <c r="K60" i="11" s="1"/>
  <c r="BB70" i="11"/>
  <c r="AR70" i="11" s="1"/>
  <c r="K70" i="11" s="1"/>
  <c r="BB72" i="11"/>
  <c r="AR72" i="11" s="1"/>
  <c r="K72" i="11" s="1"/>
  <c r="BA69" i="11"/>
  <c r="BA59" i="11" s="1"/>
  <c r="AQ60" i="11"/>
  <c r="J60" i="11" s="1"/>
  <c r="AQ62" i="11"/>
  <c r="J62" i="11" s="1"/>
  <c r="AQ63" i="11"/>
  <c r="J63" i="11" s="1"/>
  <c r="AQ64" i="11"/>
  <c r="J64" i="11" s="1"/>
  <c r="AQ67" i="11"/>
  <c r="J67" i="11" s="1"/>
  <c r="AQ68" i="11"/>
  <c r="J68" i="11" s="1"/>
  <c r="AQ70" i="11"/>
  <c r="J70" i="11" s="1"/>
  <c r="AQ71" i="11"/>
  <c r="J71" i="11" s="1"/>
  <c r="AQ72" i="11"/>
  <c r="J72" i="11" s="1"/>
  <c r="AQ73" i="11"/>
  <c r="J73" i="11" s="1"/>
  <c r="AQ76" i="11"/>
  <c r="J76" i="11" s="1"/>
  <c r="AN60" i="11"/>
  <c r="AN62" i="11"/>
  <c r="AN63" i="11"/>
  <c r="AN64" i="11"/>
  <c r="AN67" i="11"/>
  <c r="AN68" i="11"/>
  <c r="AN69" i="11"/>
  <c r="AN70" i="11"/>
  <c r="AN71" i="11"/>
  <c r="AN72" i="11"/>
  <c r="AN73" i="11"/>
  <c r="AN76" i="11"/>
  <c r="AB60" i="11"/>
  <c r="AB62" i="11"/>
  <c r="AB63" i="11"/>
  <c r="AB64" i="11"/>
  <c r="AB67" i="11"/>
  <c r="AB68" i="11"/>
  <c r="AB69" i="11"/>
  <c r="AB70" i="11"/>
  <c r="AB71" i="11"/>
  <c r="AB72" i="11"/>
  <c r="AB73" i="11"/>
  <c r="AB76" i="11"/>
  <c r="AA62" i="11"/>
  <c r="AA63" i="11"/>
  <c r="AA64" i="11"/>
  <c r="AA67" i="11"/>
  <c r="AA68" i="11"/>
  <c r="AA69" i="11"/>
  <c r="AA70" i="11"/>
  <c r="AA71" i="11"/>
  <c r="AA72" i="11"/>
  <c r="AA73" i="11"/>
  <c r="Y60" i="11"/>
  <c r="Y62" i="11"/>
  <c r="Y63" i="11"/>
  <c r="Y64" i="11"/>
  <c r="Y67" i="11"/>
  <c r="Y68" i="11"/>
  <c r="Y69" i="11"/>
  <c r="Y70" i="11"/>
  <c r="Y71" i="11"/>
  <c r="Y72" i="11"/>
  <c r="Y76" i="11"/>
  <c r="X60" i="11"/>
  <c r="X62" i="11"/>
  <c r="X63" i="11"/>
  <c r="X64" i="11"/>
  <c r="X67" i="11"/>
  <c r="X68" i="11"/>
  <c r="X69" i="11"/>
  <c r="X70" i="11"/>
  <c r="X71" i="11"/>
  <c r="X72" i="11"/>
  <c r="X73" i="11"/>
  <c r="X76" i="11"/>
  <c r="W62" i="11"/>
  <c r="W63" i="11"/>
  <c r="W64" i="11"/>
  <c r="W67" i="11"/>
  <c r="W68" i="11"/>
  <c r="W70" i="11"/>
  <c r="W71" i="11"/>
  <c r="W72" i="11"/>
  <c r="W73" i="11"/>
  <c r="W76" i="11"/>
  <c r="V62" i="11"/>
  <c r="V63" i="11"/>
  <c r="V67" i="11"/>
  <c r="V68" i="11"/>
  <c r="V70" i="11"/>
  <c r="V71" i="11"/>
  <c r="V72" i="11"/>
  <c r="V73" i="11"/>
  <c r="V76" i="11"/>
  <c r="U62" i="11"/>
  <c r="U63" i="11"/>
  <c r="U64" i="11"/>
  <c r="U67" i="11"/>
  <c r="U68" i="11"/>
  <c r="U69" i="11"/>
  <c r="U71" i="11"/>
  <c r="U73" i="11"/>
  <c r="U76" i="11"/>
  <c r="T62" i="11"/>
  <c r="T63" i="11"/>
  <c r="T64" i="11"/>
  <c r="T67" i="11"/>
  <c r="T68" i="11"/>
  <c r="T70" i="11"/>
  <c r="T71" i="11"/>
  <c r="T72" i="11"/>
  <c r="T73" i="11"/>
  <c r="AA49" i="11"/>
  <c r="BW53" i="11"/>
  <c r="BW55" i="11"/>
  <c r="BU52" i="11"/>
  <c r="BO52" i="11"/>
  <c r="BK52" i="11"/>
  <c r="BI52" i="11"/>
  <c r="BH52" i="11"/>
  <c r="BF53" i="11"/>
  <c r="BF52" i="11" s="1"/>
  <c r="BE52" i="11"/>
  <c r="BD52" i="11"/>
  <c r="BC53" i="11"/>
  <c r="BC52" i="11" s="1"/>
  <c r="BB52" i="11"/>
  <c r="C17" i="17" s="1"/>
  <c r="C17" i="22" s="1"/>
  <c r="BA52" i="11"/>
  <c r="AQ55" i="11"/>
  <c r="J55" i="11" s="1"/>
  <c r="AQ53" i="11"/>
  <c r="AN53" i="11"/>
  <c r="AN55" i="11"/>
  <c r="AB53" i="11"/>
  <c r="AB55" i="11"/>
  <c r="AA55" i="11"/>
  <c r="AA53" i="11"/>
  <c r="Y55" i="11"/>
  <c r="X53" i="11"/>
  <c r="X55" i="11"/>
  <c r="W53" i="11"/>
  <c r="W55" i="11"/>
  <c r="V55" i="11"/>
  <c r="U55" i="11"/>
  <c r="U53" i="11"/>
  <c r="T55" i="11"/>
  <c r="T53" i="11"/>
  <c r="AQ57" i="11"/>
  <c r="J57" i="11" s="1"/>
  <c r="J56" i="11" s="1"/>
  <c r="BB57" i="11"/>
  <c r="AR57" i="11" s="1"/>
  <c r="K57" i="11" s="1"/>
  <c r="K56" i="11" s="1"/>
  <c r="BC57" i="11"/>
  <c r="AT57" i="11" s="1"/>
  <c r="T57" i="11"/>
  <c r="T56" i="11" s="1"/>
  <c r="W57" i="11"/>
  <c r="W56" i="11" s="1"/>
  <c r="X57" i="11"/>
  <c r="X56" i="11" s="1"/>
  <c r="Y57" i="11"/>
  <c r="Y56" i="11" s="1"/>
  <c r="AA57" i="11"/>
  <c r="AA56" i="11" s="1"/>
  <c r="AB57" i="11"/>
  <c r="AB56" i="11" s="1"/>
  <c r="AE56" i="11"/>
  <c r="AN57" i="11"/>
  <c r="AN56" i="11" s="1"/>
  <c r="BA56" i="11"/>
  <c r="BD56" i="11"/>
  <c r="BE56" i="11"/>
  <c r="BF56" i="11"/>
  <c r="BH56" i="11"/>
  <c r="BI56" i="11"/>
  <c r="BK56" i="11"/>
  <c r="BO56" i="11"/>
  <c r="BU56" i="11"/>
  <c r="BV127" i="11"/>
  <c r="BW127" i="11" s="1"/>
  <c r="BV128" i="11"/>
  <c r="BW128" i="11" s="1"/>
  <c r="BW135" i="11"/>
  <c r="BW307" i="11"/>
  <c r="BW310" i="11"/>
  <c r="BW354" i="11"/>
  <c r="BW357" i="11"/>
  <c r="BW359" i="11"/>
  <c r="BW360" i="11"/>
  <c r="BW362" i="11"/>
  <c r="BW372" i="11"/>
  <c r="BW377" i="11"/>
  <c r="BW378" i="11"/>
  <c r="BV389" i="11"/>
  <c r="BV386" i="11" s="1"/>
  <c r="I33" i="22" s="1"/>
  <c r="BV437" i="11"/>
  <c r="BW437" i="11" s="1"/>
  <c r="BW461" i="11"/>
  <c r="BW474" i="11"/>
  <c r="BW475" i="11"/>
  <c r="BW218" i="11"/>
  <c r="BC218" i="11"/>
  <c r="AS218" i="11" s="1"/>
  <c r="L218" i="11" s="1"/>
  <c r="AQ218" i="11"/>
  <c r="J218" i="11" s="1"/>
  <c r="X218" i="11"/>
  <c r="AN218" i="11"/>
  <c r="AB218" i="11"/>
  <c r="Y218" i="11"/>
  <c r="W218" i="11"/>
  <c r="U218" i="11"/>
  <c r="T218" i="11"/>
  <c r="BW217" i="11"/>
  <c r="BC217" i="11"/>
  <c r="AT217" i="11" s="1"/>
  <c r="M217" i="11" s="1"/>
  <c r="AQ217" i="11"/>
  <c r="J217" i="11" s="1"/>
  <c r="AN217" i="11"/>
  <c r="AB217" i="11"/>
  <c r="Y217" i="11"/>
  <c r="X217" i="11"/>
  <c r="W217" i="11"/>
  <c r="U217" i="11"/>
  <c r="T217" i="11"/>
  <c r="BW216" i="11"/>
  <c r="BC216" i="11"/>
  <c r="AT216" i="11" s="1"/>
  <c r="M216" i="11" s="1"/>
  <c r="AQ216" i="11"/>
  <c r="J216" i="11" s="1"/>
  <c r="W216" i="11"/>
  <c r="AN216" i="11"/>
  <c r="AB216" i="11"/>
  <c r="Y216" i="11"/>
  <c r="X216" i="11"/>
  <c r="U216" i="11"/>
  <c r="T216" i="11"/>
  <c r="BW215" i="11"/>
  <c r="BC215" i="11"/>
  <c r="AT215" i="11" s="1"/>
  <c r="M215" i="11" s="1"/>
  <c r="AQ215" i="11"/>
  <c r="J215" i="11" s="1"/>
  <c r="W215" i="11"/>
  <c r="AN215" i="11"/>
  <c r="AB215" i="11"/>
  <c r="Y215" i="11"/>
  <c r="X215" i="11"/>
  <c r="U215" i="11"/>
  <c r="T215" i="11"/>
  <c r="BC214" i="11"/>
  <c r="AT214" i="11" s="1"/>
  <c r="M214" i="11" s="1"/>
  <c r="BW214" i="11"/>
  <c r="AQ214" i="11"/>
  <c r="J214" i="11" s="1"/>
  <c r="X214" i="11"/>
  <c r="AN214" i="11"/>
  <c r="AB214" i="11"/>
  <c r="Y214" i="11"/>
  <c r="W214" i="11"/>
  <c r="U214" i="11"/>
  <c r="T214" i="11"/>
  <c r="BW213" i="11"/>
  <c r="BC213" i="11"/>
  <c r="AS213" i="11" s="1"/>
  <c r="L213" i="11" s="1"/>
  <c r="AQ213" i="11"/>
  <c r="J213" i="11" s="1"/>
  <c r="U213" i="11"/>
  <c r="AN213" i="11"/>
  <c r="AB213" i="11"/>
  <c r="AA213" i="11"/>
  <c r="Y213" i="11"/>
  <c r="X213" i="11"/>
  <c r="W213" i="11"/>
  <c r="T213" i="11"/>
  <c r="AW205" i="11"/>
  <c r="P205" i="11" s="1"/>
  <c r="BC205" i="11"/>
  <c r="V205" i="11" s="1"/>
  <c r="BW204" i="11"/>
  <c r="BC204" i="11"/>
  <c r="AS204" i="11" s="1"/>
  <c r="L204" i="11" s="1"/>
  <c r="AQ204" i="11"/>
  <c r="J204" i="11" s="1"/>
  <c r="W204" i="11"/>
  <c r="AN204" i="11"/>
  <c r="AB204" i="11"/>
  <c r="AA204" i="11"/>
  <c r="Y204" i="11"/>
  <c r="X204" i="11"/>
  <c r="U204" i="11"/>
  <c r="T204" i="11"/>
  <c r="V212" i="11"/>
  <c r="AQ212" i="11"/>
  <c r="J212" i="11" s="1"/>
  <c r="AN212" i="11"/>
  <c r="AB212" i="11"/>
  <c r="AA212" i="11"/>
  <c r="Y212" i="11"/>
  <c r="X212" i="11"/>
  <c r="W212" i="11"/>
  <c r="U212" i="11"/>
  <c r="T212" i="11"/>
  <c r="X345" i="11"/>
  <c r="BW470" i="11"/>
  <c r="AT470" i="11"/>
  <c r="M470" i="11" s="1"/>
  <c r="AQ470" i="11"/>
  <c r="J470" i="11" s="1"/>
  <c r="W470" i="11"/>
  <c r="AN470" i="11"/>
  <c r="AB470" i="11"/>
  <c r="AA470" i="11"/>
  <c r="Y470" i="11"/>
  <c r="X470" i="11"/>
  <c r="U470" i="11"/>
  <c r="T470" i="11"/>
  <c r="BH304" i="11"/>
  <c r="BC339" i="11"/>
  <c r="AT339" i="11" s="1"/>
  <c r="M339" i="11" s="1"/>
  <c r="AQ339" i="11"/>
  <c r="J339" i="11" s="1"/>
  <c r="Y345" i="11"/>
  <c r="AN339" i="11"/>
  <c r="AB339" i="11"/>
  <c r="AA339" i="11"/>
  <c r="Y339" i="11"/>
  <c r="X339" i="11"/>
  <c r="W339" i="11"/>
  <c r="U339" i="11"/>
  <c r="T339" i="11"/>
  <c r="X475" i="11"/>
  <c r="AQ474" i="11"/>
  <c r="J474" i="11" s="1"/>
  <c r="AN474" i="11"/>
  <c r="AB474" i="11"/>
  <c r="AA474" i="11"/>
  <c r="Y474" i="11"/>
  <c r="X474" i="11"/>
  <c r="W474" i="11"/>
  <c r="V474" i="11"/>
  <c r="U474" i="11"/>
  <c r="T474" i="11"/>
  <c r="BW211" i="11"/>
  <c r="AS211" i="11"/>
  <c r="L211" i="11" s="1"/>
  <c r="AQ211" i="11"/>
  <c r="J211" i="11" s="1"/>
  <c r="AN211" i="11"/>
  <c r="AB211" i="11"/>
  <c r="AA211" i="11"/>
  <c r="Y211" i="11"/>
  <c r="X211" i="11"/>
  <c r="W211" i="11"/>
  <c r="U211" i="11"/>
  <c r="T211" i="11"/>
  <c r="BC338" i="11"/>
  <c r="AT338" i="11" s="1"/>
  <c r="M338" i="11" s="1"/>
  <c r="AQ338" i="11"/>
  <c r="J338" i="11" s="1"/>
  <c r="AN338" i="11"/>
  <c r="AB338" i="11"/>
  <c r="AA338" i="11"/>
  <c r="Y338" i="11"/>
  <c r="X338" i="11"/>
  <c r="W338" i="11"/>
  <c r="U338" i="11"/>
  <c r="T338" i="11"/>
  <c r="BW210" i="11"/>
  <c r="AQ210" i="11"/>
  <c r="J210" i="11" s="1"/>
  <c r="U210" i="11"/>
  <c r="AN210" i="11"/>
  <c r="AB210" i="11"/>
  <c r="Y210" i="11"/>
  <c r="X210" i="11"/>
  <c r="W210" i="11"/>
  <c r="T210" i="11"/>
  <c r="BW209" i="11"/>
  <c r="BC209" i="11"/>
  <c r="AS209" i="11" s="1"/>
  <c r="L209" i="11" s="1"/>
  <c r="AQ209" i="11"/>
  <c r="J209" i="11" s="1"/>
  <c r="AN209" i="11"/>
  <c r="AB209" i="11"/>
  <c r="AA209" i="11"/>
  <c r="Y209" i="11"/>
  <c r="X209" i="11"/>
  <c r="W209" i="11"/>
  <c r="U209" i="11"/>
  <c r="T209" i="11"/>
  <c r="BW208" i="11"/>
  <c r="BC208" i="11"/>
  <c r="AS208" i="11" s="1"/>
  <c r="L208" i="11" s="1"/>
  <c r="AQ208" i="11"/>
  <c r="J208" i="11" s="1"/>
  <c r="AN208" i="11"/>
  <c r="AB208" i="11"/>
  <c r="AA208" i="11"/>
  <c r="Y208" i="11"/>
  <c r="X208" i="11"/>
  <c r="W208" i="11"/>
  <c r="U208" i="11"/>
  <c r="T208" i="11"/>
  <c r="AN206" i="11"/>
  <c r="AB206" i="11"/>
  <c r="AA206" i="11"/>
  <c r="Y206" i="11"/>
  <c r="X206" i="11"/>
  <c r="W206" i="11"/>
  <c r="U206" i="11"/>
  <c r="T206" i="11"/>
  <c r="BC46" i="11"/>
  <c r="AT46" i="11" s="1"/>
  <c r="BC385" i="11"/>
  <c r="V385" i="11" s="1"/>
  <c r="BW381" i="11"/>
  <c r="BH381" i="11"/>
  <c r="BC381" i="11"/>
  <c r="AT381" i="11" s="1"/>
  <c r="M381" i="11" s="1"/>
  <c r="AQ381" i="11"/>
  <c r="J381" i="11" s="1"/>
  <c r="AN381" i="11"/>
  <c r="AB381" i="11"/>
  <c r="Y381" i="11"/>
  <c r="X381" i="11"/>
  <c r="W381" i="11"/>
  <c r="U381" i="11"/>
  <c r="T381" i="11"/>
  <c r="BW447" i="11"/>
  <c r="BW482" i="11"/>
  <c r="BH388" i="11"/>
  <c r="BH42" i="11"/>
  <c r="BC458" i="11"/>
  <c r="AT458" i="11" s="1"/>
  <c r="M458" i="11" s="1"/>
  <c r="BW448" i="11"/>
  <c r="BF448" i="11"/>
  <c r="Y448" i="11" s="1"/>
  <c r="BE448" i="11"/>
  <c r="X448" i="11" s="1"/>
  <c r="BC448" i="11"/>
  <c r="V448" i="11" s="1"/>
  <c r="AQ448" i="11"/>
  <c r="J448" i="11" s="1"/>
  <c r="AN448" i="11"/>
  <c r="AB448" i="11"/>
  <c r="AA448" i="11"/>
  <c r="W448" i="11"/>
  <c r="U448" i="11"/>
  <c r="T448" i="11"/>
  <c r="BH389" i="11"/>
  <c r="BC389" i="11"/>
  <c r="AS389" i="11" s="1"/>
  <c r="L389" i="11" s="1"/>
  <c r="BC42" i="11"/>
  <c r="AT42" i="11" s="1"/>
  <c r="M42" i="11" s="1"/>
  <c r="BC388" i="11"/>
  <c r="AT388" i="11" s="1"/>
  <c r="M388" i="11" s="1"/>
  <c r="BW388" i="11"/>
  <c r="BD388" i="11"/>
  <c r="W388" i="11" s="1"/>
  <c r="AQ388" i="11"/>
  <c r="J388" i="11" s="1"/>
  <c r="Y389" i="11"/>
  <c r="AN388" i="11"/>
  <c r="AB388" i="11"/>
  <c r="Y388" i="11"/>
  <c r="X388" i="11"/>
  <c r="U388" i="11"/>
  <c r="T388" i="11"/>
  <c r="BC486" i="11"/>
  <c r="AT486" i="11" s="1"/>
  <c r="M486" i="11" s="1"/>
  <c r="BC482" i="11"/>
  <c r="AS482" i="11" s="1"/>
  <c r="L482" i="11" s="1"/>
  <c r="AN482" i="11"/>
  <c r="AB482" i="11"/>
  <c r="AA482" i="11"/>
  <c r="Y482" i="11"/>
  <c r="X482" i="11"/>
  <c r="W482" i="11"/>
  <c r="U482" i="11"/>
  <c r="T482" i="11"/>
  <c r="J482" i="11"/>
  <c r="BC113" i="11"/>
  <c r="AT113" i="11" s="1"/>
  <c r="M113" i="11" s="1"/>
  <c r="BW166" i="11"/>
  <c r="BW161" i="11"/>
  <c r="BW350" i="11"/>
  <c r="BW184" i="11"/>
  <c r="BW197" i="11"/>
  <c r="BW361" i="11"/>
  <c r="BW446" i="11"/>
  <c r="AW95" i="11"/>
  <c r="BC97" i="11"/>
  <c r="BC202" i="11"/>
  <c r="V202" i="11" s="1"/>
  <c r="BC206" i="11"/>
  <c r="AT206" i="11" s="1"/>
  <c r="M206" i="11" s="1"/>
  <c r="AQ206" i="11"/>
  <c r="J206" i="11" s="1"/>
  <c r="BC200" i="11"/>
  <c r="AT200" i="11" s="1"/>
  <c r="M200" i="11" s="1"/>
  <c r="BC164" i="11"/>
  <c r="AT164" i="11" s="1"/>
  <c r="M164" i="11" s="1"/>
  <c r="AN481" i="11"/>
  <c r="AB481" i="11"/>
  <c r="AA481" i="11"/>
  <c r="Y481" i="11"/>
  <c r="X481" i="11"/>
  <c r="W481" i="11"/>
  <c r="BC481" i="11"/>
  <c r="AS481" i="11" s="1"/>
  <c r="L481" i="11" s="1"/>
  <c r="U481" i="11"/>
  <c r="T481" i="11"/>
  <c r="AQ481" i="11"/>
  <c r="J481" i="11" s="1"/>
  <c r="AN447" i="11"/>
  <c r="AB447" i="11"/>
  <c r="AA447" i="11"/>
  <c r="BF447" i="11"/>
  <c r="Y447" i="11" s="1"/>
  <c r="BE447" i="11"/>
  <c r="X447" i="11" s="1"/>
  <c r="W447" i="11"/>
  <c r="BC447" i="11"/>
  <c r="AT447" i="11" s="1"/>
  <c r="M447" i="11" s="1"/>
  <c r="U447" i="11"/>
  <c r="T447" i="11"/>
  <c r="AQ447" i="11"/>
  <c r="J447" i="11" s="1"/>
  <c r="AN446" i="11"/>
  <c r="AB446" i="11"/>
  <c r="AA446" i="11"/>
  <c r="BF446" i="11"/>
  <c r="Y446" i="11" s="1"/>
  <c r="BE446" i="11"/>
  <c r="X446" i="11" s="1"/>
  <c r="W446" i="11"/>
  <c r="BC446" i="11"/>
  <c r="V446" i="11" s="1"/>
  <c r="U446" i="11"/>
  <c r="T446" i="11"/>
  <c r="AQ446" i="11"/>
  <c r="J446" i="11" s="1"/>
  <c r="AN445" i="11"/>
  <c r="AB445" i="11"/>
  <c r="AA445" i="11"/>
  <c r="BF445" i="11"/>
  <c r="Y445" i="11" s="1"/>
  <c r="BE445" i="11"/>
  <c r="X445" i="11" s="1"/>
  <c r="W445" i="11"/>
  <c r="BC445" i="11"/>
  <c r="V445" i="11" s="1"/>
  <c r="U445" i="11"/>
  <c r="T445" i="11"/>
  <c r="AQ445" i="11"/>
  <c r="J445" i="11" s="1"/>
  <c r="AQ436" i="11"/>
  <c r="J436" i="11" s="1"/>
  <c r="T436" i="11"/>
  <c r="AN436" i="11"/>
  <c r="AB436" i="11"/>
  <c r="AA436" i="11"/>
  <c r="Y436" i="11"/>
  <c r="X436" i="11"/>
  <c r="W436" i="11"/>
  <c r="V436" i="11"/>
  <c r="U436" i="11"/>
  <c r="AN429" i="11"/>
  <c r="AB429" i="11"/>
  <c r="AA429" i="11"/>
  <c r="Y429" i="11"/>
  <c r="X429" i="11"/>
  <c r="W429" i="11"/>
  <c r="V429" i="11"/>
  <c r="U429" i="11"/>
  <c r="T429" i="11"/>
  <c r="AQ429" i="11"/>
  <c r="J429" i="11" s="1"/>
  <c r="AN337" i="11"/>
  <c r="AB337" i="11"/>
  <c r="AA337" i="11"/>
  <c r="Y337" i="11"/>
  <c r="X337" i="11"/>
  <c r="W337" i="11"/>
  <c r="BC337" i="11"/>
  <c r="AT337" i="11" s="1"/>
  <c r="M337" i="11" s="1"/>
  <c r="U337" i="11"/>
  <c r="T337" i="11"/>
  <c r="AQ337" i="11"/>
  <c r="J337" i="11" s="1"/>
  <c r="AN311" i="11"/>
  <c r="AB311" i="11"/>
  <c r="AA311" i="11"/>
  <c r="Y311" i="11"/>
  <c r="X311" i="11"/>
  <c r="W311" i="11"/>
  <c r="BC311" i="11"/>
  <c r="V311" i="11" s="1"/>
  <c r="U311" i="11"/>
  <c r="T311" i="11"/>
  <c r="AQ311" i="11"/>
  <c r="J311" i="11" s="1"/>
  <c r="AN310" i="11"/>
  <c r="AB310" i="11"/>
  <c r="AA310" i="11"/>
  <c r="Y310" i="11"/>
  <c r="X310" i="11"/>
  <c r="W310" i="11"/>
  <c r="BC310" i="11"/>
  <c r="AS310" i="11" s="1"/>
  <c r="L310" i="11" s="1"/>
  <c r="U310" i="11"/>
  <c r="T310" i="11"/>
  <c r="AQ310" i="11"/>
  <c r="J310" i="11" s="1"/>
  <c r="AN309" i="11"/>
  <c r="AB309" i="11"/>
  <c r="AA309" i="11"/>
  <c r="Y309" i="11"/>
  <c r="X309" i="11"/>
  <c r="W309" i="11"/>
  <c r="BC309" i="11"/>
  <c r="V309" i="11" s="1"/>
  <c r="U309" i="11"/>
  <c r="T309" i="11"/>
  <c r="AQ309" i="11"/>
  <c r="J309" i="11" s="1"/>
  <c r="AN308" i="11"/>
  <c r="AB308" i="11"/>
  <c r="AA308" i="11"/>
  <c r="Y308" i="11"/>
  <c r="X308" i="11"/>
  <c r="W308" i="11"/>
  <c r="BC308" i="11"/>
  <c r="V308" i="11" s="1"/>
  <c r="U308" i="11"/>
  <c r="T308" i="11"/>
  <c r="S308" i="11"/>
  <c r="K308" i="11"/>
  <c r="J308" i="11"/>
  <c r="AN307" i="11"/>
  <c r="AB307" i="11"/>
  <c r="AA307" i="11"/>
  <c r="Y307" i="11"/>
  <c r="X307" i="11"/>
  <c r="W307" i="11"/>
  <c r="BC307" i="11"/>
  <c r="AS307" i="11" s="1"/>
  <c r="L307" i="11" s="1"/>
  <c r="U307" i="11"/>
  <c r="T307" i="11"/>
  <c r="AQ307" i="11"/>
  <c r="J307" i="11" s="1"/>
  <c r="AN306" i="11"/>
  <c r="AB306" i="11"/>
  <c r="Y306" i="11"/>
  <c r="X306" i="11"/>
  <c r="W306" i="11"/>
  <c r="V306" i="11"/>
  <c r="U306" i="11"/>
  <c r="T306" i="11"/>
  <c r="AQ306" i="11"/>
  <c r="J306" i="11" s="1"/>
  <c r="AN205" i="11"/>
  <c r="AB205" i="11"/>
  <c r="Y205" i="11"/>
  <c r="X205" i="11"/>
  <c r="W205" i="11"/>
  <c r="U205" i="11"/>
  <c r="T205" i="11"/>
  <c r="AQ205" i="11"/>
  <c r="J205" i="11" s="1"/>
  <c r="AN203" i="11"/>
  <c r="AB203" i="11"/>
  <c r="AA203" i="11"/>
  <c r="Y203" i="11"/>
  <c r="X203" i="11"/>
  <c r="W203" i="11"/>
  <c r="U203" i="11"/>
  <c r="T203" i="11"/>
  <c r="AQ203" i="11"/>
  <c r="J203" i="11" s="1"/>
  <c r="AN202" i="11"/>
  <c r="AB202" i="11"/>
  <c r="AA202" i="11"/>
  <c r="Y202" i="11"/>
  <c r="X202" i="11"/>
  <c r="W202" i="11"/>
  <c r="U202" i="11"/>
  <c r="T202" i="11"/>
  <c r="J202" i="11"/>
  <c r="AN201" i="11"/>
  <c r="AB201" i="11"/>
  <c r="AA201" i="11"/>
  <c r="Y201" i="11"/>
  <c r="X201" i="11"/>
  <c r="W201" i="11"/>
  <c r="BC201" i="11"/>
  <c r="AT201" i="11" s="1"/>
  <c r="M201" i="11" s="1"/>
  <c r="U201" i="11"/>
  <c r="T201" i="11"/>
  <c r="AQ201" i="11"/>
  <c r="J201" i="11" s="1"/>
  <c r="AN200" i="11"/>
  <c r="AB200" i="11"/>
  <c r="AA200" i="11"/>
  <c r="Y200" i="11"/>
  <c r="X200" i="11"/>
  <c r="W200" i="11"/>
  <c r="U200" i="11"/>
  <c r="T200" i="11"/>
  <c r="AQ200" i="11"/>
  <c r="J200" i="11" s="1"/>
  <c r="AQ199" i="11"/>
  <c r="J199" i="11" s="1"/>
  <c r="AN199" i="11"/>
  <c r="AB199" i="11"/>
  <c r="AA199" i="11"/>
  <c r="Y199" i="11"/>
  <c r="X199" i="11"/>
  <c r="W199" i="11"/>
  <c r="BC199" i="11"/>
  <c r="AT199" i="11" s="1"/>
  <c r="M199" i="11" s="1"/>
  <c r="U199" i="11"/>
  <c r="T199" i="11"/>
  <c r="BB11" i="11"/>
  <c r="U11" i="11" s="1"/>
  <c r="BW264" i="11"/>
  <c r="BW265" i="11"/>
  <c r="BW266" i="11"/>
  <c r="BW267" i="11"/>
  <c r="BW269" i="11"/>
  <c r="BW271" i="11"/>
  <c r="BW272" i="11"/>
  <c r="BW274" i="11"/>
  <c r="BW275" i="11"/>
  <c r="BW276" i="11"/>
  <c r="BW277" i="11"/>
  <c r="BW278" i="11"/>
  <c r="BW280" i="11"/>
  <c r="BW319" i="11"/>
  <c r="BW320" i="11"/>
  <c r="BW322" i="11"/>
  <c r="BW323" i="11"/>
  <c r="BW325" i="11"/>
  <c r="BW328" i="11"/>
  <c r="BW329" i="11"/>
  <c r="BW330" i="11"/>
  <c r="BW335" i="11"/>
  <c r="BW347" i="11"/>
  <c r="BW387" i="11"/>
  <c r="BW391" i="11"/>
  <c r="BW392" i="11"/>
  <c r="BW393" i="11"/>
  <c r="BW394" i="11"/>
  <c r="BW395" i="11"/>
  <c r="BW396" i="11"/>
  <c r="BW397" i="11"/>
  <c r="BW398" i="11"/>
  <c r="BW399" i="11"/>
  <c r="BW401" i="11"/>
  <c r="BW403" i="11"/>
  <c r="BW404" i="11"/>
  <c r="BW405" i="11"/>
  <c r="BW406" i="11"/>
  <c r="BW407" i="11"/>
  <c r="BW408" i="11"/>
  <c r="BW409" i="11"/>
  <c r="BW410" i="11"/>
  <c r="BW411" i="11"/>
  <c r="BW412" i="11"/>
  <c r="BW413" i="11"/>
  <c r="BW414" i="11"/>
  <c r="BW415" i="11"/>
  <c r="BW416" i="11"/>
  <c r="BW417" i="11"/>
  <c r="BW418" i="11"/>
  <c r="BW419" i="11"/>
  <c r="BW420" i="11"/>
  <c r="BW421" i="11"/>
  <c r="BW422" i="11"/>
  <c r="BW423" i="11"/>
  <c r="BW424" i="11"/>
  <c r="BW425" i="11"/>
  <c r="BW426" i="11"/>
  <c r="BW427" i="11"/>
  <c r="BW428" i="11"/>
  <c r="BW429" i="11"/>
  <c r="BW430" i="11"/>
  <c r="BW432" i="11"/>
  <c r="BW433" i="11"/>
  <c r="BW434" i="11"/>
  <c r="BW436" i="11"/>
  <c r="BW438" i="11"/>
  <c r="BW439" i="11"/>
  <c r="BW440" i="11"/>
  <c r="BW441" i="11"/>
  <c r="BW442" i="11"/>
  <c r="BW443" i="11"/>
  <c r="BW444" i="11"/>
  <c r="BW445" i="11"/>
  <c r="BW459" i="11"/>
  <c r="BW460" i="11"/>
  <c r="BW462" i="11"/>
  <c r="BW463" i="11"/>
  <c r="BW464" i="11"/>
  <c r="BW465" i="11"/>
  <c r="BW466" i="11"/>
  <c r="BW467" i="11"/>
  <c r="BW471" i="11"/>
  <c r="BW472" i="11"/>
  <c r="BW473" i="11"/>
  <c r="BW476" i="11"/>
  <c r="BW477" i="11"/>
  <c r="BW478" i="11"/>
  <c r="BW479" i="11"/>
  <c r="BW480" i="11"/>
  <c r="BW481" i="11"/>
  <c r="BW486" i="11"/>
  <c r="BW487" i="11"/>
  <c r="BW490" i="11"/>
  <c r="BW352" i="11"/>
  <c r="BW353" i="11"/>
  <c r="BW355" i="11"/>
  <c r="BW363" i="11"/>
  <c r="BW364" i="11"/>
  <c r="BW365" i="11"/>
  <c r="BW367" i="11"/>
  <c r="BW368" i="11"/>
  <c r="BW369" i="11"/>
  <c r="BW370" i="11"/>
  <c r="BW371" i="11"/>
  <c r="BW373" i="11"/>
  <c r="BW375" i="11"/>
  <c r="BW376" i="11"/>
  <c r="BW379" i="11"/>
  <c r="BW380" i="11"/>
  <c r="BW282" i="11"/>
  <c r="BW283" i="11"/>
  <c r="BW284" i="11"/>
  <c r="BW286" i="11"/>
  <c r="BW290" i="11"/>
  <c r="BW291" i="11"/>
  <c r="BW292" i="11"/>
  <c r="BW293" i="11"/>
  <c r="BW294" i="11"/>
  <c r="BW295" i="11"/>
  <c r="BW298" i="11"/>
  <c r="BW299" i="11"/>
  <c r="BW300" i="11"/>
  <c r="BW301" i="11"/>
  <c r="BW303" i="11"/>
  <c r="BW304" i="11"/>
  <c r="BW305" i="11"/>
  <c r="BW309" i="11"/>
  <c r="BW112" i="11"/>
  <c r="BW115" i="11"/>
  <c r="BW116" i="11"/>
  <c r="BW117" i="11"/>
  <c r="BW118" i="11"/>
  <c r="BW119" i="11"/>
  <c r="BW120" i="11"/>
  <c r="BW121" i="11"/>
  <c r="BW124" i="11"/>
  <c r="BW125" i="11"/>
  <c r="BW126" i="11"/>
  <c r="BW129" i="11"/>
  <c r="BW130" i="11"/>
  <c r="BW131" i="11"/>
  <c r="BW133" i="11"/>
  <c r="BW138" i="11"/>
  <c r="BW139" i="11"/>
  <c r="BW140" i="11"/>
  <c r="BW141" i="11"/>
  <c r="BW145" i="11"/>
  <c r="BW146" i="11"/>
  <c r="BW148" i="11"/>
  <c r="BW149" i="11"/>
  <c r="BW151" i="11"/>
  <c r="BW154" i="11"/>
  <c r="BW155" i="11"/>
  <c r="BW156" i="11"/>
  <c r="BW160" i="11"/>
  <c r="BW163" i="11"/>
  <c r="BW167" i="11"/>
  <c r="BW168" i="11"/>
  <c r="BW169" i="11"/>
  <c r="BW170" i="11"/>
  <c r="BW172" i="11"/>
  <c r="BW173" i="11"/>
  <c r="BW174" i="11"/>
  <c r="BW176" i="11"/>
  <c r="BW179" i="11"/>
  <c r="BW180" i="11"/>
  <c r="BW182" i="11"/>
  <c r="BW183" i="11"/>
  <c r="BW185" i="11"/>
  <c r="BW187" i="11"/>
  <c r="BW188" i="11"/>
  <c r="BW189" i="11"/>
  <c r="BW190" i="11"/>
  <c r="BW191" i="11"/>
  <c r="BW194" i="11"/>
  <c r="BW196" i="11"/>
  <c r="BW203" i="11"/>
  <c r="BW492" i="11"/>
  <c r="H39" i="22" s="1"/>
  <c r="BW498" i="11"/>
  <c r="BW499" i="11"/>
  <c r="BW494" i="11"/>
  <c r="H40" i="22" s="1"/>
  <c r="BW21" i="11"/>
  <c r="J13" i="17" s="1"/>
  <c r="BW23" i="11"/>
  <c r="H12" i="22" s="1"/>
  <c r="BW25" i="11"/>
  <c r="BW27" i="11"/>
  <c r="BW31" i="11"/>
  <c r="BW37" i="11"/>
  <c r="BW39" i="11"/>
  <c r="BW40" i="11"/>
  <c r="BW41" i="11"/>
  <c r="BW42" i="11"/>
  <c r="BW44" i="11"/>
  <c r="BW43" i="11" s="1"/>
  <c r="H20" i="22" s="1"/>
  <c r="BW48" i="11"/>
  <c r="BW78" i="11"/>
  <c r="H26" i="22" s="1"/>
  <c r="BW80" i="11"/>
  <c r="H24" i="22" s="1"/>
  <c r="BW82" i="11"/>
  <c r="H25" i="22" s="1"/>
  <c r="BW84" i="11"/>
  <c r="H27" i="22" s="1"/>
  <c r="BW86" i="11"/>
  <c r="BW89" i="11"/>
  <c r="BW88" i="11" s="1"/>
  <c r="BC51" i="11"/>
  <c r="V51" i="11" s="1"/>
  <c r="V50" i="11" s="1"/>
  <c r="BH51" i="11"/>
  <c r="BD11" i="11"/>
  <c r="W11" i="11" s="1"/>
  <c r="BD12" i="11"/>
  <c r="W12" i="11" s="1"/>
  <c r="BD13" i="11"/>
  <c r="W13" i="11" s="1"/>
  <c r="BD14" i="11"/>
  <c r="W14" i="11" s="1"/>
  <c r="BD15" i="11"/>
  <c r="W15" i="11" s="1"/>
  <c r="BD16" i="11"/>
  <c r="W16" i="11" s="1"/>
  <c r="BD17" i="11"/>
  <c r="W17" i="11" s="1"/>
  <c r="BD18" i="11"/>
  <c r="W18" i="11" s="1"/>
  <c r="W19" i="11"/>
  <c r="BD20" i="11"/>
  <c r="W20" i="11" s="1"/>
  <c r="W22" i="11"/>
  <c r="W21" i="11" s="1"/>
  <c r="W24" i="11"/>
  <c r="W23" i="11" s="1"/>
  <c r="W26" i="11"/>
  <c r="W25" i="11" s="1"/>
  <c r="W28" i="11"/>
  <c r="W27" i="11" s="1"/>
  <c r="W391" i="11"/>
  <c r="W392" i="11"/>
  <c r="W393" i="11"/>
  <c r="W394" i="11"/>
  <c r="W395" i="11"/>
  <c r="W396" i="11"/>
  <c r="W397" i="11"/>
  <c r="W398" i="11"/>
  <c r="W399" i="11"/>
  <c r="W400" i="11"/>
  <c r="W401" i="11"/>
  <c r="W402" i="11"/>
  <c r="W403" i="11"/>
  <c r="W404" i="11"/>
  <c r="W405" i="11"/>
  <c r="W406" i="11"/>
  <c r="BD407" i="11"/>
  <c r="W407" i="11" s="1"/>
  <c r="BD408" i="11"/>
  <c r="W408" i="11" s="1"/>
  <c r="W409" i="11"/>
  <c r="W410" i="11"/>
  <c r="W411" i="11"/>
  <c r="W412" i="11"/>
  <c r="W413" i="11"/>
  <c r="W414" i="11"/>
  <c r="W415" i="11"/>
  <c r="W416" i="11"/>
  <c r="W417" i="11"/>
  <c r="W418" i="11"/>
  <c r="W419" i="11"/>
  <c r="W420" i="11"/>
  <c r="W421" i="11"/>
  <c r="W422" i="11"/>
  <c r="W423" i="11"/>
  <c r="W424" i="11"/>
  <c r="W425" i="11"/>
  <c r="W426" i="11"/>
  <c r="W427" i="11"/>
  <c r="W428" i="11"/>
  <c r="W430" i="11"/>
  <c r="W432" i="11"/>
  <c r="W433" i="11"/>
  <c r="W434" i="11"/>
  <c r="W435" i="11"/>
  <c r="W437" i="11"/>
  <c r="W438" i="11"/>
  <c r="W439" i="11"/>
  <c r="W440" i="11"/>
  <c r="W441" i="11"/>
  <c r="W442" i="11"/>
  <c r="W443" i="11"/>
  <c r="W444" i="11"/>
  <c r="W458" i="11"/>
  <c r="W459" i="11"/>
  <c r="W460" i="11"/>
  <c r="BD461" i="11"/>
  <c r="W461" i="11" s="1"/>
  <c r="W462" i="11"/>
  <c r="W463" i="11"/>
  <c r="W464" i="11"/>
  <c r="W465" i="11"/>
  <c r="W466" i="11"/>
  <c r="W467" i="11"/>
  <c r="BD468" i="11"/>
  <c r="W468" i="11" s="1"/>
  <c r="W471" i="11"/>
  <c r="W472" i="11"/>
  <c r="W473" i="11"/>
  <c r="W475" i="11"/>
  <c r="W476" i="11"/>
  <c r="W477" i="11"/>
  <c r="W478" i="11"/>
  <c r="W479" i="11"/>
  <c r="W480" i="11"/>
  <c r="W487" i="11"/>
  <c r="W490" i="11"/>
  <c r="U44" i="11"/>
  <c r="U43" i="11" s="1"/>
  <c r="BC44" i="11"/>
  <c r="BC43" i="11" s="1"/>
  <c r="BC37" i="11"/>
  <c r="AS37" i="11" s="1"/>
  <c r="L37" i="11" s="1"/>
  <c r="BC269" i="11"/>
  <c r="V269" i="11" s="1"/>
  <c r="BC280" i="11"/>
  <c r="AS280" i="11" s="1"/>
  <c r="L280" i="11" s="1"/>
  <c r="BC352" i="11"/>
  <c r="AT352" i="11" s="1"/>
  <c r="M352" i="11" s="1"/>
  <c r="BC363" i="11"/>
  <c r="AS363" i="11" s="1"/>
  <c r="L363" i="11" s="1"/>
  <c r="BC374" i="11"/>
  <c r="AT374" i="11" s="1"/>
  <c r="M374" i="11" s="1"/>
  <c r="BC379" i="11"/>
  <c r="AT379" i="11" s="1"/>
  <c r="M379" i="11" s="1"/>
  <c r="BC380" i="11"/>
  <c r="V380" i="11" s="1"/>
  <c r="BC330" i="11"/>
  <c r="AT330" i="11" s="1"/>
  <c r="M330" i="11" s="1"/>
  <c r="BC334" i="11"/>
  <c r="AT334" i="11" s="1"/>
  <c r="M334" i="11" s="1"/>
  <c r="BC336" i="11"/>
  <c r="AT336" i="11" s="1"/>
  <c r="M336" i="11" s="1"/>
  <c r="BC287" i="11"/>
  <c r="V287" i="11" s="1"/>
  <c r="BC288" i="11"/>
  <c r="AS288" i="11" s="1"/>
  <c r="L288" i="11" s="1"/>
  <c r="BC304" i="11"/>
  <c r="AT304" i="11" s="1"/>
  <c r="M304" i="11" s="1"/>
  <c r="BC315" i="11"/>
  <c r="AT315" i="11" s="1"/>
  <c r="M315" i="11" s="1"/>
  <c r="BC130" i="11"/>
  <c r="AT130" i="11" s="1"/>
  <c r="M130" i="11" s="1"/>
  <c r="BC135" i="11"/>
  <c r="V135" i="11" s="1"/>
  <c r="BC140" i="11"/>
  <c r="V140" i="11" s="1"/>
  <c r="BC142" i="11"/>
  <c r="V142" i="11" s="1"/>
  <c r="BC146" i="11"/>
  <c r="AS146" i="11" s="1"/>
  <c r="L146" i="11" s="1"/>
  <c r="BC147" i="11"/>
  <c r="V147" i="11" s="1"/>
  <c r="BC161" i="11"/>
  <c r="AT161" i="11" s="1"/>
  <c r="M161" i="11" s="1"/>
  <c r="BC162" i="11"/>
  <c r="AT162" i="11" s="1"/>
  <c r="M162" i="11" s="1"/>
  <c r="BC163" i="11"/>
  <c r="AS163" i="11" s="1"/>
  <c r="L163" i="11" s="1"/>
  <c r="BC166" i="11"/>
  <c r="AS166" i="11" s="1"/>
  <c r="L166" i="11" s="1"/>
  <c r="BC173" i="11"/>
  <c r="V173" i="11" s="1"/>
  <c r="BC174" i="11"/>
  <c r="AS174" i="11" s="1"/>
  <c r="L174" i="11" s="1"/>
  <c r="BC175" i="11"/>
  <c r="AT175" i="11" s="1"/>
  <c r="M175" i="11" s="1"/>
  <c r="BC176" i="11"/>
  <c r="V176" i="11" s="1"/>
  <c r="BC177" i="11"/>
  <c r="V177" i="11" s="1"/>
  <c r="BC178" i="11"/>
  <c r="V178" i="11" s="1"/>
  <c r="BC179" i="11"/>
  <c r="AS179" i="11" s="1"/>
  <c r="L179" i="11" s="1"/>
  <c r="BC180" i="11"/>
  <c r="AS180" i="11" s="1"/>
  <c r="L180" i="11" s="1"/>
  <c r="BC182" i="11"/>
  <c r="V182" i="11" s="1"/>
  <c r="BC183" i="11"/>
  <c r="V183" i="11" s="1"/>
  <c r="BC184" i="11"/>
  <c r="AT184" i="11" s="1"/>
  <c r="M184" i="11" s="1"/>
  <c r="BC185" i="11"/>
  <c r="AT185" i="11" s="1"/>
  <c r="M185" i="11" s="1"/>
  <c r="BC186" i="11"/>
  <c r="AT186" i="11" s="1"/>
  <c r="M186" i="11" s="1"/>
  <c r="BC194" i="11"/>
  <c r="AT194" i="11" s="1"/>
  <c r="M194" i="11" s="1"/>
  <c r="BC195" i="11"/>
  <c r="AS195" i="11" s="1"/>
  <c r="L195" i="11" s="1"/>
  <c r="BC197" i="11"/>
  <c r="V197" i="11" s="1"/>
  <c r="BC198" i="11"/>
  <c r="V198" i="11" s="1"/>
  <c r="AS133" i="11"/>
  <c r="L133" i="11" s="1"/>
  <c r="BC387" i="11"/>
  <c r="V387" i="11" s="1"/>
  <c r="BC407" i="11"/>
  <c r="V407" i="11" s="1"/>
  <c r="BC408" i="11"/>
  <c r="V408" i="11" s="1"/>
  <c r="BC409" i="11"/>
  <c r="AS409" i="11" s="1"/>
  <c r="L409" i="11" s="1"/>
  <c r="BC410" i="11"/>
  <c r="AS410" i="11" s="1"/>
  <c r="L410" i="11" s="1"/>
  <c r="BC413" i="11"/>
  <c r="AT413" i="11" s="1"/>
  <c r="M413" i="11" s="1"/>
  <c r="BC430" i="11"/>
  <c r="V430" i="11" s="1"/>
  <c r="BC434" i="11"/>
  <c r="AT434" i="11" s="1"/>
  <c r="M434" i="11" s="1"/>
  <c r="BC435" i="11"/>
  <c r="AT435" i="11" s="1"/>
  <c r="M435" i="11" s="1"/>
  <c r="BC437" i="11"/>
  <c r="AT437" i="11" s="1"/>
  <c r="M437" i="11" s="1"/>
  <c r="BC443" i="11"/>
  <c r="V443" i="11" s="1"/>
  <c r="BC444" i="11"/>
  <c r="AT444" i="11" s="1"/>
  <c r="M444" i="11" s="1"/>
  <c r="BC461" i="11"/>
  <c r="V461" i="11" s="1"/>
  <c r="BC467" i="11"/>
  <c r="AT467" i="11" s="1"/>
  <c r="M467" i="11" s="1"/>
  <c r="BC468" i="11"/>
  <c r="V468" i="11" s="1"/>
  <c r="BC479" i="11"/>
  <c r="V479" i="11" s="1"/>
  <c r="BC480" i="11"/>
  <c r="AT480" i="11" s="1"/>
  <c r="M480" i="11" s="1"/>
  <c r="AS492" i="11"/>
  <c r="AS494" i="11"/>
  <c r="AS497" i="11"/>
  <c r="AS78" i="11"/>
  <c r="AS80" i="11"/>
  <c r="AS83" i="11"/>
  <c r="BC83" i="11" s="1"/>
  <c r="V83" i="11" s="1"/>
  <c r="V82" i="11" s="1"/>
  <c r="AS84" i="11"/>
  <c r="AS88" i="11"/>
  <c r="AS91" i="11"/>
  <c r="BC91" i="11" s="1"/>
  <c r="V91" i="11" s="1"/>
  <c r="AS92" i="11"/>
  <c r="BC92" i="11" s="1"/>
  <c r="V92" i="11" s="1"/>
  <c r="AS10" i="11"/>
  <c r="AS21" i="11"/>
  <c r="AS23" i="11"/>
  <c r="AS25" i="11"/>
  <c r="AS27" i="11"/>
  <c r="AQ282" i="11"/>
  <c r="J282" i="11" s="1"/>
  <c r="AQ283" i="11"/>
  <c r="J283" i="11" s="1"/>
  <c r="AQ284" i="11"/>
  <c r="J284" i="11" s="1"/>
  <c r="AQ285" i="11"/>
  <c r="J285" i="11" s="1"/>
  <c r="AQ286" i="11"/>
  <c r="J286" i="11" s="1"/>
  <c r="AQ287" i="11"/>
  <c r="J287" i="11" s="1"/>
  <c r="AQ288" i="11"/>
  <c r="J288" i="11" s="1"/>
  <c r="AQ289" i="11"/>
  <c r="J289" i="11" s="1"/>
  <c r="AQ290" i="11"/>
  <c r="J290" i="11" s="1"/>
  <c r="AQ291" i="11"/>
  <c r="J291" i="11" s="1"/>
  <c r="BA292" i="11"/>
  <c r="T292" i="11" s="1"/>
  <c r="AQ293" i="11"/>
  <c r="J293" i="11" s="1"/>
  <c r="AQ294" i="11"/>
  <c r="J294" i="11" s="1"/>
  <c r="AQ295" i="11"/>
  <c r="J295" i="11" s="1"/>
  <c r="AQ296" i="11"/>
  <c r="J296" i="11" s="1"/>
  <c r="AQ297" i="11"/>
  <c r="J297" i="11" s="1"/>
  <c r="AQ298" i="11"/>
  <c r="J298" i="11" s="1"/>
  <c r="AQ299" i="11"/>
  <c r="J299" i="11" s="1"/>
  <c r="AQ300" i="11"/>
  <c r="J300" i="11" s="1"/>
  <c r="AQ301" i="11"/>
  <c r="J301" i="11" s="1"/>
  <c r="AQ302" i="11"/>
  <c r="J302" i="11" s="1"/>
  <c r="AQ303" i="11"/>
  <c r="J303" i="11" s="1"/>
  <c r="AQ304" i="11"/>
  <c r="J304" i="11" s="1"/>
  <c r="AQ305" i="11"/>
  <c r="J305" i="11" s="1"/>
  <c r="AQ315" i="11"/>
  <c r="J315" i="11" s="1"/>
  <c r="AQ264" i="11"/>
  <c r="J264" i="11" s="1"/>
  <c r="AQ265" i="11"/>
  <c r="J265" i="11" s="1"/>
  <c r="AQ266" i="11"/>
  <c r="J266" i="11" s="1"/>
  <c r="AQ267" i="11"/>
  <c r="J267" i="11" s="1"/>
  <c r="AQ268" i="11"/>
  <c r="J268" i="11" s="1"/>
  <c r="AQ269" i="11"/>
  <c r="J269" i="11" s="1"/>
  <c r="AQ271" i="11"/>
  <c r="J271" i="11" s="1"/>
  <c r="AQ272" i="11"/>
  <c r="J272" i="11" s="1"/>
  <c r="AQ274" i="11"/>
  <c r="J274" i="11" s="1"/>
  <c r="AQ275" i="11"/>
  <c r="J275" i="11" s="1"/>
  <c r="AQ276" i="11"/>
  <c r="J276" i="11" s="1"/>
  <c r="AQ277" i="11"/>
  <c r="J277" i="11" s="1"/>
  <c r="AQ278" i="11"/>
  <c r="J278" i="11" s="1"/>
  <c r="AQ280" i="11"/>
  <c r="J280" i="11" s="1"/>
  <c r="BF437" i="11"/>
  <c r="Y437" i="11" s="1"/>
  <c r="AN490" i="11"/>
  <c r="AB490" i="11"/>
  <c r="AA490" i="11"/>
  <c r="Y490" i="11"/>
  <c r="X490" i="11"/>
  <c r="V490" i="11"/>
  <c r="U490" i="11"/>
  <c r="T490" i="11"/>
  <c r="AN487" i="11"/>
  <c r="AB487" i="11"/>
  <c r="AA487" i="11"/>
  <c r="Y487" i="11"/>
  <c r="X487" i="11"/>
  <c r="V487" i="11"/>
  <c r="U487" i="11"/>
  <c r="T487" i="11"/>
  <c r="AN486" i="11"/>
  <c r="AB486" i="11"/>
  <c r="AA486" i="11"/>
  <c r="Y486" i="11"/>
  <c r="X486" i="11"/>
  <c r="U486" i="11"/>
  <c r="T486" i="11"/>
  <c r="AN480" i="11"/>
  <c r="AB480" i="11"/>
  <c r="AA480" i="11"/>
  <c r="Y480" i="11"/>
  <c r="X480" i="11"/>
  <c r="U480" i="11"/>
  <c r="T480" i="11"/>
  <c r="AN479" i="11"/>
  <c r="AB479" i="11"/>
  <c r="AA479" i="11"/>
  <c r="Y479" i="11"/>
  <c r="X479" i="11"/>
  <c r="U479" i="11"/>
  <c r="T479" i="11"/>
  <c r="AN478" i="11"/>
  <c r="AB478" i="11"/>
  <c r="AA478" i="11"/>
  <c r="Y478" i="11"/>
  <c r="X478" i="11"/>
  <c r="V478" i="11"/>
  <c r="U478" i="11"/>
  <c r="T478" i="11"/>
  <c r="AN477" i="11"/>
  <c r="AB477" i="11"/>
  <c r="AA477" i="11"/>
  <c r="Y477" i="11"/>
  <c r="X477" i="11"/>
  <c r="V477" i="11"/>
  <c r="U477" i="11"/>
  <c r="T477" i="11"/>
  <c r="AN476" i="11"/>
  <c r="AB476" i="11"/>
  <c r="AA476" i="11"/>
  <c r="Y476" i="11"/>
  <c r="X476" i="11"/>
  <c r="V476" i="11"/>
  <c r="U476" i="11"/>
  <c r="T476" i="11"/>
  <c r="AN475" i="11"/>
  <c r="AB475" i="11"/>
  <c r="Y475" i="11"/>
  <c r="V475" i="11"/>
  <c r="U475" i="11"/>
  <c r="T475" i="11"/>
  <c r="AN473" i="11"/>
  <c r="AB473" i="11"/>
  <c r="AA473" i="11"/>
  <c r="Y473" i="11"/>
  <c r="X473" i="11"/>
  <c r="V473" i="11"/>
  <c r="U473" i="11"/>
  <c r="T473" i="11"/>
  <c r="AN472" i="11"/>
  <c r="AB472" i="11"/>
  <c r="AA472" i="11"/>
  <c r="Y472" i="11"/>
  <c r="X472" i="11"/>
  <c r="V472" i="11"/>
  <c r="U472" i="11"/>
  <c r="T472" i="11"/>
  <c r="AN471" i="11"/>
  <c r="AB471" i="11"/>
  <c r="AA471" i="11"/>
  <c r="Y471" i="11"/>
  <c r="X471" i="11"/>
  <c r="V471" i="11"/>
  <c r="U471" i="11"/>
  <c r="T471" i="11"/>
  <c r="AN468" i="11"/>
  <c r="Y468" i="11"/>
  <c r="X468" i="11"/>
  <c r="U468" i="11"/>
  <c r="T468" i="11"/>
  <c r="AN467" i="11"/>
  <c r="AB467" i="11"/>
  <c r="Y467" i="11"/>
  <c r="X467" i="11"/>
  <c r="U467" i="11"/>
  <c r="T467" i="11"/>
  <c r="AN466" i="11"/>
  <c r="AB466" i="11"/>
  <c r="AA466" i="11"/>
  <c r="Y466" i="11"/>
  <c r="X466" i="11"/>
  <c r="V466" i="11"/>
  <c r="U466" i="11"/>
  <c r="AN465" i="11"/>
  <c r="AB465" i="11"/>
  <c r="AA465" i="11"/>
  <c r="Y465" i="11"/>
  <c r="X465" i="11"/>
  <c r="V465" i="11"/>
  <c r="U465" i="11"/>
  <c r="T465" i="11"/>
  <c r="AN464" i="11"/>
  <c r="AB464" i="11"/>
  <c r="AA464" i="11"/>
  <c r="Y464" i="11"/>
  <c r="X464" i="11"/>
  <c r="V464" i="11"/>
  <c r="U464" i="11"/>
  <c r="T464" i="11"/>
  <c r="AN463" i="11"/>
  <c r="AB463" i="11"/>
  <c r="AA463" i="11"/>
  <c r="Y463" i="11"/>
  <c r="X463" i="11"/>
  <c r="V463" i="11"/>
  <c r="U463" i="11"/>
  <c r="T463" i="11"/>
  <c r="AN462" i="11"/>
  <c r="AB462" i="11"/>
  <c r="AA462" i="11"/>
  <c r="Y462" i="11"/>
  <c r="X462" i="11"/>
  <c r="V462" i="11"/>
  <c r="U462" i="11"/>
  <c r="T462" i="11"/>
  <c r="AN461" i="11"/>
  <c r="AB461" i="11"/>
  <c r="AA461" i="11"/>
  <c r="Y461" i="11"/>
  <c r="X461" i="11"/>
  <c r="U461" i="11"/>
  <c r="T461" i="11"/>
  <c r="AN460" i="11"/>
  <c r="AB460" i="11"/>
  <c r="AA460" i="11"/>
  <c r="Y460" i="11"/>
  <c r="X460" i="11"/>
  <c r="V460" i="11"/>
  <c r="U460" i="11"/>
  <c r="AN459" i="11"/>
  <c r="AB459" i="11"/>
  <c r="AA459" i="11"/>
  <c r="Y459" i="11"/>
  <c r="X459" i="11"/>
  <c r="V459" i="11"/>
  <c r="U459" i="11"/>
  <c r="AN458" i="11"/>
  <c r="AB458" i="11"/>
  <c r="AA458" i="11"/>
  <c r="U458" i="11"/>
  <c r="T458" i="11"/>
  <c r="AN444" i="11"/>
  <c r="AB444" i="11"/>
  <c r="AA444" i="11"/>
  <c r="U444" i="11"/>
  <c r="T444" i="11"/>
  <c r="AN443" i="11"/>
  <c r="AB443" i="11"/>
  <c r="AA443" i="11"/>
  <c r="Y443" i="11"/>
  <c r="X443" i="11"/>
  <c r="U443" i="11"/>
  <c r="T443" i="11"/>
  <c r="AN442" i="11"/>
  <c r="AB442" i="11"/>
  <c r="AA442" i="11"/>
  <c r="Y442" i="11"/>
  <c r="X442" i="11"/>
  <c r="V442" i="11"/>
  <c r="U442" i="11"/>
  <c r="T442" i="11"/>
  <c r="AN441" i="11"/>
  <c r="AB441" i="11"/>
  <c r="AA441" i="11"/>
  <c r="Y441" i="11"/>
  <c r="X441" i="11"/>
  <c r="V441" i="11"/>
  <c r="U441" i="11"/>
  <c r="T441" i="11"/>
  <c r="AN440" i="11"/>
  <c r="AB440" i="11"/>
  <c r="AA440" i="11"/>
  <c r="Y440" i="11"/>
  <c r="X440" i="11"/>
  <c r="V440" i="11"/>
  <c r="U440" i="11"/>
  <c r="T440" i="11"/>
  <c r="AN439" i="11"/>
  <c r="AB439" i="11"/>
  <c r="AA439" i="11"/>
  <c r="Y439" i="11"/>
  <c r="X439" i="11"/>
  <c r="V439" i="11"/>
  <c r="U439" i="11"/>
  <c r="T439" i="11"/>
  <c r="AN438" i="11"/>
  <c r="AB438" i="11"/>
  <c r="AA438" i="11"/>
  <c r="Y438" i="11"/>
  <c r="X438" i="11"/>
  <c r="V438" i="11"/>
  <c r="U438" i="11"/>
  <c r="T438" i="11"/>
  <c r="AN437" i="11"/>
  <c r="AB437" i="11"/>
  <c r="AA437" i="11"/>
  <c r="X437" i="11"/>
  <c r="U437" i="11"/>
  <c r="T437" i="11"/>
  <c r="AN435" i="11"/>
  <c r="AB435" i="11"/>
  <c r="AA435" i="11"/>
  <c r="U435" i="11"/>
  <c r="T435" i="11"/>
  <c r="AN434" i="11"/>
  <c r="AB434" i="11"/>
  <c r="AA434" i="11"/>
  <c r="U434" i="11"/>
  <c r="T434" i="11"/>
  <c r="AN433" i="11"/>
  <c r="AB433" i="11"/>
  <c r="AA433" i="11"/>
  <c r="Y433" i="11"/>
  <c r="X433" i="11"/>
  <c r="V433" i="11"/>
  <c r="U433" i="11"/>
  <c r="T433" i="11"/>
  <c r="AN432" i="11"/>
  <c r="AB432" i="11"/>
  <c r="AA432" i="11"/>
  <c r="Y432" i="11"/>
  <c r="X432" i="11"/>
  <c r="V432" i="11"/>
  <c r="U432" i="11"/>
  <c r="T432" i="11"/>
  <c r="AN430" i="11"/>
  <c r="AB430" i="11"/>
  <c r="AA430" i="11"/>
  <c r="Y430" i="11"/>
  <c r="X430" i="11"/>
  <c r="U430" i="11"/>
  <c r="T430" i="11"/>
  <c r="AN428" i="11"/>
  <c r="AB428" i="11"/>
  <c r="AA428" i="11"/>
  <c r="Y428" i="11"/>
  <c r="X428" i="11"/>
  <c r="V428" i="11"/>
  <c r="U428" i="11"/>
  <c r="T428" i="11"/>
  <c r="AN427" i="11"/>
  <c r="AB427" i="11"/>
  <c r="AA427" i="11"/>
  <c r="Y427" i="11"/>
  <c r="X427" i="11"/>
  <c r="V427" i="11"/>
  <c r="U427" i="11"/>
  <c r="T427" i="11"/>
  <c r="AN426" i="11"/>
  <c r="AB426" i="11"/>
  <c r="AA426" i="11"/>
  <c r="Y426" i="11"/>
  <c r="X426" i="11"/>
  <c r="V426" i="11"/>
  <c r="U426" i="11"/>
  <c r="T426" i="11"/>
  <c r="AN425" i="11"/>
  <c r="AB425" i="11"/>
  <c r="AA425" i="11"/>
  <c r="Y425" i="11"/>
  <c r="X425" i="11"/>
  <c r="V425" i="11"/>
  <c r="U425" i="11"/>
  <c r="T425" i="11"/>
  <c r="AN424" i="11"/>
  <c r="AB424" i="11"/>
  <c r="AA424" i="11"/>
  <c r="Y424" i="11"/>
  <c r="X424" i="11"/>
  <c r="V424" i="11"/>
  <c r="U424" i="11"/>
  <c r="T424" i="11"/>
  <c r="AN423" i="11"/>
  <c r="AB423" i="11"/>
  <c r="AA423" i="11"/>
  <c r="Y423" i="11"/>
  <c r="X423" i="11"/>
  <c r="V423" i="11"/>
  <c r="U423" i="11"/>
  <c r="T423" i="11"/>
  <c r="AN422" i="11"/>
  <c r="AB422" i="11"/>
  <c r="AA422" i="11"/>
  <c r="Y422" i="11"/>
  <c r="X422" i="11"/>
  <c r="V422" i="11"/>
  <c r="U422" i="11"/>
  <c r="T422" i="11"/>
  <c r="AN421" i="11"/>
  <c r="AB421" i="11"/>
  <c r="AA421" i="11"/>
  <c r="Y421" i="11"/>
  <c r="X421" i="11"/>
  <c r="V421" i="11"/>
  <c r="U421" i="11"/>
  <c r="T421" i="11"/>
  <c r="AN420" i="11"/>
  <c r="AB420" i="11"/>
  <c r="AA420" i="11"/>
  <c r="Y420" i="11"/>
  <c r="X420" i="11"/>
  <c r="V420" i="11"/>
  <c r="U420" i="11"/>
  <c r="T420" i="11"/>
  <c r="AN419" i="11"/>
  <c r="AB419" i="11"/>
  <c r="AA419" i="11"/>
  <c r="Y419" i="11"/>
  <c r="X419" i="11"/>
  <c r="V419" i="11"/>
  <c r="AN418" i="11"/>
  <c r="AB418" i="11"/>
  <c r="AA418" i="11"/>
  <c r="Y418" i="11"/>
  <c r="X418" i="11"/>
  <c r="V418" i="11"/>
  <c r="U418" i="11"/>
  <c r="AN417" i="11"/>
  <c r="AB417" i="11"/>
  <c r="AA417" i="11"/>
  <c r="Y417" i="11"/>
  <c r="X417" i="11"/>
  <c r="V417" i="11"/>
  <c r="U417" i="11"/>
  <c r="T417" i="11"/>
  <c r="AN416" i="11"/>
  <c r="AB416" i="11"/>
  <c r="AA416" i="11"/>
  <c r="Y416" i="11"/>
  <c r="X416" i="11"/>
  <c r="V416" i="11"/>
  <c r="U416" i="11"/>
  <c r="T416" i="11"/>
  <c r="AN415" i="11"/>
  <c r="AB415" i="11"/>
  <c r="AA415" i="11"/>
  <c r="Y415" i="11"/>
  <c r="X415" i="11"/>
  <c r="V415" i="11"/>
  <c r="U415" i="11"/>
  <c r="T415" i="11"/>
  <c r="AN414" i="11"/>
  <c r="AB414" i="11"/>
  <c r="AA414" i="11"/>
  <c r="Y414" i="11"/>
  <c r="X414" i="11"/>
  <c r="V414" i="11"/>
  <c r="U414" i="11"/>
  <c r="T414" i="11"/>
  <c r="AN413" i="11"/>
  <c r="AB413" i="11"/>
  <c r="AA413" i="11"/>
  <c r="Y413" i="11"/>
  <c r="X413" i="11"/>
  <c r="U413" i="11"/>
  <c r="T413" i="11"/>
  <c r="AN412" i="11"/>
  <c r="AB412" i="11"/>
  <c r="AA412" i="11"/>
  <c r="Y412" i="11"/>
  <c r="X412" i="11"/>
  <c r="V412" i="11"/>
  <c r="U412" i="11"/>
  <c r="T412" i="11"/>
  <c r="AN411" i="11"/>
  <c r="AB411" i="11"/>
  <c r="AA411" i="11"/>
  <c r="Y411" i="11"/>
  <c r="X411" i="11"/>
  <c r="V411" i="11"/>
  <c r="U411" i="11"/>
  <c r="T411" i="11"/>
  <c r="AN410" i="11"/>
  <c r="AB410" i="11"/>
  <c r="AA410" i="11"/>
  <c r="Y410" i="11"/>
  <c r="X410" i="11"/>
  <c r="U410" i="11"/>
  <c r="T410" i="11"/>
  <c r="AN409" i="11"/>
  <c r="AB409" i="11"/>
  <c r="AA409" i="11"/>
  <c r="Y409" i="11"/>
  <c r="X409" i="11"/>
  <c r="U409" i="11"/>
  <c r="T409" i="11"/>
  <c r="AN408" i="11"/>
  <c r="AB408" i="11"/>
  <c r="AA408" i="11"/>
  <c r="Y408" i="11"/>
  <c r="X408" i="11"/>
  <c r="U408" i="11"/>
  <c r="T408" i="11"/>
  <c r="AN407" i="11"/>
  <c r="AB407" i="11"/>
  <c r="AA407" i="11"/>
  <c r="Y407" i="11"/>
  <c r="X407" i="11"/>
  <c r="U407" i="11"/>
  <c r="T407" i="11"/>
  <c r="AN406" i="11"/>
  <c r="AB406" i="11"/>
  <c r="AA406" i="11"/>
  <c r="Y406" i="11"/>
  <c r="X406" i="11"/>
  <c r="V406" i="11"/>
  <c r="U406" i="11"/>
  <c r="T406" i="11"/>
  <c r="AN405" i="11"/>
  <c r="AB405" i="11"/>
  <c r="AA405" i="11"/>
  <c r="Y405" i="11"/>
  <c r="X405" i="11"/>
  <c r="V405" i="11"/>
  <c r="U405" i="11"/>
  <c r="T405" i="11"/>
  <c r="AN404" i="11"/>
  <c r="AB404" i="11"/>
  <c r="AA404" i="11"/>
  <c r="Y404" i="11"/>
  <c r="X404" i="11"/>
  <c r="V404" i="11"/>
  <c r="U404" i="11"/>
  <c r="T404" i="11"/>
  <c r="S404" i="11"/>
  <c r="L404" i="11"/>
  <c r="J404" i="11"/>
  <c r="AN403" i="11"/>
  <c r="AB403" i="11"/>
  <c r="AA403" i="11"/>
  <c r="Y403" i="11"/>
  <c r="X403" i="11"/>
  <c r="V403" i="11"/>
  <c r="U403" i="11"/>
  <c r="T403" i="11"/>
  <c r="AN402" i="11"/>
  <c r="AB402" i="11"/>
  <c r="AA402" i="11"/>
  <c r="Y402" i="11"/>
  <c r="X402" i="11"/>
  <c r="V402" i="11"/>
  <c r="U402" i="11"/>
  <c r="T402" i="11"/>
  <c r="AN401" i="11"/>
  <c r="AB401" i="11"/>
  <c r="AA401" i="11"/>
  <c r="Y401" i="11"/>
  <c r="X401" i="11"/>
  <c r="V401" i="11"/>
  <c r="U401" i="11"/>
  <c r="T401" i="11"/>
  <c r="AN400" i="11"/>
  <c r="AB400" i="11"/>
  <c r="AA400" i="11"/>
  <c r="Y400" i="11"/>
  <c r="X400" i="11"/>
  <c r="V400" i="11"/>
  <c r="U400" i="11"/>
  <c r="T400" i="11"/>
  <c r="AN399" i="11"/>
  <c r="AB399" i="11"/>
  <c r="AA399" i="11"/>
  <c r="Y399" i="11"/>
  <c r="X399" i="11"/>
  <c r="V399" i="11"/>
  <c r="U399" i="11"/>
  <c r="T399" i="11"/>
  <c r="AN398" i="11"/>
  <c r="AB398" i="11"/>
  <c r="AA398" i="11"/>
  <c r="Y398" i="11"/>
  <c r="X398" i="11"/>
  <c r="V398" i="11"/>
  <c r="U398" i="11"/>
  <c r="T398" i="11"/>
  <c r="AN397" i="11"/>
  <c r="AB397" i="11"/>
  <c r="AA397" i="11"/>
  <c r="Y397" i="11"/>
  <c r="X397" i="11"/>
  <c r="V397" i="11"/>
  <c r="U397" i="11"/>
  <c r="T397" i="11"/>
  <c r="AN396" i="11"/>
  <c r="AB396" i="11"/>
  <c r="AA396" i="11"/>
  <c r="Y396" i="11"/>
  <c r="X396" i="11"/>
  <c r="V396" i="11"/>
  <c r="U396" i="11"/>
  <c r="T396" i="11"/>
  <c r="AN395" i="11"/>
  <c r="AB395" i="11"/>
  <c r="AA395" i="11"/>
  <c r="Y395" i="11"/>
  <c r="X395" i="11"/>
  <c r="V395" i="11"/>
  <c r="U395" i="11"/>
  <c r="T395" i="11"/>
  <c r="AN394" i="11"/>
  <c r="AB394" i="11"/>
  <c r="AA394" i="11"/>
  <c r="Y394" i="11"/>
  <c r="X394" i="11"/>
  <c r="V394" i="11"/>
  <c r="U394" i="11"/>
  <c r="T394" i="11"/>
  <c r="AN393" i="11"/>
  <c r="AB393" i="11"/>
  <c r="AA393" i="11"/>
  <c r="Y393" i="11"/>
  <c r="X393" i="11"/>
  <c r="V393" i="11"/>
  <c r="U393" i="11"/>
  <c r="T393" i="11"/>
  <c r="S393" i="11"/>
  <c r="L393" i="11"/>
  <c r="AN392" i="11"/>
  <c r="AB392" i="11"/>
  <c r="AA392" i="11"/>
  <c r="Y392" i="11"/>
  <c r="X392" i="11"/>
  <c r="V392" i="11"/>
  <c r="U392" i="11"/>
  <c r="T392" i="11"/>
  <c r="S392" i="11"/>
  <c r="L392" i="11"/>
  <c r="AN391" i="11"/>
  <c r="AB391" i="11"/>
  <c r="AA391" i="11"/>
  <c r="Y391" i="11"/>
  <c r="X391" i="11"/>
  <c r="V391" i="11"/>
  <c r="U391" i="11"/>
  <c r="T391" i="11"/>
  <c r="BU390" i="11"/>
  <c r="AN389" i="11"/>
  <c r="AB389" i="11"/>
  <c r="X389" i="11"/>
  <c r="U389" i="11"/>
  <c r="T389" i="11"/>
  <c r="AN387" i="11"/>
  <c r="AB387" i="11"/>
  <c r="AA387" i="11"/>
  <c r="Y387" i="11"/>
  <c r="X387" i="11"/>
  <c r="U387" i="11"/>
  <c r="T387" i="11"/>
  <c r="BU386" i="11"/>
  <c r="BK386" i="11"/>
  <c r="BI386" i="11"/>
  <c r="BF386" i="11"/>
  <c r="BE386" i="11"/>
  <c r="BB386" i="11"/>
  <c r="C33" i="17" s="1"/>
  <c r="C33" i="22" s="1"/>
  <c r="BA386" i="11"/>
  <c r="AN385" i="11"/>
  <c r="AB385" i="11"/>
  <c r="Y385" i="11"/>
  <c r="X385" i="11"/>
  <c r="W385" i="11"/>
  <c r="U385" i="11"/>
  <c r="T385" i="11"/>
  <c r="AN380" i="11"/>
  <c r="AB380" i="11"/>
  <c r="Y380" i="11"/>
  <c r="X380" i="11"/>
  <c r="W380" i="11"/>
  <c r="U380" i="11"/>
  <c r="T380" i="11"/>
  <c r="AN379" i="11"/>
  <c r="AB379" i="11"/>
  <c r="Y379" i="11"/>
  <c r="X379" i="11"/>
  <c r="W379" i="11"/>
  <c r="U379" i="11"/>
  <c r="T379" i="11"/>
  <c r="AN378" i="11"/>
  <c r="AB378" i="11"/>
  <c r="Y378" i="11"/>
  <c r="X378" i="11"/>
  <c r="W378" i="11"/>
  <c r="V378" i="11"/>
  <c r="U378" i="11"/>
  <c r="T378" i="11"/>
  <c r="AN377" i="11"/>
  <c r="AB377" i="11"/>
  <c r="Y377" i="11"/>
  <c r="X377" i="11"/>
  <c r="W377" i="11"/>
  <c r="V377" i="11"/>
  <c r="U377" i="11"/>
  <c r="T377" i="11"/>
  <c r="AN376" i="11"/>
  <c r="AB376" i="11"/>
  <c r="Y376" i="11"/>
  <c r="X376" i="11"/>
  <c r="W376" i="11"/>
  <c r="V376" i="11"/>
  <c r="U376" i="11"/>
  <c r="T376" i="11"/>
  <c r="AN375" i="11"/>
  <c r="AB375" i="11"/>
  <c r="Y375" i="11"/>
  <c r="X375" i="11"/>
  <c r="W375" i="11"/>
  <c r="V375" i="11"/>
  <c r="U375" i="11"/>
  <c r="T375" i="11"/>
  <c r="AN374" i="11"/>
  <c r="AB374" i="11"/>
  <c r="Y374" i="11"/>
  <c r="X374" i="11"/>
  <c r="W374" i="11"/>
  <c r="U374" i="11"/>
  <c r="T374" i="11"/>
  <c r="AN373" i="11"/>
  <c r="AB373" i="11"/>
  <c r="Y373" i="11"/>
  <c r="X373" i="11"/>
  <c r="W373" i="11"/>
  <c r="V373" i="11"/>
  <c r="U373" i="11"/>
  <c r="T373" i="11"/>
  <c r="AN372" i="11"/>
  <c r="AB372" i="11"/>
  <c r="Y372" i="11"/>
  <c r="X372" i="11"/>
  <c r="W372" i="11"/>
  <c r="V372" i="11"/>
  <c r="U372" i="11"/>
  <c r="T372" i="11"/>
  <c r="AN371" i="11"/>
  <c r="AB371" i="11"/>
  <c r="Y371" i="11"/>
  <c r="X371" i="11"/>
  <c r="W371" i="11"/>
  <c r="V371" i="11"/>
  <c r="U371" i="11"/>
  <c r="T371" i="11"/>
  <c r="AN370" i="11"/>
  <c r="AB370" i="11"/>
  <c r="Y370" i="11"/>
  <c r="X370" i="11"/>
  <c r="W370" i="11"/>
  <c r="V370" i="11"/>
  <c r="U370" i="11"/>
  <c r="T370" i="11"/>
  <c r="AN369" i="11"/>
  <c r="AB369" i="11"/>
  <c r="Y369" i="11"/>
  <c r="X369" i="11"/>
  <c r="W369" i="11"/>
  <c r="V369" i="11"/>
  <c r="U369" i="11"/>
  <c r="T369" i="11"/>
  <c r="AN368" i="11"/>
  <c r="AB368" i="11"/>
  <c r="Y368" i="11"/>
  <c r="X368" i="11"/>
  <c r="W368" i="11"/>
  <c r="V368" i="11"/>
  <c r="U368" i="11"/>
  <c r="T368" i="11"/>
  <c r="AN367" i="11"/>
  <c r="AB367" i="11"/>
  <c r="Y367" i="11"/>
  <c r="X367" i="11"/>
  <c r="W367" i="11"/>
  <c r="V367" i="11"/>
  <c r="U367" i="11"/>
  <c r="T367" i="11"/>
  <c r="AN366" i="11"/>
  <c r="AB366" i="11"/>
  <c r="Y366" i="11"/>
  <c r="X366" i="11"/>
  <c r="W366" i="11"/>
  <c r="V366" i="11"/>
  <c r="U366" i="11"/>
  <c r="T366" i="11"/>
  <c r="AN365" i="11"/>
  <c r="AB365" i="11"/>
  <c r="Y365" i="11"/>
  <c r="X365" i="11"/>
  <c r="W365" i="11"/>
  <c r="V365" i="11"/>
  <c r="U365" i="11"/>
  <c r="T365" i="11"/>
  <c r="AN364" i="11"/>
  <c r="AB364" i="11"/>
  <c r="AA364" i="11"/>
  <c r="Y364" i="11"/>
  <c r="X364" i="11"/>
  <c r="W364" i="11"/>
  <c r="V364" i="11"/>
  <c r="U364" i="11"/>
  <c r="T364" i="11"/>
  <c r="AN363" i="11"/>
  <c r="AB363" i="11"/>
  <c r="AA363" i="11"/>
  <c r="Y363" i="11"/>
  <c r="X363" i="11"/>
  <c r="W363" i="11"/>
  <c r="U363" i="11"/>
  <c r="T363" i="11"/>
  <c r="AN362" i="11"/>
  <c r="AB362" i="11"/>
  <c r="Y362" i="11"/>
  <c r="X362" i="11"/>
  <c r="W362" i="11"/>
  <c r="V362" i="11"/>
  <c r="U362" i="11"/>
  <c r="T362" i="11"/>
  <c r="AN361" i="11"/>
  <c r="AB361" i="11"/>
  <c r="AA361" i="11"/>
  <c r="Y361" i="11"/>
  <c r="X361" i="11"/>
  <c r="W361" i="11"/>
  <c r="V361" i="11"/>
  <c r="U361" i="11"/>
  <c r="T361" i="11"/>
  <c r="AN360" i="11"/>
  <c r="AB360" i="11"/>
  <c r="AA360" i="11"/>
  <c r="Y360" i="11"/>
  <c r="X360" i="11"/>
  <c r="W360" i="11"/>
  <c r="V360" i="11"/>
  <c r="U360" i="11"/>
  <c r="T360" i="11"/>
  <c r="AN359" i="11"/>
  <c r="AB359" i="11"/>
  <c r="AA359" i="11"/>
  <c r="Y359" i="11"/>
  <c r="X359" i="11"/>
  <c r="W359" i="11"/>
  <c r="V359" i="11"/>
  <c r="U359" i="11"/>
  <c r="T359" i="11"/>
  <c r="AN358" i="11"/>
  <c r="AB358" i="11"/>
  <c r="Y358" i="11"/>
  <c r="X358" i="11"/>
  <c r="W358" i="11"/>
  <c r="V358" i="11"/>
  <c r="U358" i="11"/>
  <c r="T358" i="11"/>
  <c r="AN357" i="11"/>
  <c r="AB357" i="11"/>
  <c r="Y357" i="11"/>
  <c r="X357" i="11"/>
  <c r="W357" i="11"/>
  <c r="V357" i="11"/>
  <c r="U357" i="11"/>
  <c r="T357" i="11"/>
  <c r="AN356" i="11"/>
  <c r="AB356" i="11"/>
  <c r="Y356" i="11"/>
  <c r="X356" i="11"/>
  <c r="W356" i="11"/>
  <c r="V356" i="11"/>
  <c r="U356" i="11"/>
  <c r="T356" i="11"/>
  <c r="AN355" i="11"/>
  <c r="AB355" i="11"/>
  <c r="Y355" i="11"/>
  <c r="X355" i="11"/>
  <c r="W355" i="11"/>
  <c r="V355" i="11"/>
  <c r="U355" i="11"/>
  <c r="T355" i="11"/>
  <c r="AN354" i="11"/>
  <c r="AB354" i="11"/>
  <c r="AA354" i="11"/>
  <c r="Y354" i="11"/>
  <c r="X354" i="11"/>
  <c r="W354" i="11"/>
  <c r="V354" i="11"/>
  <c r="U354" i="11"/>
  <c r="T354" i="11"/>
  <c r="AN353" i="11"/>
  <c r="AB353" i="11"/>
  <c r="Y353" i="11"/>
  <c r="X353" i="11"/>
  <c r="W353" i="11"/>
  <c r="V353" i="11"/>
  <c r="U353" i="11"/>
  <c r="T353" i="11"/>
  <c r="AN352" i="11"/>
  <c r="AB352" i="11"/>
  <c r="Y352" i="11"/>
  <c r="X352" i="11"/>
  <c r="U352" i="11"/>
  <c r="T352" i="11"/>
  <c r="BF351" i="11"/>
  <c r="BE351" i="11"/>
  <c r="BB351" i="11"/>
  <c r="C37" i="17" s="1"/>
  <c r="C37" i="22" s="1"/>
  <c r="BA351" i="11"/>
  <c r="AN350" i="11"/>
  <c r="AB350" i="11"/>
  <c r="Y350" i="11"/>
  <c r="X350" i="11"/>
  <c r="W350" i="11"/>
  <c r="V350" i="11"/>
  <c r="U350" i="11"/>
  <c r="T350" i="11"/>
  <c r="AN347" i="11"/>
  <c r="AB347" i="11"/>
  <c r="AA347" i="11"/>
  <c r="Y347" i="11"/>
  <c r="X347" i="11"/>
  <c r="W347" i="11"/>
  <c r="V347" i="11"/>
  <c r="U347" i="11"/>
  <c r="T347" i="11"/>
  <c r="BU346" i="11"/>
  <c r="BK346" i="11"/>
  <c r="BI346" i="11"/>
  <c r="BF346" i="11"/>
  <c r="BE346" i="11"/>
  <c r="BD346" i="11"/>
  <c r="BC346" i="11"/>
  <c r="BB346" i="11"/>
  <c r="C34" i="17" s="1"/>
  <c r="C34" i="22" s="1"/>
  <c r="BA346" i="11"/>
  <c r="U317" i="11"/>
  <c r="V317" i="11"/>
  <c r="T318" i="11"/>
  <c r="T317" i="11"/>
  <c r="AN317" i="11"/>
  <c r="AB317" i="11"/>
  <c r="AA317" i="11"/>
  <c r="Y317" i="11"/>
  <c r="X317" i="11"/>
  <c r="W317" i="11"/>
  <c r="AN318" i="11"/>
  <c r="AB318" i="11"/>
  <c r="AA318" i="11"/>
  <c r="Y318" i="11"/>
  <c r="X318" i="11"/>
  <c r="W318" i="11"/>
  <c r="V318" i="11"/>
  <c r="K318" i="11"/>
  <c r="AN345" i="11"/>
  <c r="AB345" i="11"/>
  <c r="W345" i="11"/>
  <c r="U345" i="11"/>
  <c r="T345" i="11"/>
  <c r="AN336" i="11"/>
  <c r="AB336" i="11"/>
  <c r="AA336" i="11"/>
  <c r="Y336" i="11"/>
  <c r="X336" i="11"/>
  <c r="W336" i="11"/>
  <c r="U336" i="11"/>
  <c r="T336" i="11"/>
  <c r="AN335" i="11"/>
  <c r="AB335" i="11"/>
  <c r="AA335" i="11"/>
  <c r="Y335" i="11"/>
  <c r="X335" i="11"/>
  <c r="W335" i="11"/>
  <c r="V335" i="11"/>
  <c r="U335" i="11"/>
  <c r="T335" i="11"/>
  <c r="AN334" i="11"/>
  <c r="AB334" i="11"/>
  <c r="AA334" i="11"/>
  <c r="Y334" i="11"/>
  <c r="X334" i="11"/>
  <c r="W334" i="11"/>
  <c r="U334" i="11"/>
  <c r="T334" i="11"/>
  <c r="AN333" i="11"/>
  <c r="AB333" i="11"/>
  <c r="AA333" i="11"/>
  <c r="Y333" i="11"/>
  <c r="X333" i="11"/>
  <c r="W333" i="11"/>
  <c r="V333" i="11"/>
  <c r="U333" i="11"/>
  <c r="T333" i="11"/>
  <c r="AN332" i="11"/>
  <c r="AB332" i="11"/>
  <c r="AA332" i="11"/>
  <c r="Y332" i="11"/>
  <c r="X332" i="11"/>
  <c r="W332" i="11"/>
  <c r="V332" i="11"/>
  <c r="U332" i="11"/>
  <c r="T332" i="11"/>
  <c r="AN331" i="11"/>
  <c r="AB331" i="11"/>
  <c r="AA331" i="11"/>
  <c r="Y331" i="11"/>
  <c r="X331" i="11"/>
  <c r="W331" i="11"/>
  <c r="V331" i="11"/>
  <c r="U331" i="11"/>
  <c r="T331" i="11"/>
  <c r="AN330" i="11"/>
  <c r="AB330" i="11"/>
  <c r="AA330" i="11"/>
  <c r="Y330" i="11"/>
  <c r="X330" i="11"/>
  <c r="W330" i="11"/>
  <c r="U330" i="11"/>
  <c r="T330" i="11"/>
  <c r="AN329" i="11"/>
  <c r="AB329" i="11"/>
  <c r="AA329" i="11"/>
  <c r="Y329" i="11"/>
  <c r="X329" i="11"/>
  <c r="W329" i="11"/>
  <c r="V329" i="11"/>
  <c r="U329" i="11"/>
  <c r="T329" i="11"/>
  <c r="AN328" i="11"/>
  <c r="AB328" i="11"/>
  <c r="AA328" i="11"/>
  <c r="Y328" i="11"/>
  <c r="X328" i="11"/>
  <c r="W328" i="11"/>
  <c r="V328" i="11"/>
  <c r="U328" i="11"/>
  <c r="T328" i="11"/>
  <c r="AN327" i="11"/>
  <c r="AB327" i="11"/>
  <c r="AA327" i="11"/>
  <c r="Y327" i="11"/>
  <c r="X327" i="11"/>
  <c r="W327" i="11"/>
  <c r="V327" i="11"/>
  <c r="U327" i="11"/>
  <c r="T327" i="11"/>
  <c r="AN326" i="11"/>
  <c r="AB326" i="11"/>
  <c r="AA326" i="11"/>
  <c r="Y326" i="11"/>
  <c r="X326" i="11"/>
  <c r="W326" i="11"/>
  <c r="V326" i="11"/>
  <c r="U326" i="11"/>
  <c r="T326" i="11"/>
  <c r="AN325" i="11"/>
  <c r="AB325" i="11"/>
  <c r="AA325" i="11"/>
  <c r="Y325" i="11"/>
  <c r="X325" i="11"/>
  <c r="W325" i="11"/>
  <c r="V325" i="11"/>
  <c r="U325" i="11"/>
  <c r="T325" i="11"/>
  <c r="AN324" i="11"/>
  <c r="AB324" i="11"/>
  <c r="AA324" i="11"/>
  <c r="Y324" i="11"/>
  <c r="X324" i="11"/>
  <c r="W324" i="11"/>
  <c r="V324" i="11"/>
  <c r="U324" i="11"/>
  <c r="T324" i="11"/>
  <c r="AN323" i="11"/>
  <c r="AB323" i="11"/>
  <c r="AA323" i="11"/>
  <c r="Y323" i="11"/>
  <c r="X323" i="11"/>
  <c r="W323" i="11"/>
  <c r="V323" i="11"/>
  <c r="U323" i="11"/>
  <c r="T323" i="11"/>
  <c r="AN322" i="11"/>
  <c r="AB322" i="11"/>
  <c r="AA322" i="11"/>
  <c r="Y322" i="11"/>
  <c r="X322" i="11"/>
  <c r="W322" i="11"/>
  <c r="V322" i="11"/>
  <c r="U322" i="11"/>
  <c r="T322" i="11"/>
  <c r="AN321" i="11"/>
  <c r="AB321" i="11"/>
  <c r="AA321" i="11"/>
  <c r="Y321" i="11"/>
  <c r="X321" i="11"/>
  <c r="W321" i="11"/>
  <c r="V321" i="11"/>
  <c r="U321" i="11"/>
  <c r="T321" i="11"/>
  <c r="AN320" i="11"/>
  <c r="AB320" i="11"/>
  <c r="AA320" i="11"/>
  <c r="Y320" i="11"/>
  <c r="X320" i="11"/>
  <c r="W320" i="11"/>
  <c r="V320" i="11"/>
  <c r="U320" i="11"/>
  <c r="T320" i="11"/>
  <c r="AN319" i="11"/>
  <c r="AB319" i="11"/>
  <c r="AA319" i="11"/>
  <c r="Y319" i="11"/>
  <c r="X319" i="11"/>
  <c r="W319" i="11"/>
  <c r="V319" i="11"/>
  <c r="U319" i="11"/>
  <c r="T319" i="11"/>
  <c r="BU316" i="11"/>
  <c r="BI316" i="11"/>
  <c r="BF316" i="11"/>
  <c r="BE316" i="11"/>
  <c r="BD316" i="11"/>
  <c r="BB316" i="11"/>
  <c r="C35" i="17" s="1"/>
  <c r="C35" i="22" s="1"/>
  <c r="BA316" i="11"/>
  <c r="T293" i="11"/>
  <c r="T291" i="11"/>
  <c r="U292" i="11"/>
  <c r="AN295" i="11"/>
  <c r="AB295" i="11"/>
  <c r="AA295" i="11"/>
  <c r="Y295" i="11"/>
  <c r="X295" i="11"/>
  <c r="W295" i="11"/>
  <c r="V295" i="11"/>
  <c r="AN294" i="11"/>
  <c r="AB294" i="11"/>
  <c r="AA294" i="11"/>
  <c r="Y294" i="11"/>
  <c r="X294" i="11"/>
  <c r="W294" i="11"/>
  <c r="V294" i="11"/>
  <c r="AN293" i="11"/>
  <c r="AB293" i="11"/>
  <c r="AA293" i="11"/>
  <c r="Y293" i="11"/>
  <c r="X293" i="11"/>
  <c r="W293" i="11"/>
  <c r="V293" i="11"/>
  <c r="AN292" i="11"/>
  <c r="AB292" i="11"/>
  <c r="AA292" i="11"/>
  <c r="Y292" i="11"/>
  <c r="X292" i="11"/>
  <c r="W292" i="11"/>
  <c r="V292" i="11"/>
  <c r="T295" i="11"/>
  <c r="K295" i="11"/>
  <c r="T294" i="11"/>
  <c r="K294" i="11"/>
  <c r="K293" i="11"/>
  <c r="AN315" i="11"/>
  <c r="AB315" i="11"/>
  <c r="AA315" i="11"/>
  <c r="Y315" i="11"/>
  <c r="X315" i="11"/>
  <c r="W315" i="11"/>
  <c r="U315" i="11"/>
  <c r="T315" i="11"/>
  <c r="AN305" i="11"/>
  <c r="AB305" i="11"/>
  <c r="AA305" i="11"/>
  <c r="Y305" i="11"/>
  <c r="X305" i="11"/>
  <c r="W305" i="11"/>
  <c r="V305" i="11"/>
  <c r="U305" i="11"/>
  <c r="T305" i="11"/>
  <c r="AN304" i="11"/>
  <c r="Y304" i="11"/>
  <c r="X304" i="11"/>
  <c r="W304" i="11"/>
  <c r="U304" i="11"/>
  <c r="T304" i="11"/>
  <c r="AN303" i="11"/>
  <c r="AB303" i="11"/>
  <c r="AA303" i="11"/>
  <c r="Y303" i="11"/>
  <c r="X303" i="11"/>
  <c r="W303" i="11"/>
  <c r="V303" i="11"/>
  <c r="U303" i="11"/>
  <c r="T303" i="11"/>
  <c r="AN302" i="11"/>
  <c r="AB302" i="11"/>
  <c r="AA302" i="11"/>
  <c r="Y302" i="11"/>
  <c r="X302" i="11"/>
  <c r="W302" i="11"/>
  <c r="V302" i="11"/>
  <c r="U302" i="11"/>
  <c r="T302" i="11"/>
  <c r="AN301" i="11"/>
  <c r="AB301" i="11"/>
  <c r="AA301" i="11"/>
  <c r="Y301" i="11"/>
  <c r="X301" i="11"/>
  <c r="W301" i="11"/>
  <c r="V301" i="11"/>
  <c r="U301" i="11"/>
  <c r="T301" i="11"/>
  <c r="AN300" i="11"/>
  <c r="AB300" i="11"/>
  <c r="AA300" i="11"/>
  <c r="Y300" i="11"/>
  <c r="X300" i="11"/>
  <c r="W300" i="11"/>
  <c r="V300" i="11"/>
  <c r="U300" i="11"/>
  <c r="T300" i="11"/>
  <c r="AN299" i="11"/>
  <c r="AB299" i="11"/>
  <c r="AA299" i="11"/>
  <c r="Y299" i="11"/>
  <c r="X299" i="11"/>
  <c r="W299" i="11"/>
  <c r="V299" i="11"/>
  <c r="U299" i="11"/>
  <c r="T299" i="11"/>
  <c r="AN298" i="11"/>
  <c r="AB298" i="11"/>
  <c r="AA298" i="11"/>
  <c r="Y298" i="11"/>
  <c r="X298" i="11"/>
  <c r="W298" i="11"/>
  <c r="V298" i="11"/>
  <c r="U298" i="11"/>
  <c r="T298" i="11"/>
  <c r="AN297" i="11"/>
  <c r="AB297" i="11"/>
  <c r="AA297" i="11"/>
  <c r="Y297" i="11"/>
  <c r="X297" i="11"/>
  <c r="W297" i="11"/>
  <c r="V297" i="11"/>
  <c r="U297" i="11"/>
  <c r="T297" i="11"/>
  <c r="AN296" i="11"/>
  <c r="AB296" i="11"/>
  <c r="AA296" i="11"/>
  <c r="Y296" i="11"/>
  <c r="X296" i="11"/>
  <c r="W296" i="11"/>
  <c r="V296" i="11"/>
  <c r="U296" i="11"/>
  <c r="T296" i="11"/>
  <c r="AN291" i="11"/>
  <c r="AB291" i="11"/>
  <c r="AA291" i="11"/>
  <c r="Y291" i="11"/>
  <c r="X291" i="11"/>
  <c r="W291" i="11"/>
  <c r="V291" i="11"/>
  <c r="U291" i="11"/>
  <c r="AN290" i="11"/>
  <c r="AB290" i="11"/>
  <c r="AA290" i="11"/>
  <c r="Y290" i="11"/>
  <c r="X290" i="11"/>
  <c r="W290" i="11"/>
  <c r="V290" i="11"/>
  <c r="U290" i="11"/>
  <c r="T290" i="11"/>
  <c r="AN289" i="11"/>
  <c r="AB289" i="11"/>
  <c r="AA289" i="11"/>
  <c r="Y289" i="11"/>
  <c r="X289" i="11"/>
  <c r="W289" i="11"/>
  <c r="V289" i="11"/>
  <c r="U289" i="11"/>
  <c r="T289" i="11"/>
  <c r="AN288" i="11"/>
  <c r="AB288" i="11"/>
  <c r="AA288" i="11"/>
  <c r="Y288" i="11"/>
  <c r="X288" i="11"/>
  <c r="W288" i="11"/>
  <c r="U288" i="11"/>
  <c r="T288" i="11"/>
  <c r="AN287" i="11"/>
  <c r="AB287" i="11"/>
  <c r="AA287" i="11"/>
  <c r="Y287" i="11"/>
  <c r="X287" i="11"/>
  <c r="W287" i="11"/>
  <c r="U287" i="11"/>
  <c r="T287" i="11"/>
  <c r="AN286" i="11"/>
  <c r="AB286" i="11"/>
  <c r="AA286" i="11"/>
  <c r="Y286" i="11"/>
  <c r="X286" i="11"/>
  <c r="W286" i="11"/>
  <c r="V286" i="11"/>
  <c r="U286" i="11"/>
  <c r="T286" i="11"/>
  <c r="AN285" i="11"/>
  <c r="AB285" i="11"/>
  <c r="AA285" i="11"/>
  <c r="Y285" i="11"/>
  <c r="X285" i="11"/>
  <c r="W285" i="11"/>
  <c r="V285" i="11"/>
  <c r="U285" i="11"/>
  <c r="T285" i="11"/>
  <c r="AN284" i="11"/>
  <c r="AB284" i="11"/>
  <c r="AA284" i="11"/>
  <c r="Y284" i="11"/>
  <c r="X284" i="11"/>
  <c r="W284" i="11"/>
  <c r="V284" i="11"/>
  <c r="U284" i="11"/>
  <c r="T284" i="11"/>
  <c r="AN283" i="11"/>
  <c r="AB283" i="11"/>
  <c r="AA283" i="11"/>
  <c r="Y283" i="11"/>
  <c r="X283" i="11"/>
  <c r="W283" i="11"/>
  <c r="V283" i="11"/>
  <c r="U283" i="11"/>
  <c r="T283" i="11"/>
  <c r="AN282" i="11"/>
  <c r="AB282" i="11"/>
  <c r="AA282" i="11"/>
  <c r="Y282" i="11"/>
  <c r="X282" i="11"/>
  <c r="W282" i="11"/>
  <c r="V282" i="11"/>
  <c r="U282" i="11"/>
  <c r="T282" i="11"/>
  <c r="BU281" i="11"/>
  <c r="BF281" i="11"/>
  <c r="BE281" i="11"/>
  <c r="BD281" i="11"/>
  <c r="BB281" i="11"/>
  <c r="C36" i="17" s="1"/>
  <c r="C36" i="22" s="1"/>
  <c r="BI263" i="11"/>
  <c r="BH263" i="11"/>
  <c r="BF263" i="11"/>
  <c r="BE263" i="11"/>
  <c r="BD263" i="11"/>
  <c r="BB263" i="11"/>
  <c r="C32" i="17" s="1"/>
  <c r="C32" i="22" s="1"/>
  <c r="BA263" i="11"/>
  <c r="AN280" i="11"/>
  <c r="AB280" i="11"/>
  <c r="AA280" i="11"/>
  <c r="Y280" i="11"/>
  <c r="X280" i="11"/>
  <c r="W280" i="11"/>
  <c r="U280" i="11"/>
  <c r="T280" i="11"/>
  <c r="AN278" i="11"/>
  <c r="AB278" i="11"/>
  <c r="AA278" i="11"/>
  <c r="Y278" i="11"/>
  <c r="X278" i="11"/>
  <c r="W278" i="11"/>
  <c r="V278" i="11"/>
  <c r="U278" i="11"/>
  <c r="T278" i="11"/>
  <c r="AN277" i="11"/>
  <c r="AB277" i="11"/>
  <c r="AA277" i="11"/>
  <c r="Y277" i="11"/>
  <c r="X277" i="11"/>
  <c r="W277" i="11"/>
  <c r="V277" i="11"/>
  <c r="U277" i="11"/>
  <c r="T277" i="11"/>
  <c r="AN276" i="11"/>
  <c r="AB276" i="11"/>
  <c r="AA276" i="11"/>
  <c r="Y276" i="11"/>
  <c r="X276" i="11"/>
  <c r="W276" i="11"/>
  <c r="V276" i="11"/>
  <c r="U276" i="11"/>
  <c r="T276" i="11"/>
  <c r="AN275" i="11"/>
  <c r="AB275" i="11"/>
  <c r="AA275" i="11"/>
  <c r="Y275" i="11"/>
  <c r="X275" i="11"/>
  <c r="W275" i="11"/>
  <c r="V275" i="11"/>
  <c r="U275" i="11"/>
  <c r="T275" i="11"/>
  <c r="AN274" i="11"/>
  <c r="AB274" i="11"/>
  <c r="AA274" i="11"/>
  <c r="Y274" i="11"/>
  <c r="X274" i="11"/>
  <c r="W274" i="11"/>
  <c r="V274" i="11"/>
  <c r="U274" i="11"/>
  <c r="T274" i="11"/>
  <c r="AN272" i="11"/>
  <c r="AB272" i="11"/>
  <c r="AA272" i="11"/>
  <c r="Y272" i="11"/>
  <c r="X272" i="11"/>
  <c r="W272" i="11"/>
  <c r="V272" i="11"/>
  <c r="U272" i="11"/>
  <c r="T272" i="11"/>
  <c r="AN271" i="11"/>
  <c r="AB271" i="11"/>
  <c r="AA271" i="11"/>
  <c r="Y271" i="11"/>
  <c r="X271" i="11"/>
  <c r="W271" i="11"/>
  <c r="V271" i="11"/>
  <c r="U271" i="11"/>
  <c r="T271" i="11"/>
  <c r="AN269" i="11"/>
  <c r="AB269" i="11"/>
  <c r="AA269" i="11"/>
  <c r="Y269" i="11"/>
  <c r="X269" i="11"/>
  <c r="W269" i="11"/>
  <c r="U269" i="11"/>
  <c r="T269" i="11"/>
  <c r="AN268" i="11"/>
  <c r="AB268" i="11"/>
  <c r="AA268" i="11"/>
  <c r="Y268" i="11"/>
  <c r="X268" i="11"/>
  <c r="W268" i="11"/>
  <c r="V268" i="11"/>
  <c r="U268" i="11"/>
  <c r="T268" i="11"/>
  <c r="AN267" i="11"/>
  <c r="AB267" i="11"/>
  <c r="AA267" i="11"/>
  <c r="Y267" i="11"/>
  <c r="X267" i="11"/>
  <c r="W267" i="11"/>
  <c r="V267" i="11"/>
  <c r="U267" i="11"/>
  <c r="T267" i="11"/>
  <c r="AN266" i="11"/>
  <c r="AB266" i="11"/>
  <c r="AA266" i="11"/>
  <c r="Y266" i="11"/>
  <c r="X266" i="11"/>
  <c r="W266" i="11"/>
  <c r="V266" i="11"/>
  <c r="U266" i="11"/>
  <c r="T266" i="11"/>
  <c r="AN265" i="11"/>
  <c r="AB265" i="11"/>
  <c r="AA265" i="11"/>
  <c r="Y265" i="11"/>
  <c r="X265" i="11"/>
  <c r="W265" i="11"/>
  <c r="V265" i="11"/>
  <c r="U265" i="11"/>
  <c r="T265" i="11"/>
  <c r="AN264" i="11"/>
  <c r="AB264" i="11"/>
  <c r="AA264" i="11"/>
  <c r="Y264" i="11"/>
  <c r="X264" i="11"/>
  <c r="W264" i="11"/>
  <c r="V264" i="11"/>
  <c r="U264" i="11"/>
  <c r="T264" i="11"/>
  <c r="AN198" i="11"/>
  <c r="AB198" i="11"/>
  <c r="AA198" i="11"/>
  <c r="Y198" i="11"/>
  <c r="X198" i="11"/>
  <c r="W198" i="11"/>
  <c r="U198" i="11"/>
  <c r="T198" i="11"/>
  <c r="AN197" i="11"/>
  <c r="AB197" i="11"/>
  <c r="AA197" i="11"/>
  <c r="Y197" i="11"/>
  <c r="X197" i="11"/>
  <c r="W197" i="11"/>
  <c r="U197" i="11"/>
  <c r="T197" i="11"/>
  <c r="AN196" i="11"/>
  <c r="AB196" i="11"/>
  <c r="AA196" i="11"/>
  <c r="Y196" i="11"/>
  <c r="X196" i="11"/>
  <c r="W196" i="11"/>
  <c r="U196" i="11"/>
  <c r="T196" i="11"/>
  <c r="AN195" i="11"/>
  <c r="AB195" i="11"/>
  <c r="AA195" i="11"/>
  <c r="Y195" i="11"/>
  <c r="X195" i="11"/>
  <c r="W195" i="11"/>
  <c r="U195" i="11"/>
  <c r="T195" i="11"/>
  <c r="AN194" i="11"/>
  <c r="AB194" i="11"/>
  <c r="AA194" i="11"/>
  <c r="Y194" i="11"/>
  <c r="X194" i="11"/>
  <c r="W194" i="11"/>
  <c r="U194" i="11"/>
  <c r="T194" i="11"/>
  <c r="AN191" i="11"/>
  <c r="AB191" i="11"/>
  <c r="AA191" i="11"/>
  <c r="Y191" i="11"/>
  <c r="X191" i="11"/>
  <c r="W191" i="11"/>
  <c r="V191" i="11"/>
  <c r="U191" i="11"/>
  <c r="T191" i="11"/>
  <c r="AN190" i="11"/>
  <c r="AB190" i="11"/>
  <c r="AA190" i="11"/>
  <c r="Y190" i="11"/>
  <c r="X190" i="11"/>
  <c r="W190" i="11"/>
  <c r="V190" i="11"/>
  <c r="U190" i="11"/>
  <c r="T190" i="11"/>
  <c r="AN189" i="11"/>
  <c r="AB189" i="11"/>
  <c r="AA189" i="11"/>
  <c r="Y189" i="11"/>
  <c r="X189" i="11"/>
  <c r="W189" i="11"/>
  <c r="V189" i="11"/>
  <c r="U189" i="11"/>
  <c r="T189" i="11"/>
  <c r="AN188" i="11"/>
  <c r="AB188" i="11"/>
  <c r="AA188" i="11"/>
  <c r="Y188" i="11"/>
  <c r="X188" i="11"/>
  <c r="W188" i="11"/>
  <c r="V188" i="11"/>
  <c r="U188" i="11"/>
  <c r="T188" i="11"/>
  <c r="AN187" i="11"/>
  <c r="AB187" i="11"/>
  <c r="AA187" i="11"/>
  <c r="Y187" i="11"/>
  <c r="X187" i="11"/>
  <c r="W187" i="11"/>
  <c r="V187" i="11"/>
  <c r="U187" i="11"/>
  <c r="T187" i="11"/>
  <c r="AN186" i="11"/>
  <c r="AB186" i="11"/>
  <c r="AA186" i="11"/>
  <c r="Y186" i="11"/>
  <c r="X186" i="11"/>
  <c r="W186" i="11"/>
  <c r="U186" i="11"/>
  <c r="T186" i="11"/>
  <c r="AN185" i="11"/>
  <c r="AB185" i="11"/>
  <c r="AA185" i="11"/>
  <c r="Y185" i="11"/>
  <c r="X185" i="11"/>
  <c r="W185" i="11"/>
  <c r="U185" i="11"/>
  <c r="T185" i="11"/>
  <c r="AN184" i="11"/>
  <c r="AB184" i="11"/>
  <c r="AA184" i="11"/>
  <c r="Y184" i="11"/>
  <c r="X184" i="11"/>
  <c r="W184" i="11"/>
  <c r="U184" i="11"/>
  <c r="T184" i="11"/>
  <c r="AN183" i="11"/>
  <c r="AB183" i="11"/>
  <c r="AA183" i="11"/>
  <c r="Y183" i="11"/>
  <c r="X183" i="11"/>
  <c r="W183" i="11"/>
  <c r="U183" i="11"/>
  <c r="T183" i="11"/>
  <c r="AN182" i="11"/>
  <c r="AB182" i="11"/>
  <c r="AA182" i="11"/>
  <c r="Y182" i="11"/>
  <c r="X182" i="11"/>
  <c r="W182" i="11"/>
  <c r="U182" i="11"/>
  <c r="T182" i="11"/>
  <c r="AN180" i="11"/>
  <c r="AB180" i="11"/>
  <c r="AA180" i="11"/>
  <c r="Y180" i="11"/>
  <c r="X180" i="11"/>
  <c r="W180" i="11"/>
  <c r="U180" i="11"/>
  <c r="T180" i="11"/>
  <c r="AN179" i="11"/>
  <c r="Y179" i="11"/>
  <c r="X179" i="11"/>
  <c r="W179" i="11"/>
  <c r="U179" i="11"/>
  <c r="T179" i="11"/>
  <c r="AN178" i="11"/>
  <c r="Y178" i="11"/>
  <c r="X178" i="11"/>
  <c r="W178" i="11"/>
  <c r="U178" i="11"/>
  <c r="T178" i="11"/>
  <c r="AN177" i="11"/>
  <c r="Y177" i="11"/>
  <c r="X177" i="11"/>
  <c r="W177" i="11"/>
  <c r="U177" i="11"/>
  <c r="T177" i="11"/>
  <c r="AN176" i="11"/>
  <c r="Y176" i="11"/>
  <c r="X176" i="11"/>
  <c r="W176" i="11"/>
  <c r="U176" i="11"/>
  <c r="T176" i="11"/>
  <c r="AN175" i="11"/>
  <c r="Y175" i="11"/>
  <c r="X175" i="11"/>
  <c r="W175" i="11"/>
  <c r="U175" i="11"/>
  <c r="T175" i="11"/>
  <c r="AN174" i="11"/>
  <c r="Y174" i="11"/>
  <c r="X174" i="11"/>
  <c r="W174" i="11"/>
  <c r="U174" i="11"/>
  <c r="T174" i="11"/>
  <c r="AN173" i="11"/>
  <c r="Y173" i="11"/>
  <c r="X173" i="11"/>
  <c r="W173" i="11"/>
  <c r="U173" i="11"/>
  <c r="T173" i="11"/>
  <c r="AN172" i="11"/>
  <c r="Y172" i="11"/>
  <c r="X172" i="11"/>
  <c r="W172" i="11"/>
  <c r="V172" i="11"/>
  <c r="U172" i="11"/>
  <c r="T172" i="11"/>
  <c r="AN171" i="11"/>
  <c r="AB171" i="11"/>
  <c r="AA171" i="11"/>
  <c r="Y171" i="11"/>
  <c r="X171" i="11"/>
  <c r="W171" i="11"/>
  <c r="V171" i="11"/>
  <c r="U171" i="11"/>
  <c r="T171" i="11"/>
  <c r="AN170" i="11"/>
  <c r="AB170" i="11"/>
  <c r="AA170" i="11"/>
  <c r="Y170" i="11"/>
  <c r="X170" i="11"/>
  <c r="W170" i="11"/>
  <c r="V170" i="11"/>
  <c r="U170" i="11"/>
  <c r="T170" i="11"/>
  <c r="AN169" i="11"/>
  <c r="AB169" i="11"/>
  <c r="AA169" i="11"/>
  <c r="Y169" i="11"/>
  <c r="X169" i="11"/>
  <c r="W169" i="11"/>
  <c r="V169" i="11"/>
  <c r="U169" i="11"/>
  <c r="T169" i="11"/>
  <c r="AN168" i="11"/>
  <c r="AB168" i="11"/>
  <c r="AA168" i="11"/>
  <c r="Y168" i="11"/>
  <c r="X168" i="11"/>
  <c r="W168" i="11"/>
  <c r="V168" i="11"/>
  <c r="U168" i="11"/>
  <c r="T168" i="11"/>
  <c r="AN167" i="11"/>
  <c r="AB167" i="11"/>
  <c r="AA167" i="11"/>
  <c r="Y167" i="11"/>
  <c r="X167" i="11"/>
  <c r="W167" i="11"/>
  <c r="V167" i="11"/>
  <c r="U167" i="11"/>
  <c r="T167" i="11"/>
  <c r="AN166" i="11"/>
  <c r="AB166" i="11"/>
  <c r="AA166" i="11"/>
  <c r="Y166" i="11"/>
  <c r="X166" i="11"/>
  <c r="W166" i="11"/>
  <c r="U166" i="11"/>
  <c r="T166" i="11"/>
  <c r="AN165" i="11"/>
  <c r="AB165" i="11"/>
  <c r="AA165" i="11"/>
  <c r="Y165" i="11"/>
  <c r="X165" i="11"/>
  <c r="W165" i="11"/>
  <c r="V165" i="11"/>
  <c r="U165" i="11"/>
  <c r="T165" i="11"/>
  <c r="AN164" i="11"/>
  <c r="AB164" i="11"/>
  <c r="AA164" i="11"/>
  <c r="Y164" i="11"/>
  <c r="X164" i="11"/>
  <c r="W164" i="11"/>
  <c r="U164" i="11"/>
  <c r="T164" i="11"/>
  <c r="AN163" i="11"/>
  <c r="AB163" i="11"/>
  <c r="AA163" i="11"/>
  <c r="Y163" i="11"/>
  <c r="X163" i="11"/>
  <c r="W163" i="11"/>
  <c r="U163" i="11"/>
  <c r="T163" i="11"/>
  <c r="AN162" i="11"/>
  <c r="AB162" i="11"/>
  <c r="AA162" i="11"/>
  <c r="Y162" i="11"/>
  <c r="X162" i="11"/>
  <c r="W162" i="11"/>
  <c r="U162" i="11"/>
  <c r="T162" i="11"/>
  <c r="AN161" i="11"/>
  <c r="AB161" i="11"/>
  <c r="AA161" i="11"/>
  <c r="Y161" i="11"/>
  <c r="X161" i="11"/>
  <c r="W161" i="11"/>
  <c r="U161" i="11"/>
  <c r="T161" i="11"/>
  <c r="AN160" i="11"/>
  <c r="AB160" i="11"/>
  <c r="AA160" i="11"/>
  <c r="Y160" i="11"/>
  <c r="X160" i="11"/>
  <c r="W160" i="11"/>
  <c r="V160" i="11"/>
  <c r="U160" i="11"/>
  <c r="T160" i="11"/>
  <c r="AN159" i="11"/>
  <c r="AB159" i="11"/>
  <c r="AA159" i="11"/>
  <c r="Y159" i="11"/>
  <c r="X159" i="11"/>
  <c r="W159" i="11"/>
  <c r="V159" i="11"/>
  <c r="U159" i="11"/>
  <c r="T159" i="11"/>
  <c r="AN158" i="11"/>
  <c r="AB158" i="11"/>
  <c r="AA158" i="11"/>
  <c r="Y158" i="11"/>
  <c r="X158" i="11"/>
  <c r="W158" i="11"/>
  <c r="V158" i="11"/>
  <c r="U158" i="11"/>
  <c r="T158" i="11"/>
  <c r="AN156" i="11"/>
  <c r="AB156" i="11"/>
  <c r="AA156" i="11"/>
  <c r="Y156" i="11"/>
  <c r="X156" i="11"/>
  <c r="W156" i="11"/>
  <c r="V156" i="11"/>
  <c r="U156" i="11"/>
  <c r="T156" i="11"/>
  <c r="AN155" i="11"/>
  <c r="AB155" i="11"/>
  <c r="AA155" i="11"/>
  <c r="Y155" i="11"/>
  <c r="X155" i="11"/>
  <c r="W155" i="11"/>
  <c r="V155" i="11"/>
  <c r="U155" i="11"/>
  <c r="T155" i="11"/>
  <c r="AN154" i="11"/>
  <c r="AB154" i="11"/>
  <c r="AA154" i="11"/>
  <c r="Y154" i="11"/>
  <c r="X154" i="11"/>
  <c r="W154" i="11"/>
  <c r="V154" i="11"/>
  <c r="U154" i="11"/>
  <c r="T154" i="11"/>
  <c r="AN153" i="11"/>
  <c r="AB153" i="11"/>
  <c r="AA153" i="11"/>
  <c r="Y153" i="11"/>
  <c r="X153" i="11"/>
  <c r="W153" i="11"/>
  <c r="V153" i="11"/>
  <c r="U153" i="11"/>
  <c r="T153" i="11"/>
  <c r="L153" i="11"/>
  <c r="AN152" i="11"/>
  <c r="AB152" i="11"/>
  <c r="AA152" i="11"/>
  <c r="Y152" i="11"/>
  <c r="X152" i="11"/>
  <c r="W152" i="11"/>
  <c r="V152" i="11"/>
  <c r="U152" i="11"/>
  <c r="T152" i="11"/>
  <c r="AN151" i="11"/>
  <c r="AB151" i="11"/>
  <c r="AA151" i="11"/>
  <c r="Y151" i="11"/>
  <c r="X151" i="11"/>
  <c r="W151" i="11"/>
  <c r="V151" i="11"/>
  <c r="U151" i="11"/>
  <c r="T151" i="11"/>
  <c r="AN150" i="11"/>
  <c r="AB150" i="11"/>
  <c r="AA150" i="11"/>
  <c r="Y150" i="11"/>
  <c r="X150" i="11"/>
  <c r="W150" i="11"/>
  <c r="V150" i="11"/>
  <c r="U150" i="11"/>
  <c r="T150" i="11"/>
  <c r="AN149" i="11"/>
  <c r="AB149" i="11"/>
  <c r="AA149" i="11"/>
  <c r="Y149" i="11"/>
  <c r="X149" i="11"/>
  <c r="W149" i="11"/>
  <c r="V149" i="11"/>
  <c r="U149" i="11"/>
  <c r="T149" i="11"/>
  <c r="AN148" i="11"/>
  <c r="AB148" i="11"/>
  <c r="AA148" i="11"/>
  <c r="Y148" i="11"/>
  <c r="X148" i="11"/>
  <c r="W148" i="11"/>
  <c r="V148" i="11"/>
  <c r="U148" i="11"/>
  <c r="T148" i="11"/>
  <c r="AN147" i="11"/>
  <c r="AB147" i="11"/>
  <c r="AA147" i="11"/>
  <c r="Y147" i="11"/>
  <c r="X147" i="11"/>
  <c r="W147" i="11"/>
  <c r="U147" i="11"/>
  <c r="T147" i="11"/>
  <c r="AN146" i="11"/>
  <c r="AB146" i="11"/>
  <c r="AA146" i="11"/>
  <c r="Y146" i="11"/>
  <c r="X146" i="11"/>
  <c r="W146" i="11"/>
  <c r="U146" i="11"/>
  <c r="T146" i="11"/>
  <c r="AN145" i="11"/>
  <c r="AB145" i="11"/>
  <c r="AA145" i="11"/>
  <c r="Y145" i="11"/>
  <c r="X145" i="11"/>
  <c r="W145" i="11"/>
  <c r="V145" i="11"/>
  <c r="U145" i="11"/>
  <c r="T145" i="11"/>
  <c r="AN144" i="11"/>
  <c r="AB144" i="11"/>
  <c r="AA144" i="11"/>
  <c r="Y144" i="11"/>
  <c r="X144" i="11"/>
  <c r="W144" i="11"/>
  <c r="V144" i="11"/>
  <c r="U144" i="11"/>
  <c r="T144" i="11"/>
  <c r="AN143" i="11"/>
  <c r="AB143" i="11"/>
  <c r="AA143" i="11"/>
  <c r="Y143" i="11"/>
  <c r="X143" i="11"/>
  <c r="W143" i="11"/>
  <c r="V143" i="11"/>
  <c r="U143" i="11"/>
  <c r="T143" i="11"/>
  <c r="AN142" i="11"/>
  <c r="AB142" i="11"/>
  <c r="AA142" i="11"/>
  <c r="Y142" i="11"/>
  <c r="X142" i="11"/>
  <c r="W142" i="11"/>
  <c r="T142" i="11"/>
  <c r="AN141" i="11"/>
  <c r="AB141" i="11"/>
  <c r="AA141" i="11"/>
  <c r="Y141" i="11"/>
  <c r="X141" i="11"/>
  <c r="V141" i="11"/>
  <c r="T141" i="11"/>
  <c r="AN140" i="11"/>
  <c r="AB140" i="11"/>
  <c r="AA140" i="11"/>
  <c r="Y140" i="11"/>
  <c r="X140" i="11"/>
  <c r="T140" i="11"/>
  <c r="AN139" i="11"/>
  <c r="AB139" i="11"/>
  <c r="AA139" i="11"/>
  <c r="Y139" i="11"/>
  <c r="X139" i="11"/>
  <c r="W139" i="11"/>
  <c r="V139" i="11"/>
  <c r="T139" i="11"/>
  <c r="AN138" i="11"/>
  <c r="AB138" i="11"/>
  <c r="AA138" i="11"/>
  <c r="Y138" i="11"/>
  <c r="X138" i="11"/>
  <c r="W138" i="11"/>
  <c r="V138" i="11"/>
  <c r="T138" i="11"/>
  <c r="AN137" i="11"/>
  <c r="AB137" i="11"/>
  <c r="AA137" i="11"/>
  <c r="Y137" i="11"/>
  <c r="X137" i="11"/>
  <c r="W137" i="11"/>
  <c r="V137" i="11"/>
  <c r="T137" i="11"/>
  <c r="L137" i="11"/>
  <c r="AN136" i="11"/>
  <c r="AB136" i="11"/>
  <c r="AA136" i="11"/>
  <c r="Y136" i="11"/>
  <c r="X136" i="11"/>
  <c r="W136" i="11"/>
  <c r="V136" i="11"/>
  <c r="T136" i="11"/>
  <c r="AN135" i="11"/>
  <c r="AB135" i="11"/>
  <c r="AA135" i="11"/>
  <c r="Y135" i="11"/>
  <c r="X135" i="11"/>
  <c r="W135" i="11"/>
  <c r="T135" i="11"/>
  <c r="AN134" i="11"/>
  <c r="AB134" i="11"/>
  <c r="AA134" i="11"/>
  <c r="Y134" i="11"/>
  <c r="X134" i="11"/>
  <c r="W134" i="11"/>
  <c r="V134" i="11"/>
  <c r="T134" i="11"/>
  <c r="AN133" i="11"/>
  <c r="AB133" i="11"/>
  <c r="AA133" i="11"/>
  <c r="Y133" i="11"/>
  <c r="X133" i="11"/>
  <c r="T133" i="11"/>
  <c r="S133" i="11"/>
  <c r="K133" i="11"/>
  <c r="AN132" i="11"/>
  <c r="AB132" i="11"/>
  <c r="AA132" i="11"/>
  <c r="Y132" i="11"/>
  <c r="X132" i="11"/>
  <c r="W132" i="11"/>
  <c r="V132" i="11"/>
  <c r="T132" i="11"/>
  <c r="L132" i="11"/>
  <c r="AN131" i="11"/>
  <c r="AB131" i="11"/>
  <c r="AA131" i="11"/>
  <c r="Y131" i="11"/>
  <c r="X131" i="11"/>
  <c r="W131" i="11"/>
  <c r="V131" i="11"/>
  <c r="T131" i="11"/>
  <c r="AN130" i="11"/>
  <c r="AB130" i="11"/>
  <c r="AA130" i="11"/>
  <c r="Y130" i="11"/>
  <c r="X130" i="11"/>
  <c r="T130" i="11"/>
  <c r="AN129" i="11"/>
  <c r="AB129" i="11"/>
  <c r="AA129" i="11"/>
  <c r="Y129" i="11"/>
  <c r="X129" i="11"/>
  <c r="V129" i="11"/>
  <c r="T129" i="11"/>
  <c r="T128" i="11"/>
  <c r="T127" i="11"/>
  <c r="T126" i="11"/>
  <c r="T125" i="11"/>
  <c r="T124" i="11"/>
  <c r="T121" i="11"/>
  <c r="T120" i="11"/>
  <c r="T119" i="11"/>
  <c r="T118" i="11"/>
  <c r="T117" i="11"/>
  <c r="T116" i="11"/>
  <c r="T115" i="11"/>
  <c r="V115" i="11"/>
  <c r="J128" i="11"/>
  <c r="AN128" i="11"/>
  <c r="AB128" i="11"/>
  <c r="AA128" i="11"/>
  <c r="Y128" i="11"/>
  <c r="X128" i="11"/>
  <c r="W128" i="11"/>
  <c r="V128" i="11"/>
  <c r="AN127" i="11"/>
  <c r="AB127" i="11"/>
  <c r="AA127" i="11"/>
  <c r="Y127" i="11"/>
  <c r="X127" i="11"/>
  <c r="W127" i="11"/>
  <c r="V127" i="11"/>
  <c r="AN126" i="11"/>
  <c r="AB126" i="11"/>
  <c r="AA126" i="11"/>
  <c r="Y126" i="11"/>
  <c r="X126" i="11"/>
  <c r="W126" i="11"/>
  <c r="V126" i="11"/>
  <c r="AN125" i="11"/>
  <c r="AB125" i="11"/>
  <c r="AA125" i="11"/>
  <c r="Y125" i="11"/>
  <c r="X125" i="11"/>
  <c r="W125" i="11"/>
  <c r="V125" i="11"/>
  <c r="AN124" i="11"/>
  <c r="AB124" i="11"/>
  <c r="AA124" i="11"/>
  <c r="Y124" i="11"/>
  <c r="X124" i="11"/>
  <c r="W124" i="11"/>
  <c r="V124" i="11"/>
  <c r="AN122" i="11"/>
  <c r="AB122" i="11"/>
  <c r="AA122" i="11"/>
  <c r="Y122" i="11"/>
  <c r="X122" i="11"/>
  <c r="W122" i="11"/>
  <c r="AN121" i="11"/>
  <c r="AB121" i="11"/>
  <c r="AA121" i="11"/>
  <c r="Y121" i="11"/>
  <c r="X121" i="11"/>
  <c r="W121" i="11"/>
  <c r="V121" i="11"/>
  <c r="AN120" i="11"/>
  <c r="AB120" i="11"/>
  <c r="AA120" i="11"/>
  <c r="Y120" i="11"/>
  <c r="X120" i="11"/>
  <c r="W120" i="11"/>
  <c r="V120" i="11"/>
  <c r="AN119" i="11"/>
  <c r="AB119" i="11"/>
  <c r="AA119" i="11"/>
  <c r="Y119" i="11"/>
  <c r="X119" i="11"/>
  <c r="W119" i="11"/>
  <c r="V119" i="11"/>
  <c r="AN118" i="11"/>
  <c r="AB118" i="11"/>
  <c r="AA118" i="11"/>
  <c r="Y118" i="11"/>
  <c r="X118" i="11"/>
  <c r="W118" i="11"/>
  <c r="V118" i="11"/>
  <c r="AN117" i="11"/>
  <c r="AB117" i="11"/>
  <c r="AA117" i="11"/>
  <c r="Y117" i="11"/>
  <c r="X117" i="11"/>
  <c r="W117" i="11"/>
  <c r="V117" i="11"/>
  <c r="AN116" i="11"/>
  <c r="AB116" i="11"/>
  <c r="AA116" i="11"/>
  <c r="Y116" i="11"/>
  <c r="X116" i="11"/>
  <c r="W116" i="11"/>
  <c r="V116" i="11"/>
  <c r="AN115" i="11"/>
  <c r="AB115" i="11"/>
  <c r="AA115" i="11"/>
  <c r="Y115" i="11"/>
  <c r="X115" i="11"/>
  <c r="W115" i="11"/>
  <c r="S128" i="11"/>
  <c r="L128" i="11"/>
  <c r="S127" i="11"/>
  <c r="L127" i="11"/>
  <c r="S124" i="11"/>
  <c r="L124" i="11"/>
  <c r="L122" i="11"/>
  <c r="S121" i="11"/>
  <c r="L121" i="11"/>
  <c r="S120" i="11"/>
  <c r="L120" i="11"/>
  <c r="S119" i="11"/>
  <c r="L119" i="11"/>
  <c r="S118" i="11"/>
  <c r="L118" i="11"/>
  <c r="S117" i="11"/>
  <c r="L117" i="11"/>
  <c r="S116" i="11"/>
  <c r="L116" i="11"/>
  <c r="S115" i="11"/>
  <c r="L115" i="11"/>
  <c r="J127" i="11"/>
  <c r="T113" i="11"/>
  <c r="AN113" i="11"/>
  <c r="AB113" i="11"/>
  <c r="AA113" i="11"/>
  <c r="Y113" i="11"/>
  <c r="X113" i="11"/>
  <c r="W113" i="11"/>
  <c r="U113" i="11"/>
  <c r="AN112" i="11"/>
  <c r="AB112" i="11"/>
  <c r="AA112" i="11"/>
  <c r="Y112" i="11"/>
  <c r="X112" i="11"/>
  <c r="W112" i="11"/>
  <c r="V112" i="11"/>
  <c r="U112" i="11"/>
  <c r="T112" i="11"/>
  <c r="AN111" i="11"/>
  <c r="AB111" i="11"/>
  <c r="AA111" i="11"/>
  <c r="Y111" i="11"/>
  <c r="X111" i="11"/>
  <c r="W111" i="11"/>
  <c r="V111" i="11"/>
  <c r="U111" i="11"/>
  <c r="T111" i="11"/>
  <c r="S111" i="11"/>
  <c r="L111" i="11"/>
  <c r="K111" i="11"/>
  <c r="AN110" i="11"/>
  <c r="AB110" i="11"/>
  <c r="AA110" i="11"/>
  <c r="Y110" i="11"/>
  <c r="X110" i="11"/>
  <c r="W110" i="11"/>
  <c r="V110" i="11"/>
  <c r="U110" i="11"/>
  <c r="T110" i="11"/>
  <c r="S110" i="11"/>
  <c r="L110" i="11"/>
  <c r="K110" i="11"/>
  <c r="AN109" i="11"/>
  <c r="AB109" i="11"/>
  <c r="AA109" i="11"/>
  <c r="Y109" i="11"/>
  <c r="X109" i="11"/>
  <c r="W109" i="11"/>
  <c r="V109" i="11"/>
  <c r="U109" i="11"/>
  <c r="T109" i="11"/>
  <c r="S109" i="11"/>
  <c r="L109" i="11"/>
  <c r="K109" i="11"/>
  <c r="BU108" i="11"/>
  <c r="J500" i="11"/>
  <c r="AN500" i="11"/>
  <c r="U500" i="11"/>
  <c r="T500" i="11"/>
  <c r="S500" i="11"/>
  <c r="L500" i="11"/>
  <c r="K500" i="11"/>
  <c r="AN499" i="11"/>
  <c r="AB499" i="11"/>
  <c r="AA499" i="11"/>
  <c r="Y499" i="11"/>
  <c r="X499" i="11"/>
  <c r="W499" i="11"/>
  <c r="V499" i="11"/>
  <c r="U499" i="11"/>
  <c r="T499" i="11"/>
  <c r="S499" i="11"/>
  <c r="L499" i="11"/>
  <c r="K499" i="11"/>
  <c r="J499" i="11"/>
  <c r="AN498" i="11"/>
  <c r="AB498" i="11"/>
  <c r="AA498" i="11"/>
  <c r="Y498" i="11"/>
  <c r="X498" i="11"/>
  <c r="W498" i="11"/>
  <c r="V498" i="11"/>
  <c r="U498" i="11"/>
  <c r="T498" i="11"/>
  <c r="S498" i="11"/>
  <c r="L498" i="11"/>
  <c r="K498" i="11"/>
  <c r="J498" i="11"/>
  <c r="BU497" i="11"/>
  <c r="BB497" i="11"/>
  <c r="BA497" i="11"/>
  <c r="AZ497" i="11"/>
  <c r="AY497" i="11"/>
  <c r="AW497" i="11"/>
  <c r="AT497" i="11"/>
  <c r="AR497" i="11"/>
  <c r="AQ497" i="11"/>
  <c r="J496" i="11"/>
  <c r="J495" i="11"/>
  <c r="K495" i="11"/>
  <c r="K494" i="11" s="1"/>
  <c r="L495" i="11"/>
  <c r="L494" i="11" s="1"/>
  <c r="R494" i="11"/>
  <c r="S495" i="11"/>
  <c r="S494" i="11" s="1"/>
  <c r="AN496" i="11"/>
  <c r="AB496" i="11"/>
  <c r="AA496" i="11"/>
  <c r="Y496" i="11"/>
  <c r="X496" i="11"/>
  <c r="W496" i="11"/>
  <c r="V496" i="11"/>
  <c r="U496" i="11"/>
  <c r="T496" i="11"/>
  <c r="AN495" i="11"/>
  <c r="AB495" i="11"/>
  <c r="AA495" i="11"/>
  <c r="Y495" i="11"/>
  <c r="X495" i="11"/>
  <c r="W495" i="11"/>
  <c r="V495" i="11"/>
  <c r="U495" i="11"/>
  <c r="T495" i="11"/>
  <c r="BU494" i="11"/>
  <c r="BI494" i="11"/>
  <c r="BH494" i="11"/>
  <c r="BF494" i="11"/>
  <c r="BE494" i="11"/>
  <c r="BD494" i="11"/>
  <c r="BC494" i="11"/>
  <c r="BB494" i="11"/>
  <c r="C40" i="17" s="1"/>
  <c r="C40" i="22" s="1"/>
  <c r="BA494" i="11"/>
  <c r="AZ494" i="11"/>
  <c r="AY494" i="11"/>
  <c r="J40" i="22" s="1"/>
  <c r="AW494" i="11"/>
  <c r="AT494" i="11"/>
  <c r="AR494" i="11"/>
  <c r="AU504" i="11" s="1"/>
  <c r="AQ494" i="11"/>
  <c r="AN493" i="11"/>
  <c r="AN492" i="11" s="1"/>
  <c r="AE492" i="11"/>
  <c r="AB493" i="11"/>
  <c r="AB492" i="11" s="1"/>
  <c r="AA493" i="11"/>
  <c r="AA492" i="11" s="1"/>
  <c r="Y493" i="11"/>
  <c r="Y492" i="11" s="1"/>
  <c r="X493" i="11"/>
  <c r="X492" i="11" s="1"/>
  <c r="W493" i="11"/>
  <c r="W492" i="11" s="1"/>
  <c r="V493" i="11"/>
  <c r="V492" i="11" s="1"/>
  <c r="U493" i="11"/>
  <c r="U492" i="11" s="1"/>
  <c r="T493" i="11"/>
  <c r="T492" i="11" s="1"/>
  <c r="S493" i="11"/>
  <c r="S492" i="11" s="1"/>
  <c r="R492" i="11"/>
  <c r="L493" i="11"/>
  <c r="L492" i="11" s="1"/>
  <c r="K493" i="11"/>
  <c r="K492" i="11" s="1"/>
  <c r="J493" i="11"/>
  <c r="J492" i="11" s="1"/>
  <c r="BU492" i="11"/>
  <c r="BK492" i="11"/>
  <c r="BI492" i="11"/>
  <c r="BH492" i="11"/>
  <c r="BF492" i="11"/>
  <c r="BE492" i="11"/>
  <c r="BD492" i="11"/>
  <c r="BC492" i="11"/>
  <c r="BB492" i="11"/>
  <c r="C39" i="17" s="1"/>
  <c r="C39" i="22" s="1"/>
  <c r="BA492" i="11"/>
  <c r="AZ492" i="11"/>
  <c r="AY492" i="11"/>
  <c r="J39" i="22" s="1"/>
  <c r="AW492" i="11"/>
  <c r="AT492" i="11"/>
  <c r="AR492" i="11"/>
  <c r="AU503" i="11" s="1"/>
  <c r="AQ492" i="11"/>
  <c r="AN97" i="11"/>
  <c r="AB97" i="11"/>
  <c r="Y97" i="11"/>
  <c r="X97" i="11"/>
  <c r="W97" i="11"/>
  <c r="U97" i="11"/>
  <c r="T97" i="11"/>
  <c r="K97" i="11"/>
  <c r="K95" i="11" s="1"/>
  <c r="AN96" i="11"/>
  <c r="AB96" i="11"/>
  <c r="AA96" i="11"/>
  <c r="W96" i="11"/>
  <c r="V96" i="11"/>
  <c r="U96" i="11"/>
  <c r="T96" i="11"/>
  <c r="S96" i="11"/>
  <c r="L96" i="11"/>
  <c r="C29" i="17"/>
  <c r="C29" i="22" s="1"/>
  <c r="B29" i="17"/>
  <c r="B29" i="22" s="1"/>
  <c r="AN92" i="11"/>
  <c r="AB92" i="11"/>
  <c r="AA92" i="11"/>
  <c r="Y92" i="11"/>
  <c r="X92" i="11"/>
  <c r="W92" i="11"/>
  <c r="T92" i="11"/>
  <c r="S92" i="11"/>
  <c r="K92" i="11"/>
  <c r="AN91" i="11"/>
  <c r="AB91" i="11"/>
  <c r="AA91" i="11"/>
  <c r="Y91" i="11"/>
  <c r="X91" i="11"/>
  <c r="W91" i="11"/>
  <c r="T91" i="11"/>
  <c r="S91" i="11"/>
  <c r="K91" i="11"/>
  <c r="BU90" i="11"/>
  <c r="BO90" i="11"/>
  <c r="BK90" i="11"/>
  <c r="BI90" i="11"/>
  <c r="BH90" i="11"/>
  <c r="BF90" i="11"/>
  <c r="BE90" i="11"/>
  <c r="BD90" i="11"/>
  <c r="BA90" i="11"/>
  <c r="BO88" i="11"/>
  <c r="BK88" i="11"/>
  <c r="BI88" i="11"/>
  <c r="BH88" i="11"/>
  <c r="BF88" i="11"/>
  <c r="BE88" i="11"/>
  <c r="BD88" i="11"/>
  <c r="BC88" i="11"/>
  <c r="BB88" i="11"/>
  <c r="C28" i="17" s="1"/>
  <c r="C28" i="22" s="1"/>
  <c r="BA88" i="11"/>
  <c r="AW88" i="11"/>
  <c r="AT88" i="11"/>
  <c r="AQ88" i="11"/>
  <c r="AN89" i="11"/>
  <c r="AN88" i="11" s="1"/>
  <c r="AE88" i="11"/>
  <c r="AB89" i="11"/>
  <c r="AB88" i="11" s="1"/>
  <c r="AA89" i="11"/>
  <c r="AA88" i="11" s="1"/>
  <c r="Y89" i="11"/>
  <c r="Y88" i="11" s="1"/>
  <c r="X89" i="11"/>
  <c r="X88" i="11" s="1"/>
  <c r="W89" i="11"/>
  <c r="W88" i="11" s="1"/>
  <c r="V89" i="11"/>
  <c r="V88" i="11" s="1"/>
  <c r="U89" i="11"/>
  <c r="U88" i="11" s="1"/>
  <c r="T89" i="11"/>
  <c r="T88" i="11" s="1"/>
  <c r="L89" i="11"/>
  <c r="L88" i="11" s="1"/>
  <c r="J89" i="11"/>
  <c r="J88" i="11" s="1"/>
  <c r="BU86" i="11"/>
  <c r="BO86" i="11"/>
  <c r="BK86" i="11"/>
  <c r="BI86" i="11"/>
  <c r="BH86" i="11"/>
  <c r="BF86" i="11"/>
  <c r="BE86" i="11"/>
  <c r="BD86" i="11"/>
  <c r="BA86" i="11"/>
  <c r="AT86" i="11"/>
  <c r="AR86" i="11"/>
  <c r="AQ86" i="11"/>
  <c r="AN87" i="11"/>
  <c r="AN86" i="11" s="1"/>
  <c r="AE86" i="11"/>
  <c r="AB87" i="11"/>
  <c r="AB86" i="11" s="1"/>
  <c r="AA87" i="11"/>
  <c r="AA86" i="11" s="1"/>
  <c r="Y87" i="11"/>
  <c r="Y86" i="11" s="1"/>
  <c r="X87" i="11"/>
  <c r="X86" i="11" s="1"/>
  <c r="W87" i="11"/>
  <c r="W86" i="11" s="1"/>
  <c r="T87" i="11"/>
  <c r="T86" i="11" s="1"/>
  <c r="K87" i="11"/>
  <c r="K86" i="11" s="1"/>
  <c r="J87" i="11"/>
  <c r="J86" i="11" s="1"/>
  <c r="BU84" i="11"/>
  <c r="BO84" i="11"/>
  <c r="BK84" i="11"/>
  <c r="BI84" i="11"/>
  <c r="BH84" i="11"/>
  <c r="BF84" i="11"/>
  <c r="BE84" i="11"/>
  <c r="BD84" i="11"/>
  <c r="BC84" i="11"/>
  <c r="BB84" i="11"/>
  <c r="C27" i="17" s="1"/>
  <c r="C27" i="22" s="1"/>
  <c r="BA84" i="11"/>
  <c r="AZ84" i="11"/>
  <c r="AY84" i="11"/>
  <c r="J27" i="22" s="1"/>
  <c r="AW84" i="11"/>
  <c r="AR84" i="11"/>
  <c r="B27" i="17" s="1"/>
  <c r="B27" i="22" s="1"/>
  <c r="AQ84" i="11"/>
  <c r="AN85" i="11"/>
  <c r="AN84" i="11" s="1"/>
  <c r="AE84" i="11"/>
  <c r="AB85" i="11"/>
  <c r="AB84" i="11" s="1"/>
  <c r="Y85" i="11"/>
  <c r="Y84" i="11" s="1"/>
  <c r="X85" i="11"/>
  <c r="X84" i="11" s="1"/>
  <c r="W85" i="11"/>
  <c r="W84" i="11" s="1"/>
  <c r="V85" i="11"/>
  <c r="V84" i="11" s="1"/>
  <c r="T85" i="11"/>
  <c r="T84" i="11" s="1"/>
  <c r="S85" i="11"/>
  <c r="S84" i="11" s="1"/>
  <c r="R84" i="11"/>
  <c r="L85" i="11"/>
  <c r="L84" i="11" s="1"/>
  <c r="J85" i="11"/>
  <c r="J84" i="11" s="1"/>
  <c r="BU82" i="11"/>
  <c r="BO82" i="11"/>
  <c r="BK82" i="11"/>
  <c r="BI82" i="11"/>
  <c r="BH82" i="11"/>
  <c r="BD82" i="11"/>
  <c r="BA82" i="11"/>
  <c r="AZ82" i="11"/>
  <c r="AY82" i="11"/>
  <c r="J25" i="22" s="1"/>
  <c r="AW82" i="11"/>
  <c r="AT82" i="11"/>
  <c r="AR82" i="11"/>
  <c r="B25" i="17" s="1"/>
  <c r="B25" i="22" s="1"/>
  <c r="AQ82" i="11"/>
  <c r="AN83" i="11"/>
  <c r="AN82" i="11" s="1"/>
  <c r="AE82" i="11"/>
  <c r="AB83" i="11"/>
  <c r="AB82" i="11" s="1"/>
  <c r="AA83" i="11"/>
  <c r="AA82" i="11" s="1"/>
  <c r="W83" i="11"/>
  <c r="W82" i="11" s="1"/>
  <c r="T83" i="11"/>
  <c r="T82" i="11" s="1"/>
  <c r="S83" i="11"/>
  <c r="S82" i="11" s="1"/>
  <c r="R82" i="11"/>
  <c r="K83" i="11"/>
  <c r="K82" i="11" s="1"/>
  <c r="AN81" i="11"/>
  <c r="AN80" i="11" s="1"/>
  <c r="AE80" i="11"/>
  <c r="AB81" i="11"/>
  <c r="AB80" i="11" s="1"/>
  <c r="W81" i="11"/>
  <c r="W80" i="11" s="1"/>
  <c r="T81" i="11"/>
  <c r="T80" i="11" s="1"/>
  <c r="S81" i="11"/>
  <c r="S80" i="11" s="1"/>
  <c r="R80" i="11"/>
  <c r="L81" i="11"/>
  <c r="L80" i="11" s="1"/>
  <c r="K81" i="11"/>
  <c r="K80" i="11" s="1"/>
  <c r="J81" i="11"/>
  <c r="J80" i="11" s="1"/>
  <c r="BU80" i="11"/>
  <c r="BO80" i="11"/>
  <c r="BK80" i="11"/>
  <c r="BI80" i="11"/>
  <c r="BD80" i="11"/>
  <c r="BA80" i="11"/>
  <c r="AZ80" i="11"/>
  <c r="AY80" i="11"/>
  <c r="J24" i="22" s="1"/>
  <c r="AW80" i="11"/>
  <c r="AT80" i="11"/>
  <c r="AR80" i="11"/>
  <c r="B24" i="17" s="1"/>
  <c r="B24" i="22" s="1"/>
  <c r="AQ80" i="11"/>
  <c r="T78" i="11"/>
  <c r="S79" i="11"/>
  <c r="S78" i="11" s="1"/>
  <c r="L79" i="11"/>
  <c r="L78" i="11" s="1"/>
  <c r="K79" i="11"/>
  <c r="K78" i="11" s="1"/>
  <c r="AN79" i="11"/>
  <c r="AN78" i="11" s="1"/>
  <c r="AB79" i="11"/>
  <c r="AB78" i="11" s="1"/>
  <c r="W79" i="11"/>
  <c r="W78" i="11" s="1"/>
  <c r="R78" i="11"/>
  <c r="BC79" i="11"/>
  <c r="V79" i="11" s="1"/>
  <c r="V78" i="11" s="1"/>
  <c r="BU78" i="11"/>
  <c r="BO78" i="11"/>
  <c r="BK78" i="11"/>
  <c r="BI78" i="11"/>
  <c r="BD78" i="11"/>
  <c r="BA78" i="11"/>
  <c r="AZ78" i="11"/>
  <c r="AY78" i="11"/>
  <c r="J26" i="22" s="1"/>
  <c r="AW78" i="11"/>
  <c r="AT78" i="11"/>
  <c r="AR78" i="11"/>
  <c r="AQ78" i="11"/>
  <c r="AN51" i="11"/>
  <c r="AN50" i="11" s="1"/>
  <c r="AE50" i="11"/>
  <c r="AB51" i="11"/>
  <c r="AB50" i="11" s="1"/>
  <c r="Y51" i="11"/>
  <c r="Y50" i="11" s="1"/>
  <c r="X51" i="11"/>
  <c r="X50" i="11" s="1"/>
  <c r="W51" i="11"/>
  <c r="W50" i="11" s="1"/>
  <c r="U51" i="11"/>
  <c r="U50" i="11" s="1"/>
  <c r="T51" i="11"/>
  <c r="T50" i="11" s="1"/>
  <c r="BU50" i="11"/>
  <c r="BO50" i="11"/>
  <c r="BK50" i="11"/>
  <c r="BI50" i="11"/>
  <c r="BF50" i="11"/>
  <c r="BE50" i="11"/>
  <c r="BD50" i="11"/>
  <c r="BB50" i="11"/>
  <c r="C22" i="17" s="1"/>
  <c r="C22" i="22" s="1"/>
  <c r="BA50" i="11"/>
  <c r="AN49" i="11"/>
  <c r="AB49" i="11"/>
  <c r="X49" i="11"/>
  <c r="W49" i="11"/>
  <c r="U49" i="11"/>
  <c r="T49" i="11"/>
  <c r="AN48" i="11"/>
  <c r="AB48" i="11"/>
  <c r="AA48" i="11"/>
  <c r="Y48" i="11"/>
  <c r="X48" i="11"/>
  <c r="W48" i="11"/>
  <c r="V48" i="11"/>
  <c r="U48" i="11"/>
  <c r="T48" i="11"/>
  <c r="BU47" i="11"/>
  <c r="BO47" i="11"/>
  <c r="BI47" i="11"/>
  <c r="BE47" i="11"/>
  <c r="BD47" i="11"/>
  <c r="BB47" i="11"/>
  <c r="C19" i="17" s="1"/>
  <c r="C19" i="22" s="1"/>
  <c r="BA47" i="11"/>
  <c r="AN46" i="11"/>
  <c r="AN45" i="11" s="1"/>
  <c r="AE45" i="11"/>
  <c r="AB46" i="11"/>
  <c r="AB45" i="11" s="1"/>
  <c r="AA46" i="11"/>
  <c r="AA45" i="11" s="1"/>
  <c r="Y46" i="11"/>
  <c r="Y45" i="11" s="1"/>
  <c r="X46" i="11"/>
  <c r="X45" i="11" s="1"/>
  <c r="W46" i="11"/>
  <c r="W45" i="11" s="1"/>
  <c r="U46" i="11"/>
  <c r="U45" i="11" s="1"/>
  <c r="T46" i="11"/>
  <c r="T45" i="11" s="1"/>
  <c r="BU45" i="11"/>
  <c r="BO45" i="11"/>
  <c r="BK45" i="11"/>
  <c r="BI45" i="11"/>
  <c r="BH45" i="11"/>
  <c r="BF45" i="11"/>
  <c r="BE45" i="11"/>
  <c r="BD45" i="11"/>
  <c r="BB45" i="11"/>
  <c r="C21" i="17" s="1"/>
  <c r="C21" i="22" s="1"/>
  <c r="BA45" i="11"/>
  <c r="T44" i="11"/>
  <c r="T43" i="11" s="1"/>
  <c r="W44" i="11"/>
  <c r="W43" i="11" s="1"/>
  <c r="X44" i="11"/>
  <c r="X43" i="11" s="1"/>
  <c r="Y44" i="11"/>
  <c r="Y43" i="11" s="1"/>
  <c r="AA44" i="11"/>
  <c r="AA43" i="11" s="1"/>
  <c r="AB44" i="11"/>
  <c r="AB43" i="11" s="1"/>
  <c r="AE43" i="11"/>
  <c r="AN44" i="11"/>
  <c r="AN43" i="11" s="1"/>
  <c r="BU43" i="11"/>
  <c r="BO43" i="11"/>
  <c r="BK43" i="11"/>
  <c r="BI43" i="11"/>
  <c r="BH43" i="11"/>
  <c r="BF43" i="11"/>
  <c r="BE43" i="11"/>
  <c r="BD43" i="11"/>
  <c r="BB43" i="11"/>
  <c r="C20" i="17" s="1"/>
  <c r="C20" i="22" s="1"/>
  <c r="BA43" i="11"/>
  <c r="T42" i="11"/>
  <c r="T41" i="11"/>
  <c r="U40" i="11"/>
  <c r="U41" i="11"/>
  <c r="U42" i="11"/>
  <c r="V40" i="11"/>
  <c r="V41" i="11"/>
  <c r="V39" i="11"/>
  <c r="W40" i="11"/>
  <c r="W41" i="11"/>
  <c r="W42" i="11"/>
  <c r="W39" i="11"/>
  <c r="X40" i="11"/>
  <c r="X42" i="11"/>
  <c r="X39" i="11"/>
  <c r="Y40" i="11"/>
  <c r="Y41" i="11"/>
  <c r="Y42" i="11"/>
  <c r="Y39" i="11"/>
  <c r="AA39" i="11"/>
  <c r="AA40" i="11"/>
  <c r="AA41" i="11"/>
  <c r="AB39" i="11"/>
  <c r="AB40" i="11"/>
  <c r="AB41" i="11"/>
  <c r="AB42" i="11"/>
  <c r="AN41" i="11"/>
  <c r="AN42" i="11"/>
  <c r="AN40" i="11"/>
  <c r="AN39" i="11"/>
  <c r="BU38" i="11"/>
  <c r="BO38" i="11"/>
  <c r="BK38" i="11"/>
  <c r="BI38" i="11"/>
  <c r="BF38" i="11"/>
  <c r="BD38" i="11"/>
  <c r="T31" i="11"/>
  <c r="AB37" i="11"/>
  <c r="AA37" i="11"/>
  <c r="Y37" i="11"/>
  <c r="U37" i="11"/>
  <c r="AN37" i="11"/>
  <c r="X31" i="11"/>
  <c r="W31" i="11"/>
  <c r="V31" i="11"/>
  <c r="U31" i="11"/>
  <c r="Y31" i="11"/>
  <c r="AA31" i="11"/>
  <c r="AB31" i="11"/>
  <c r="BU30" i="11"/>
  <c r="BO30" i="11"/>
  <c r="BK30" i="11"/>
  <c r="BI30" i="11"/>
  <c r="BH30" i="11"/>
  <c r="BF30" i="11"/>
  <c r="BB30" i="11"/>
  <c r="C15" i="17" s="1"/>
  <c r="C15" i="22" s="1"/>
  <c r="AN28" i="11"/>
  <c r="AN27" i="11" s="1"/>
  <c r="AN25" i="11"/>
  <c r="AN22" i="11"/>
  <c r="AN21" i="11" s="1"/>
  <c r="AN20" i="11"/>
  <c r="AN19" i="11"/>
  <c r="AN18" i="11"/>
  <c r="AN17" i="11"/>
  <c r="AN16" i="11"/>
  <c r="AN15" i="11"/>
  <c r="AN14" i="11"/>
  <c r="AN13" i="11"/>
  <c r="AN12" i="11"/>
  <c r="AE27" i="11"/>
  <c r="AE25" i="11"/>
  <c r="AE23" i="11"/>
  <c r="AE21" i="11"/>
  <c r="AB28" i="11"/>
  <c r="AB27" i="11" s="1"/>
  <c r="AB26" i="11"/>
  <c r="AB25" i="11" s="1"/>
  <c r="AB24" i="11"/>
  <c r="AB23" i="11" s="1"/>
  <c r="AB22" i="11"/>
  <c r="AB21" i="11" s="1"/>
  <c r="AB19" i="11"/>
  <c r="AB18" i="11"/>
  <c r="AA28" i="11"/>
  <c r="AA27" i="11" s="1"/>
  <c r="AA25" i="11"/>
  <c r="AA24" i="11"/>
  <c r="AA23" i="11" s="1"/>
  <c r="AA19" i="11"/>
  <c r="AA18" i="11"/>
  <c r="AA14" i="11"/>
  <c r="Y28" i="11"/>
  <c r="Y27" i="11" s="1"/>
  <c r="Y26" i="11"/>
  <c r="Y25" i="11" s="1"/>
  <c r="Y24" i="11"/>
  <c r="Y23" i="11" s="1"/>
  <c r="Y22" i="11"/>
  <c r="Y21" i="11" s="1"/>
  <c r="Y19" i="11"/>
  <c r="Y14" i="11"/>
  <c r="X28" i="11"/>
  <c r="X27" i="11" s="1"/>
  <c r="X26" i="11"/>
  <c r="X25" i="11" s="1"/>
  <c r="X24" i="11"/>
  <c r="X23" i="11" s="1"/>
  <c r="X22" i="11"/>
  <c r="X21" i="11" s="1"/>
  <c r="X19" i="11"/>
  <c r="V27" i="11"/>
  <c r="V26" i="11"/>
  <c r="V25" i="11" s="1"/>
  <c r="V24" i="11"/>
  <c r="V23" i="11" s="1"/>
  <c r="V22" i="11"/>
  <c r="V21" i="11" s="1"/>
  <c r="V19" i="11"/>
  <c r="V14" i="11"/>
  <c r="U28" i="11"/>
  <c r="U27" i="11" s="1"/>
  <c r="U25" i="11"/>
  <c r="U24" i="11"/>
  <c r="U23" i="11" s="1"/>
  <c r="U22" i="11"/>
  <c r="U21" i="11" s="1"/>
  <c r="U20" i="11"/>
  <c r="U19" i="11"/>
  <c r="U18" i="11"/>
  <c r="U17" i="11"/>
  <c r="U16" i="11"/>
  <c r="U14" i="11"/>
  <c r="T24" i="11"/>
  <c r="T23" i="11" s="1"/>
  <c r="T22" i="11"/>
  <c r="T21" i="11" s="1"/>
  <c r="T20" i="11"/>
  <c r="T19" i="11"/>
  <c r="T18" i="11"/>
  <c r="T17" i="11"/>
  <c r="T16" i="11"/>
  <c r="AT92" i="11"/>
  <c r="M92" i="11" s="1"/>
  <c r="J28" i="11"/>
  <c r="J27" i="11" s="1"/>
  <c r="J26" i="11"/>
  <c r="J25" i="11" s="1"/>
  <c r="J24" i="11"/>
  <c r="J23" i="11" s="1"/>
  <c r="J22" i="11"/>
  <c r="J21" i="11" s="1"/>
  <c r="J16" i="11"/>
  <c r="K28" i="11"/>
  <c r="K27" i="11" s="1"/>
  <c r="K26" i="11"/>
  <c r="K25" i="11" s="1"/>
  <c r="K24" i="11"/>
  <c r="K23" i="11" s="1"/>
  <c r="K22" i="11"/>
  <c r="K21" i="11" s="1"/>
  <c r="K16" i="11"/>
  <c r="L28" i="11"/>
  <c r="L27" i="11" s="1"/>
  <c r="L26" i="11"/>
  <c r="L25" i="11" s="1"/>
  <c r="L24" i="11"/>
  <c r="L23" i="11" s="1"/>
  <c r="L22" i="11"/>
  <c r="L21" i="11" s="1"/>
  <c r="L16" i="11"/>
  <c r="M28" i="11"/>
  <c r="M27" i="11" s="1"/>
  <c r="M26" i="11"/>
  <c r="M25" i="11" s="1"/>
  <c r="M24" i="11"/>
  <c r="M23" i="11" s="1"/>
  <c r="M22" i="11"/>
  <c r="M21" i="11" s="1"/>
  <c r="M16" i="11"/>
  <c r="R27" i="11"/>
  <c r="R25" i="11"/>
  <c r="R23" i="11"/>
  <c r="R21" i="11"/>
  <c r="S28" i="11"/>
  <c r="S27" i="11" s="1"/>
  <c r="S26" i="11"/>
  <c r="S25" i="11" s="1"/>
  <c r="S24" i="11"/>
  <c r="S23" i="11" s="1"/>
  <c r="S22" i="11"/>
  <c r="S21" i="11" s="1"/>
  <c r="S16" i="11"/>
  <c r="BU27" i="11"/>
  <c r="BO27" i="11"/>
  <c r="BK27" i="11"/>
  <c r="BI27" i="11"/>
  <c r="BH27" i="11"/>
  <c r="BF27" i="11"/>
  <c r="BE27" i="11"/>
  <c r="BD27" i="11"/>
  <c r="BC27" i="11"/>
  <c r="BB27" i="11"/>
  <c r="BA27" i="11"/>
  <c r="AZ27" i="11"/>
  <c r="AW27" i="11"/>
  <c r="AT27" i="11"/>
  <c r="AR27" i="11"/>
  <c r="AQ27" i="11"/>
  <c r="BU25" i="11"/>
  <c r="BO25" i="11"/>
  <c r="BK25" i="11"/>
  <c r="BI25" i="11"/>
  <c r="BH25" i="11"/>
  <c r="BF25" i="11"/>
  <c r="BE25" i="11"/>
  <c r="BD25" i="11"/>
  <c r="BC25" i="11"/>
  <c r="BB25" i="11"/>
  <c r="BA25" i="11"/>
  <c r="AZ25" i="11"/>
  <c r="AY25" i="11"/>
  <c r="AW25" i="11"/>
  <c r="AT25" i="11"/>
  <c r="AR25" i="11"/>
  <c r="AQ25" i="11"/>
  <c r="BU23" i="11"/>
  <c r="BO23" i="11"/>
  <c r="BK23" i="11"/>
  <c r="BI23" i="11"/>
  <c r="BH23" i="11"/>
  <c r="BF23" i="11"/>
  <c r="BE23" i="11"/>
  <c r="BD23" i="11"/>
  <c r="BC23" i="11"/>
  <c r="BB23" i="11"/>
  <c r="C12" i="17" s="1"/>
  <c r="C12" i="22" s="1"/>
  <c r="BA23" i="11"/>
  <c r="AZ23" i="11"/>
  <c r="AY23" i="11"/>
  <c r="J12" i="22" s="1"/>
  <c r="AW23" i="11"/>
  <c r="AT23" i="11"/>
  <c r="AR23" i="11"/>
  <c r="B12" i="17" s="1"/>
  <c r="B12" i="22" s="1"/>
  <c r="AQ23" i="11"/>
  <c r="BU21" i="11"/>
  <c r="BO21" i="11"/>
  <c r="BK21" i="11"/>
  <c r="BI21" i="11"/>
  <c r="BF21" i="11"/>
  <c r="BE21" i="11"/>
  <c r="BD21" i="11"/>
  <c r="BC21" i="11"/>
  <c r="BB21" i="11"/>
  <c r="C13" i="17" s="1"/>
  <c r="C13" i="22" s="1"/>
  <c r="BA21" i="11"/>
  <c r="AZ21" i="11"/>
  <c r="AY21" i="11"/>
  <c r="AW21" i="11"/>
  <c r="AT21" i="11"/>
  <c r="AR21" i="11"/>
  <c r="B13" i="17" s="1"/>
  <c r="B13" i="22" s="1"/>
  <c r="AQ21" i="11"/>
  <c r="BU10" i="11"/>
  <c r="AZ10" i="11"/>
  <c r="AY10" i="11"/>
  <c r="AT10" i="11"/>
  <c r="AR10" i="11"/>
  <c r="B11" i="17" s="1"/>
  <c r="B11" i="22" s="1"/>
  <c r="AQ10" i="11"/>
  <c r="AQ198" i="11"/>
  <c r="J198" i="11" s="1"/>
  <c r="AA22" i="11"/>
  <c r="AA21" i="11" s="1"/>
  <c r="AQ197" i="11"/>
  <c r="J197" i="11" s="1"/>
  <c r="AQ196" i="11"/>
  <c r="J196" i="11" s="1"/>
  <c r="AQ195" i="11"/>
  <c r="J195" i="11" s="1"/>
  <c r="AQ51" i="11"/>
  <c r="J51" i="11" s="1"/>
  <c r="J50" i="11" s="1"/>
  <c r="AQ194" i="11"/>
  <c r="J194" i="11" s="1"/>
  <c r="BD389" i="11"/>
  <c r="W389" i="11" s="1"/>
  <c r="BD387" i="11"/>
  <c r="W387" i="11" s="1"/>
  <c r="AQ387" i="11"/>
  <c r="BF444" i="11"/>
  <c r="Y444" i="11" s="1"/>
  <c r="BE444" i="11"/>
  <c r="X444" i="11" s="1"/>
  <c r="AQ444" i="11"/>
  <c r="J444" i="11" s="1"/>
  <c r="AQ46" i="11"/>
  <c r="J46" i="11" s="1"/>
  <c r="J45" i="11" s="1"/>
  <c r="AQ191" i="11"/>
  <c r="J191" i="11" s="1"/>
  <c r="AQ480" i="11"/>
  <c r="J480" i="11" s="1"/>
  <c r="BD352" i="11"/>
  <c r="BD351" i="11" s="1"/>
  <c r="AQ487" i="11"/>
  <c r="J487" i="11" s="1"/>
  <c r="AQ479" i="11"/>
  <c r="J479" i="11" s="1"/>
  <c r="BK179" i="11"/>
  <c r="AD179" i="11" s="1"/>
  <c r="BH179" i="11"/>
  <c r="AQ402" i="11"/>
  <c r="J402" i="11" s="1"/>
  <c r="AQ187" i="11"/>
  <c r="J187" i="11" s="1"/>
  <c r="AQ188" i="11"/>
  <c r="J188" i="11" s="1"/>
  <c r="AQ189" i="11"/>
  <c r="J189" i="11" s="1"/>
  <c r="AQ190" i="11"/>
  <c r="J190" i="11" s="1"/>
  <c r="AA352" i="11"/>
  <c r="Y18" i="11"/>
  <c r="BC18" i="11"/>
  <c r="V18" i="11" s="1"/>
  <c r="BO15" i="11"/>
  <c r="BO12" i="11"/>
  <c r="BO11" i="11"/>
  <c r="BK15" i="11"/>
  <c r="AD15" i="11" s="1"/>
  <c r="BK13" i="11"/>
  <c r="AD13" i="11" s="1"/>
  <c r="BK12" i="11"/>
  <c r="AD12" i="11" s="1"/>
  <c r="BK11" i="11"/>
  <c r="AD11" i="11" s="1"/>
  <c r="BH15" i="11"/>
  <c r="AA15" i="11" s="1"/>
  <c r="BH13" i="11"/>
  <c r="AA13" i="11" s="1"/>
  <c r="BH12" i="11"/>
  <c r="AA12" i="11" s="1"/>
  <c r="BH11" i="11"/>
  <c r="AA11" i="11" s="1"/>
  <c r="Y15" i="11"/>
  <c r="Y13" i="11"/>
  <c r="Y12" i="11"/>
  <c r="BC15" i="11"/>
  <c r="V15" i="11" s="1"/>
  <c r="V13" i="11"/>
  <c r="BC12" i="11"/>
  <c r="V12" i="11" s="1"/>
  <c r="BC11" i="11"/>
  <c r="V11" i="11" s="1"/>
  <c r="BB15" i="11"/>
  <c r="U15" i="11" s="1"/>
  <c r="BB13" i="11"/>
  <c r="U13" i="11" s="1"/>
  <c r="BB12" i="11"/>
  <c r="U12" i="11" s="1"/>
  <c r="U87" i="11"/>
  <c r="U86" i="11" s="1"/>
  <c r="BI500" i="11"/>
  <c r="BI497" i="11" s="1"/>
  <c r="BI468" i="11"/>
  <c r="BI304" i="11"/>
  <c r="AB179" i="11"/>
  <c r="AB178" i="11"/>
  <c r="AB177" i="11"/>
  <c r="AB176" i="11"/>
  <c r="BI175" i="11"/>
  <c r="BI174" i="11"/>
  <c r="BI173" i="11"/>
  <c r="BI172" i="11"/>
  <c r="BI20" i="11"/>
  <c r="AB20" i="11" s="1"/>
  <c r="BI17" i="11"/>
  <c r="AB17" i="11" s="1"/>
  <c r="BI16" i="11"/>
  <c r="AB16" i="11" s="1"/>
  <c r="BI15" i="11"/>
  <c r="AB15" i="11" s="1"/>
  <c r="BI14" i="11"/>
  <c r="AB14" i="11" s="1"/>
  <c r="BI13" i="11"/>
  <c r="AB13" i="11" s="1"/>
  <c r="BI12" i="11"/>
  <c r="AB12" i="11" s="1"/>
  <c r="BI11" i="11"/>
  <c r="AB11" i="11" s="1"/>
  <c r="BF49" i="11"/>
  <c r="Y49" i="11" s="1"/>
  <c r="Y16" i="11"/>
  <c r="BE96" i="11"/>
  <c r="BE95" i="11" s="1"/>
  <c r="BE83" i="11"/>
  <c r="X83" i="11" s="1"/>
  <c r="X82" i="11" s="1"/>
  <c r="BE81" i="11"/>
  <c r="BE80" i="11" s="1"/>
  <c r="BE79" i="11"/>
  <c r="BE78" i="11" s="1"/>
  <c r="BF79" i="11"/>
  <c r="Y79" i="11" s="1"/>
  <c r="Y78" i="11" s="1"/>
  <c r="BE500" i="11"/>
  <c r="X500" i="11" s="1"/>
  <c r="BE458" i="11"/>
  <c r="X458" i="11" s="1"/>
  <c r="BE435" i="11"/>
  <c r="X435" i="11" s="1"/>
  <c r="BE434" i="11"/>
  <c r="X434" i="11" s="1"/>
  <c r="BE41" i="11"/>
  <c r="X41" i="11" s="1"/>
  <c r="BE37" i="11"/>
  <c r="BE30" i="11" s="1"/>
  <c r="BE20" i="11"/>
  <c r="X20" i="11" s="1"/>
  <c r="BE18" i="11"/>
  <c r="X18" i="11" s="1"/>
  <c r="BE17" i="11"/>
  <c r="X17" i="11" s="1"/>
  <c r="BE16" i="11"/>
  <c r="X16" i="11" s="1"/>
  <c r="BE15" i="11"/>
  <c r="X15" i="11" s="1"/>
  <c r="BE14" i="11"/>
  <c r="X14" i="11" s="1"/>
  <c r="BE13" i="11"/>
  <c r="X13" i="11" s="1"/>
  <c r="BE12" i="11"/>
  <c r="X12" i="11" s="1"/>
  <c r="BE11" i="11"/>
  <c r="X11" i="11" s="1"/>
  <c r="AQ336" i="11"/>
  <c r="J336" i="11" s="1"/>
  <c r="BH372" i="11"/>
  <c r="AQ385" i="11"/>
  <c r="J385" i="11" s="1"/>
  <c r="BH356" i="11"/>
  <c r="BH358" i="11"/>
  <c r="BH380" i="11"/>
  <c r="AQ380" i="11"/>
  <c r="J380" i="11" s="1"/>
  <c r="BH378" i="11"/>
  <c r="BH379" i="11"/>
  <c r="AQ379" i="11"/>
  <c r="J379" i="11" s="1"/>
  <c r="BH362" i="11"/>
  <c r="BH355" i="11"/>
  <c r="BH353" i="11"/>
  <c r="AQ378" i="11"/>
  <c r="J378" i="11" s="1"/>
  <c r="BH377" i="11"/>
  <c r="AQ377" i="11"/>
  <c r="J377" i="11" s="1"/>
  <c r="BH376" i="11"/>
  <c r="AQ376" i="11"/>
  <c r="J376" i="11" s="1"/>
  <c r="BH375" i="11"/>
  <c r="AQ375" i="11"/>
  <c r="J375" i="11" s="1"/>
  <c r="BH374" i="11"/>
  <c r="AQ374" i="11"/>
  <c r="J374" i="11" s="1"/>
  <c r="BH373" i="11"/>
  <c r="AQ373" i="11"/>
  <c r="J373" i="11" s="1"/>
  <c r="AQ372" i="11"/>
  <c r="J372" i="11" s="1"/>
  <c r="AQ371" i="11"/>
  <c r="J371" i="11" s="1"/>
  <c r="AQ370" i="11"/>
  <c r="J370" i="11" s="1"/>
  <c r="BF458" i="11"/>
  <c r="Y458" i="11" s="1"/>
  <c r="AQ443" i="11"/>
  <c r="J443" i="11" s="1"/>
  <c r="BF434" i="11"/>
  <c r="Y434" i="11" s="1"/>
  <c r="BF435" i="11"/>
  <c r="Y435" i="11" s="1"/>
  <c r="AQ435" i="11"/>
  <c r="J435" i="11" s="1"/>
  <c r="AQ186" i="11"/>
  <c r="J186" i="11" s="1"/>
  <c r="BH369" i="11"/>
  <c r="AQ369" i="11"/>
  <c r="J369" i="11" s="1"/>
  <c r="BH368" i="11"/>
  <c r="AQ368" i="11"/>
  <c r="J368" i="11" s="1"/>
  <c r="AQ185" i="11"/>
  <c r="J185" i="11" s="1"/>
  <c r="AQ401" i="11"/>
  <c r="J401" i="11" s="1"/>
  <c r="BH365" i="11"/>
  <c r="BH367" i="11"/>
  <c r="BH366" i="11"/>
  <c r="AQ367" i="11"/>
  <c r="J367" i="11" s="1"/>
  <c r="AQ366" i="11"/>
  <c r="J366" i="11" s="1"/>
  <c r="AQ184" i="11"/>
  <c r="J184" i="11" s="1"/>
  <c r="AQ183" i="11"/>
  <c r="J183" i="11" s="1"/>
  <c r="AQ182" i="11"/>
  <c r="J182" i="11" s="1"/>
  <c r="AQ365" i="11"/>
  <c r="J365" i="11" s="1"/>
  <c r="AQ478" i="11"/>
  <c r="J478" i="11" s="1"/>
  <c r="AQ345" i="11"/>
  <c r="J345" i="11" s="1"/>
  <c r="AQ335" i="11"/>
  <c r="J335" i="11" s="1"/>
  <c r="AQ180" i="11"/>
  <c r="J180" i="11" s="1"/>
  <c r="AQ364" i="11"/>
  <c r="J364" i="11" s="1"/>
  <c r="AQ412" i="11"/>
  <c r="J412" i="11" s="1"/>
  <c r="BH357" i="11"/>
  <c r="AQ179" i="11"/>
  <c r="J179" i="11" s="1"/>
  <c r="BC122" i="11"/>
  <c r="V122" i="11" s="1"/>
  <c r="BK176" i="11"/>
  <c r="AD176" i="11" s="1"/>
  <c r="BH176" i="11"/>
  <c r="AQ178" i="11"/>
  <c r="J178" i="11" s="1"/>
  <c r="BH178" i="11"/>
  <c r="BK178" i="11"/>
  <c r="AD178" i="11" s="1"/>
  <c r="BF96" i="11"/>
  <c r="BF83" i="11"/>
  <c r="BF82" i="11" s="1"/>
  <c r="BF81" i="11"/>
  <c r="BC81" i="11"/>
  <c r="BC80" i="11" s="1"/>
  <c r="AT91" i="11"/>
  <c r="M91" i="11" s="1"/>
  <c r="AT85" i="11"/>
  <c r="AT84" i="11" s="1"/>
  <c r="BK500" i="11"/>
  <c r="BK177" i="11"/>
  <c r="AD177" i="11" s="1"/>
  <c r="BK175" i="11"/>
  <c r="AD175" i="11" s="1"/>
  <c r="BK174" i="11"/>
  <c r="AD174" i="11" s="1"/>
  <c r="BK173" i="11"/>
  <c r="AD173" i="11" s="1"/>
  <c r="BK172" i="11"/>
  <c r="AD172" i="11" s="1"/>
  <c r="BK17" i="11"/>
  <c r="AD17" i="11" s="1"/>
  <c r="BK16" i="11"/>
  <c r="AD16" i="11" s="1"/>
  <c r="BF500" i="11"/>
  <c r="Y500" i="11" s="1"/>
  <c r="Y20" i="11"/>
  <c r="Y17" i="11"/>
  <c r="AT133" i="11"/>
  <c r="M133" i="11" s="1"/>
  <c r="BO20" i="11"/>
  <c r="BO17" i="11"/>
  <c r="BO16" i="11"/>
  <c r="BH177" i="11"/>
  <c r="AQ177" i="11"/>
  <c r="J177" i="11" s="1"/>
  <c r="AQ176" i="11"/>
  <c r="J176" i="11" s="1"/>
  <c r="BH175" i="11"/>
  <c r="AQ175" i="11"/>
  <c r="J175" i="11" s="1"/>
  <c r="BH172" i="11"/>
  <c r="BH468" i="11"/>
  <c r="BH174" i="11"/>
  <c r="AQ174" i="11"/>
  <c r="J174" i="11" s="1"/>
  <c r="AQ468" i="11"/>
  <c r="J468" i="11" s="1"/>
  <c r="BH173" i="11"/>
  <c r="AQ173" i="11"/>
  <c r="J173" i="11" s="1"/>
  <c r="AQ334" i="11"/>
  <c r="J334" i="11" s="1"/>
  <c r="AQ442" i="11"/>
  <c r="J442" i="11" s="1"/>
  <c r="AQ172" i="11"/>
  <c r="J172" i="11" s="1"/>
  <c r="AQ333" i="11"/>
  <c r="J333" i="11" s="1"/>
  <c r="AQ363" i="11"/>
  <c r="J363" i="11" s="1"/>
  <c r="AQ362" i="11"/>
  <c r="J362" i="11" s="1"/>
  <c r="AQ361" i="11"/>
  <c r="J361" i="11" s="1"/>
  <c r="AQ360" i="11"/>
  <c r="J360" i="11" s="1"/>
  <c r="AQ359" i="11"/>
  <c r="J359" i="11" s="1"/>
  <c r="AQ358" i="11"/>
  <c r="J358" i="11" s="1"/>
  <c r="AQ357" i="11"/>
  <c r="J357" i="11" s="1"/>
  <c r="AQ477" i="11"/>
  <c r="J477" i="11" s="1"/>
  <c r="AQ332" i="11"/>
  <c r="J332" i="11" s="1"/>
  <c r="AQ356" i="11"/>
  <c r="J356" i="11" s="1"/>
  <c r="AQ331" i="11"/>
  <c r="J331" i="11" s="1"/>
  <c r="AQ350" i="11"/>
  <c r="J350" i="11" s="1"/>
  <c r="AQ171" i="11"/>
  <c r="J171" i="11" s="1"/>
  <c r="AQ355" i="11"/>
  <c r="J355" i="11" s="1"/>
  <c r="AQ428" i="11"/>
  <c r="J428" i="11" s="1"/>
  <c r="AQ430" i="11"/>
  <c r="J430" i="11" s="1"/>
  <c r="AQ427" i="11"/>
  <c r="J427" i="11" s="1"/>
  <c r="AQ330" i="11"/>
  <c r="J330" i="11" s="1"/>
  <c r="AQ411" i="11"/>
  <c r="J411" i="11" s="1"/>
  <c r="AQ426" i="11"/>
  <c r="J426" i="11" s="1"/>
  <c r="AQ354" i="11"/>
  <c r="J354" i="11" s="1"/>
  <c r="BC133" i="11"/>
  <c r="V133" i="11" s="1"/>
  <c r="AQ476" i="11"/>
  <c r="J476" i="11" s="1"/>
  <c r="AQ353" i="11"/>
  <c r="J353" i="11" s="1"/>
  <c r="AQ434" i="11"/>
  <c r="J434" i="11" s="1"/>
  <c r="AQ170" i="11"/>
  <c r="J170" i="11" s="1"/>
  <c r="AQ169" i="11"/>
  <c r="J169" i="11" s="1"/>
  <c r="BA122" i="11"/>
  <c r="AQ122" i="11" s="1"/>
  <c r="J122" i="11" s="1"/>
  <c r="AQ111" i="11"/>
  <c r="J111" i="11" s="1"/>
  <c r="AQ48" i="11"/>
  <c r="J48" i="11" s="1"/>
  <c r="AQ49" i="11"/>
  <c r="J49" i="11" s="1"/>
  <c r="AQ31" i="11"/>
  <c r="J31" i="11" s="1"/>
  <c r="AQ41" i="11"/>
  <c r="J41" i="11" s="1"/>
  <c r="AQ44" i="11"/>
  <c r="J44" i="11" s="1"/>
  <c r="J43" i="11" s="1"/>
  <c r="AQ42" i="11"/>
  <c r="J42" i="11" s="1"/>
  <c r="AQ91" i="11"/>
  <c r="J91" i="11" s="1"/>
  <c r="AQ92" i="11"/>
  <c r="J92" i="11" s="1"/>
  <c r="AQ109" i="11"/>
  <c r="J109" i="11" s="1"/>
  <c r="AQ110" i="11"/>
  <c r="J110" i="11" s="1"/>
  <c r="AQ112" i="11"/>
  <c r="J112" i="11" s="1"/>
  <c r="AQ113" i="11"/>
  <c r="J113" i="11" s="1"/>
  <c r="AQ115" i="11"/>
  <c r="J115" i="11" s="1"/>
  <c r="AQ116" i="11"/>
  <c r="J116" i="11" s="1"/>
  <c r="AQ117" i="11"/>
  <c r="J117" i="11" s="1"/>
  <c r="AQ118" i="11"/>
  <c r="J118" i="11" s="1"/>
  <c r="AQ119" i="11"/>
  <c r="J119" i="11" s="1"/>
  <c r="AQ120" i="11"/>
  <c r="J120" i="11" s="1"/>
  <c r="AQ121" i="11"/>
  <c r="J121" i="11" s="1"/>
  <c r="AQ124" i="11"/>
  <c r="J124" i="11" s="1"/>
  <c r="AQ125" i="11"/>
  <c r="J125" i="11" s="1"/>
  <c r="AQ126" i="11"/>
  <c r="J126" i="11" s="1"/>
  <c r="AQ129" i="11"/>
  <c r="J129" i="11" s="1"/>
  <c r="AQ130" i="11"/>
  <c r="J130" i="11" s="1"/>
  <c r="AQ131" i="11"/>
  <c r="J131" i="11" s="1"/>
  <c r="AQ132" i="11"/>
  <c r="J132" i="11" s="1"/>
  <c r="AQ133" i="11"/>
  <c r="J133" i="11" s="1"/>
  <c r="AQ134" i="11"/>
  <c r="J134" i="11" s="1"/>
  <c r="AQ135" i="11"/>
  <c r="J135" i="11" s="1"/>
  <c r="AQ136" i="11"/>
  <c r="J136" i="11" s="1"/>
  <c r="AQ137" i="11"/>
  <c r="J137" i="11" s="1"/>
  <c r="AQ138" i="11"/>
  <c r="J138" i="11" s="1"/>
  <c r="AQ139" i="11"/>
  <c r="J139" i="11" s="1"/>
  <c r="AQ140" i="11"/>
  <c r="J140" i="11" s="1"/>
  <c r="AQ141" i="11"/>
  <c r="J141" i="11" s="1"/>
  <c r="AQ142" i="11"/>
  <c r="J142" i="11" s="1"/>
  <c r="AQ143" i="11"/>
  <c r="J143" i="11" s="1"/>
  <c r="AQ144" i="11"/>
  <c r="J144" i="11" s="1"/>
  <c r="AQ145" i="11"/>
  <c r="J145" i="11" s="1"/>
  <c r="AQ146" i="11"/>
  <c r="J146" i="11" s="1"/>
  <c r="AQ147" i="11"/>
  <c r="J147" i="11" s="1"/>
  <c r="AQ148" i="11"/>
  <c r="J148" i="11" s="1"/>
  <c r="AQ149" i="11"/>
  <c r="J149" i="11" s="1"/>
  <c r="AQ150" i="11"/>
  <c r="J150" i="11" s="1"/>
  <c r="AQ151" i="11"/>
  <c r="J151" i="11" s="1"/>
  <c r="AQ152" i="11"/>
  <c r="J152" i="11" s="1"/>
  <c r="AQ153" i="11"/>
  <c r="J153" i="11" s="1"/>
  <c r="AQ154" i="11"/>
  <c r="J154" i="11" s="1"/>
  <c r="AQ155" i="11"/>
  <c r="J155" i="11" s="1"/>
  <c r="AQ156" i="11"/>
  <c r="J156" i="11" s="1"/>
  <c r="AQ158" i="11"/>
  <c r="J158" i="11" s="1"/>
  <c r="AQ159" i="11"/>
  <c r="J159" i="11" s="1"/>
  <c r="AQ160" i="11"/>
  <c r="J160" i="11" s="1"/>
  <c r="AQ161" i="11"/>
  <c r="J161" i="11" s="1"/>
  <c r="AQ162" i="11"/>
  <c r="J162" i="11" s="1"/>
  <c r="AQ163" i="11"/>
  <c r="J163" i="11" s="1"/>
  <c r="AQ164" i="11"/>
  <c r="J164" i="11" s="1"/>
  <c r="AQ165" i="11"/>
  <c r="J165" i="11" s="1"/>
  <c r="AQ166" i="11"/>
  <c r="J166" i="11" s="1"/>
  <c r="AQ167" i="11"/>
  <c r="J167" i="11" s="1"/>
  <c r="AQ168" i="11"/>
  <c r="J168" i="11" s="1"/>
  <c r="AQ391" i="11"/>
  <c r="J391" i="11" s="1"/>
  <c r="AQ392" i="11"/>
  <c r="J392" i="11" s="1"/>
  <c r="AQ393" i="11"/>
  <c r="J393" i="11" s="1"/>
  <c r="AQ394" i="11"/>
  <c r="J394" i="11" s="1"/>
  <c r="AQ395" i="11"/>
  <c r="J395" i="11" s="1"/>
  <c r="AQ396" i="11"/>
  <c r="J396" i="11" s="1"/>
  <c r="AQ397" i="11"/>
  <c r="J397" i="11" s="1"/>
  <c r="AQ398" i="11"/>
  <c r="J398" i="11" s="1"/>
  <c r="AQ399" i="11"/>
  <c r="J399" i="11" s="1"/>
  <c r="AQ400" i="11"/>
  <c r="J400" i="11" s="1"/>
  <c r="AQ403" i="11"/>
  <c r="J403" i="11" s="1"/>
  <c r="AQ347" i="11"/>
  <c r="J347" i="11" s="1"/>
  <c r="AQ405" i="11"/>
  <c r="J405" i="11" s="1"/>
  <c r="AQ406" i="11"/>
  <c r="J406" i="11" s="1"/>
  <c r="AQ407" i="11"/>
  <c r="J407" i="11" s="1"/>
  <c r="AQ408" i="11"/>
  <c r="J408" i="11" s="1"/>
  <c r="AQ409" i="11"/>
  <c r="J409" i="11" s="1"/>
  <c r="AQ410" i="11"/>
  <c r="J410" i="11" s="1"/>
  <c r="AQ413" i="11"/>
  <c r="J413" i="11" s="1"/>
  <c r="AQ414" i="11"/>
  <c r="J414" i="11" s="1"/>
  <c r="AQ415" i="11"/>
  <c r="J415" i="11" s="1"/>
  <c r="AQ416" i="11"/>
  <c r="J416" i="11" s="1"/>
  <c r="AQ417" i="11"/>
  <c r="J417" i="11" s="1"/>
  <c r="AQ420" i="11"/>
  <c r="J420" i="11" s="1"/>
  <c r="AQ421" i="11"/>
  <c r="J421" i="11" s="1"/>
  <c r="AQ422" i="11"/>
  <c r="J422" i="11" s="1"/>
  <c r="AQ423" i="11"/>
  <c r="J423" i="11" s="1"/>
  <c r="AQ424" i="11"/>
  <c r="J424" i="11" s="1"/>
  <c r="AQ425" i="11"/>
  <c r="J425" i="11" s="1"/>
  <c r="AQ432" i="11"/>
  <c r="J432" i="11" s="1"/>
  <c r="AQ433" i="11"/>
  <c r="J433" i="11" s="1"/>
  <c r="AQ437" i="11"/>
  <c r="J437" i="11" s="1"/>
  <c r="AQ438" i="11"/>
  <c r="J438" i="11" s="1"/>
  <c r="AQ439" i="11"/>
  <c r="J439" i="11" s="1"/>
  <c r="AQ440" i="11"/>
  <c r="J440" i="11" s="1"/>
  <c r="AQ441" i="11"/>
  <c r="J441" i="11" s="1"/>
  <c r="AQ458" i="11"/>
  <c r="J458" i="11" s="1"/>
  <c r="AQ317" i="11"/>
  <c r="J317" i="11" s="1"/>
  <c r="AQ318" i="11"/>
  <c r="J318" i="11" s="1"/>
  <c r="AQ319" i="11"/>
  <c r="J319" i="11" s="1"/>
  <c r="AQ320" i="11"/>
  <c r="J320" i="11" s="1"/>
  <c r="AQ321" i="11"/>
  <c r="J321" i="11" s="1"/>
  <c r="AQ322" i="11"/>
  <c r="J322" i="11" s="1"/>
  <c r="AQ323" i="11"/>
  <c r="J323" i="11" s="1"/>
  <c r="AQ324" i="11"/>
  <c r="J324" i="11" s="1"/>
  <c r="AQ325" i="11"/>
  <c r="J325" i="11" s="1"/>
  <c r="AQ326" i="11"/>
  <c r="J326" i="11" s="1"/>
  <c r="AQ327" i="11"/>
  <c r="J327" i="11" s="1"/>
  <c r="AQ328" i="11"/>
  <c r="J328" i="11" s="1"/>
  <c r="AQ329" i="11"/>
  <c r="J329" i="11" s="1"/>
  <c r="AQ461" i="11"/>
  <c r="J461" i="11" s="1"/>
  <c r="AQ462" i="11"/>
  <c r="J462" i="11" s="1"/>
  <c r="AQ463" i="11"/>
  <c r="J463" i="11" s="1"/>
  <c r="AQ464" i="11"/>
  <c r="J464" i="11" s="1"/>
  <c r="AQ465" i="11"/>
  <c r="J465" i="11" s="1"/>
  <c r="AQ467" i="11"/>
  <c r="J467" i="11" s="1"/>
  <c r="AQ471" i="11"/>
  <c r="J471" i="11" s="1"/>
  <c r="AQ389" i="11"/>
  <c r="J389" i="11" s="1"/>
  <c r="AQ472" i="11"/>
  <c r="J472" i="11" s="1"/>
  <c r="AQ473" i="11"/>
  <c r="J473" i="11" s="1"/>
  <c r="AQ352" i="11"/>
  <c r="J352" i="11" s="1"/>
  <c r="AQ475" i="11"/>
  <c r="J475" i="11" s="1"/>
  <c r="AQ486" i="11"/>
  <c r="J486" i="11" s="1"/>
  <c r="AD75" i="10"/>
  <c r="AD74" i="10"/>
  <c r="AD73" i="10"/>
  <c r="AD76" i="10"/>
  <c r="AD234" i="10"/>
  <c r="AD233" i="10"/>
  <c r="AD232" i="10"/>
  <c r="AD231" i="10"/>
  <c r="AD230" i="10"/>
  <c r="AD229" i="10"/>
  <c r="AD228" i="10"/>
  <c r="AD227" i="10"/>
  <c r="AD226" i="10"/>
  <c r="AD225" i="10"/>
  <c r="AD224" i="10"/>
  <c r="AD223" i="10"/>
  <c r="AD222" i="10"/>
  <c r="AD221" i="10"/>
  <c r="AD220" i="10"/>
  <c r="AD218" i="10"/>
  <c r="AD217" i="10"/>
  <c r="AD216" i="10"/>
  <c r="AD215" i="10"/>
  <c r="AD214" i="10"/>
  <c r="AC213" i="10"/>
  <c r="AD213" i="10" s="1"/>
  <c r="AD212" i="10"/>
  <c r="AC211" i="10"/>
  <c r="AD211" i="10" s="1"/>
  <c r="AD210" i="10"/>
  <c r="AD209" i="10"/>
  <c r="AD208" i="10"/>
  <c r="AD207" i="10"/>
  <c r="AC206" i="10"/>
  <c r="AD206" i="10"/>
  <c r="AD205" i="10"/>
  <c r="AD204" i="10"/>
  <c r="AD202" i="10"/>
  <c r="AD201" i="10"/>
  <c r="AD200" i="10"/>
  <c r="AD199" i="10"/>
  <c r="AD198" i="10"/>
  <c r="AD197" i="10"/>
  <c r="AD196" i="10"/>
  <c r="AD195" i="10"/>
  <c r="AD194" i="10"/>
  <c r="AD193" i="10"/>
  <c r="AD192" i="10"/>
  <c r="AD191" i="10"/>
  <c r="AD190" i="10"/>
  <c r="AD189" i="10"/>
  <c r="AD188" i="10"/>
  <c r="AD187" i="10"/>
  <c r="AD186" i="10"/>
  <c r="AD185" i="10"/>
  <c r="AD184" i="10"/>
  <c r="AD183" i="10"/>
  <c r="AD182" i="10"/>
  <c r="AD181" i="10"/>
  <c r="AD180" i="10"/>
  <c r="AD179" i="10"/>
  <c r="AD178" i="10"/>
  <c r="AD177" i="10"/>
  <c r="AD176" i="10"/>
  <c r="AD175" i="10"/>
  <c r="AD174" i="10"/>
  <c r="AD173" i="10"/>
  <c r="AD172" i="10"/>
  <c r="AD171" i="10"/>
  <c r="AC170" i="10"/>
  <c r="AD170" i="10" s="1"/>
  <c r="AD169" i="10"/>
  <c r="AD168" i="10"/>
  <c r="AD167" i="10"/>
  <c r="AD166" i="10"/>
  <c r="AD165" i="10"/>
  <c r="AD164" i="10"/>
  <c r="AD163" i="10"/>
  <c r="AD162" i="10"/>
  <c r="AD161" i="10"/>
  <c r="AD160" i="10"/>
  <c r="AC159" i="10"/>
  <c r="AD159" i="10" s="1"/>
  <c r="AD158" i="10"/>
  <c r="AD157" i="10"/>
  <c r="AD156" i="10"/>
  <c r="AD155" i="10"/>
  <c r="AD154" i="10"/>
  <c r="AD153" i="10"/>
  <c r="AD152" i="10"/>
  <c r="AD151" i="10"/>
  <c r="AD150" i="10"/>
  <c r="AD149" i="10"/>
  <c r="AD148" i="10"/>
  <c r="AD147" i="10"/>
  <c r="AD146" i="10"/>
  <c r="AD145" i="10"/>
  <c r="AD144" i="10"/>
  <c r="AD143" i="10"/>
  <c r="AD142" i="10"/>
  <c r="AD141" i="10"/>
  <c r="AC140" i="10"/>
  <c r="AD140" i="10" s="1"/>
  <c r="AC139" i="10"/>
  <c r="AD139" i="10" s="1"/>
  <c r="AC138" i="10"/>
  <c r="AD138" i="10"/>
  <c r="AD137" i="10"/>
  <c r="AC136" i="10"/>
  <c r="AD136" i="10"/>
  <c r="AD135" i="10"/>
  <c r="AD134" i="10"/>
  <c r="AD133" i="10"/>
  <c r="AD132" i="10"/>
  <c r="AD131" i="10"/>
  <c r="AD130" i="10"/>
  <c r="AD129" i="10"/>
  <c r="AD128" i="10"/>
  <c r="AD127" i="10"/>
  <c r="AD126" i="10"/>
  <c r="AD125" i="10"/>
  <c r="AC124" i="10"/>
  <c r="AD124" i="10"/>
  <c r="AD123" i="10"/>
  <c r="AD122" i="10"/>
  <c r="AD121" i="10"/>
  <c r="AD120" i="10"/>
  <c r="AD119" i="10"/>
  <c r="AC118" i="10"/>
  <c r="AD118" i="10" s="1"/>
  <c r="AD117" i="10"/>
  <c r="AD116" i="10"/>
  <c r="AD115" i="10"/>
  <c r="AD114" i="10"/>
  <c r="AD113" i="10"/>
  <c r="AD112" i="10"/>
  <c r="AC111" i="10"/>
  <c r="AD111" i="10" s="1"/>
  <c r="AD110" i="10"/>
  <c r="AD109" i="10"/>
  <c r="AD108" i="10"/>
  <c r="AD107" i="10"/>
  <c r="AD106" i="10"/>
  <c r="AD105" i="10"/>
  <c r="AD104" i="10"/>
  <c r="AC103" i="10"/>
  <c r="AD103" i="10" s="1"/>
  <c r="AC102" i="10"/>
  <c r="AD102" i="10" s="1"/>
  <c r="AD101" i="10"/>
  <c r="AD100" i="10"/>
  <c r="AD99" i="10"/>
  <c r="AD98" i="10"/>
  <c r="AD97" i="10"/>
  <c r="AD96" i="10"/>
  <c r="AC95" i="10"/>
  <c r="AD95" i="10" s="1"/>
  <c r="AD94" i="10"/>
  <c r="AD93" i="10"/>
  <c r="AD92" i="10"/>
  <c r="AD91" i="10"/>
  <c r="AD90" i="10"/>
  <c r="AD89" i="10"/>
  <c r="AC87" i="10"/>
  <c r="AD87" i="10" s="1"/>
  <c r="AD86" i="10"/>
  <c r="AD85" i="10"/>
  <c r="AD84" i="10"/>
  <c r="AD83" i="10"/>
  <c r="AD82" i="10"/>
  <c r="AD81" i="10"/>
  <c r="AD80" i="10"/>
  <c r="AC78" i="10"/>
  <c r="AD78" i="10" s="1"/>
  <c r="AD77" i="10"/>
  <c r="AD72" i="10"/>
  <c r="AD71" i="10"/>
  <c r="AD70" i="10"/>
  <c r="AD69" i="10"/>
  <c r="V161" i="10"/>
  <c r="U161" i="10"/>
  <c r="T161" i="10"/>
  <c r="S161" i="10"/>
  <c r="R161" i="10"/>
  <c r="Q161" i="10"/>
  <c r="N161" i="10"/>
  <c r="I161" i="10"/>
  <c r="M161" i="10"/>
  <c r="H161" i="10" s="1"/>
  <c r="L161" i="10"/>
  <c r="G161" i="10" s="1"/>
  <c r="K161" i="10"/>
  <c r="F161" i="10" s="1"/>
  <c r="V160" i="10"/>
  <c r="U160" i="10"/>
  <c r="T160" i="10"/>
  <c r="S160" i="10"/>
  <c r="R160" i="10"/>
  <c r="Q160" i="10"/>
  <c r="N160" i="10"/>
  <c r="I160" i="10" s="1"/>
  <c r="M160" i="10"/>
  <c r="H160" i="10" s="1"/>
  <c r="L160" i="10"/>
  <c r="G160" i="10" s="1"/>
  <c r="K160" i="10"/>
  <c r="F160" i="10" s="1"/>
  <c r="Y159" i="10"/>
  <c r="M159" i="10" s="1"/>
  <c r="H159" i="10" s="1"/>
  <c r="V159" i="10"/>
  <c r="U159" i="10"/>
  <c r="T159" i="10"/>
  <c r="R159" i="10"/>
  <c r="Q159" i="10"/>
  <c r="N159" i="10"/>
  <c r="I159" i="10"/>
  <c r="L159" i="10"/>
  <c r="G159" i="10"/>
  <c r="K159" i="10"/>
  <c r="F159" i="10" s="1"/>
  <c r="V132" i="10"/>
  <c r="U132" i="10"/>
  <c r="T132" i="10"/>
  <c r="S132" i="10"/>
  <c r="R132" i="10"/>
  <c r="Q132" i="10"/>
  <c r="N132" i="10"/>
  <c r="I132" i="10" s="1"/>
  <c r="M132" i="10"/>
  <c r="H132" i="10" s="1"/>
  <c r="L132" i="10"/>
  <c r="G132" i="10" s="1"/>
  <c r="K132" i="10"/>
  <c r="F132" i="10" s="1"/>
  <c r="V131" i="10"/>
  <c r="U131" i="10"/>
  <c r="T131" i="10"/>
  <c r="S131" i="10"/>
  <c r="R131" i="10"/>
  <c r="Q131" i="10"/>
  <c r="N131" i="10"/>
  <c r="I131" i="10" s="1"/>
  <c r="M131" i="10"/>
  <c r="H131" i="10"/>
  <c r="L131" i="10"/>
  <c r="K131" i="10"/>
  <c r="Y107" i="10"/>
  <c r="S107" i="10" s="1"/>
  <c r="AD241" i="10"/>
  <c r="AD238" i="10"/>
  <c r="AD235" i="10" s="1"/>
  <c r="AD236" i="10"/>
  <c r="AD67" i="10"/>
  <c r="AC66" i="10"/>
  <c r="AC65" i="10"/>
  <c r="AC64" i="10"/>
  <c r="AD63" i="10"/>
  <c r="AD62" i="10"/>
  <c r="AD61" i="10"/>
  <c r="AD57" i="10" s="1"/>
  <c r="AC60" i="10"/>
  <c r="AC59" i="10"/>
  <c r="AC58" i="10"/>
  <c r="AD56" i="10"/>
  <c r="AD55" i="10"/>
  <c r="AC53" i="10"/>
  <c r="AD53" i="10" s="1"/>
  <c r="AD52" i="10"/>
  <c r="AD51" i="10"/>
  <c r="AD50" i="10"/>
  <c r="AD49" i="10"/>
  <c r="AD48" i="10"/>
  <c r="AC45" i="10"/>
  <c r="AD45" i="10"/>
  <c r="AC44" i="10"/>
  <c r="AD44" i="10" s="1"/>
  <c r="AD43" i="10"/>
  <c r="AD42" i="10"/>
  <c r="AD39" i="10"/>
  <c r="AD38" i="10"/>
  <c r="AD37" i="10"/>
  <c r="AD36" i="10"/>
  <c r="AD30" i="10"/>
  <c r="AC28" i="10"/>
  <c r="AD28" i="10"/>
  <c r="AC27" i="10"/>
  <c r="AD27" i="10" s="1"/>
  <c r="AD26" i="10"/>
  <c r="AC24" i="10"/>
  <c r="AC15" i="10"/>
  <c r="AC9" i="10" s="1"/>
  <c r="AD10" i="10"/>
  <c r="AD9" i="10" s="1"/>
  <c r="Z241" i="10"/>
  <c r="T241" i="10" s="1"/>
  <c r="V241" i="10"/>
  <c r="U241" i="10"/>
  <c r="S241" i="10"/>
  <c r="R241" i="10"/>
  <c r="Q241" i="10"/>
  <c r="J241" i="10"/>
  <c r="I241" i="10"/>
  <c r="H241" i="10"/>
  <c r="G241" i="10"/>
  <c r="F241" i="10"/>
  <c r="V240" i="10"/>
  <c r="U240" i="10"/>
  <c r="T240" i="10"/>
  <c r="S240" i="10"/>
  <c r="R240" i="10"/>
  <c r="Q240" i="10"/>
  <c r="F240" i="10"/>
  <c r="V239" i="10"/>
  <c r="U239" i="10"/>
  <c r="T239" i="10"/>
  <c r="S239" i="10"/>
  <c r="R239" i="10"/>
  <c r="Q239" i="10"/>
  <c r="J239" i="10"/>
  <c r="I239" i="10"/>
  <c r="H239" i="10"/>
  <c r="G239" i="10"/>
  <c r="F239" i="10"/>
  <c r="V238" i="10"/>
  <c r="U238" i="10"/>
  <c r="T238" i="10"/>
  <c r="S238" i="10"/>
  <c r="R238" i="10"/>
  <c r="Q238" i="10"/>
  <c r="J238" i="10"/>
  <c r="I238" i="10"/>
  <c r="H238" i="10"/>
  <c r="G238" i="10"/>
  <c r="F238" i="10"/>
  <c r="V237" i="10"/>
  <c r="U237" i="10"/>
  <c r="U235" i="10" s="1"/>
  <c r="T237" i="10"/>
  <c r="S237" i="10"/>
  <c r="R237" i="10"/>
  <c r="Q237" i="10"/>
  <c r="J237" i="10"/>
  <c r="I237" i="10"/>
  <c r="H237" i="10"/>
  <c r="G237" i="10"/>
  <c r="G235" i="10" s="1"/>
  <c r="F237" i="10"/>
  <c r="V236" i="10"/>
  <c r="U236" i="10"/>
  <c r="T236" i="10"/>
  <c r="S236" i="10"/>
  <c r="R236" i="10"/>
  <c r="Q236" i="10"/>
  <c r="J236" i="10"/>
  <c r="J235" i="10" s="1"/>
  <c r="I236" i="10"/>
  <c r="H236" i="10"/>
  <c r="G236" i="10"/>
  <c r="F236" i="10"/>
  <c r="AC235" i="10"/>
  <c r="AB235" i="10"/>
  <c r="AA235" i="10"/>
  <c r="Y235" i="10"/>
  <c r="X235" i="10"/>
  <c r="W235" i="10"/>
  <c r="N235" i="10"/>
  <c r="I235" i="10" s="1"/>
  <c r="M235" i="10"/>
  <c r="L235" i="10"/>
  <c r="K235" i="10"/>
  <c r="V234" i="10"/>
  <c r="U234" i="10"/>
  <c r="T234" i="10"/>
  <c r="S234" i="10"/>
  <c r="R234" i="10"/>
  <c r="Q234" i="10"/>
  <c r="N234" i="10"/>
  <c r="I234" i="10" s="1"/>
  <c r="M234" i="10"/>
  <c r="H234" i="10" s="1"/>
  <c r="L234" i="10"/>
  <c r="G234" i="10" s="1"/>
  <c r="K234" i="10"/>
  <c r="V233" i="10"/>
  <c r="U233" i="10"/>
  <c r="T233" i="10"/>
  <c r="S233" i="10"/>
  <c r="R233" i="10"/>
  <c r="Q233" i="10"/>
  <c r="N233" i="10"/>
  <c r="I233" i="10" s="1"/>
  <c r="M233" i="10"/>
  <c r="H233" i="10" s="1"/>
  <c r="L233" i="10"/>
  <c r="G233" i="10" s="1"/>
  <c r="K233" i="10"/>
  <c r="F233" i="10" s="1"/>
  <c r="V232" i="10"/>
  <c r="U232" i="10"/>
  <c r="T232" i="10"/>
  <c r="S232" i="10"/>
  <c r="R232" i="10"/>
  <c r="Q232" i="10"/>
  <c r="N232" i="10"/>
  <c r="I232" i="10" s="1"/>
  <c r="M232" i="10"/>
  <c r="H232" i="10" s="1"/>
  <c r="L232" i="10"/>
  <c r="G232" i="10" s="1"/>
  <c r="K232" i="10"/>
  <c r="F232" i="10" s="1"/>
  <c r="V231" i="10"/>
  <c r="U231" i="10"/>
  <c r="T231" i="10"/>
  <c r="S231" i="10"/>
  <c r="R231" i="10"/>
  <c r="Q231" i="10"/>
  <c r="N231" i="10"/>
  <c r="I231" i="10" s="1"/>
  <c r="M231" i="10"/>
  <c r="H231" i="10" s="1"/>
  <c r="L231" i="10"/>
  <c r="G231" i="10" s="1"/>
  <c r="K231" i="10"/>
  <c r="F231" i="10" s="1"/>
  <c r="AA230" i="10"/>
  <c r="N230" i="10" s="1"/>
  <c r="I230" i="10" s="1"/>
  <c r="Z230" i="10"/>
  <c r="T230" i="10" s="1"/>
  <c r="Y230" i="10"/>
  <c r="M230" i="10" s="1"/>
  <c r="J230" i="10" s="1"/>
  <c r="V230" i="10"/>
  <c r="R230" i="10"/>
  <c r="Q230" i="10"/>
  <c r="L230" i="10"/>
  <c r="G230" i="10" s="1"/>
  <c r="K230" i="10"/>
  <c r="F230" i="10" s="1"/>
  <c r="V229" i="10"/>
  <c r="U229" i="10"/>
  <c r="T229" i="10"/>
  <c r="S229" i="10"/>
  <c r="R229" i="10"/>
  <c r="Q229" i="10"/>
  <c r="N229" i="10"/>
  <c r="I229" i="10" s="1"/>
  <c r="M229" i="10"/>
  <c r="H229" i="10"/>
  <c r="L229" i="10"/>
  <c r="G229" i="10" s="1"/>
  <c r="K229" i="10"/>
  <c r="F229" i="10" s="1"/>
  <c r="V228" i="10"/>
  <c r="U228" i="10"/>
  <c r="T228" i="10"/>
  <c r="S228" i="10"/>
  <c r="R228" i="10"/>
  <c r="Q228" i="10"/>
  <c r="N228" i="10"/>
  <c r="I228" i="10" s="1"/>
  <c r="M228" i="10"/>
  <c r="H228" i="10" s="1"/>
  <c r="L228" i="10"/>
  <c r="G228" i="10" s="1"/>
  <c r="K228" i="10"/>
  <c r="F228" i="10" s="1"/>
  <c r="Z227" i="10"/>
  <c r="T227" i="10" s="1"/>
  <c r="Y227" i="10"/>
  <c r="V227" i="10"/>
  <c r="U227" i="10"/>
  <c r="R227" i="10"/>
  <c r="Q227" i="10"/>
  <c r="N227" i="10"/>
  <c r="I227" i="10" s="1"/>
  <c r="L227" i="10"/>
  <c r="G227" i="10" s="1"/>
  <c r="K227" i="10"/>
  <c r="F227" i="10" s="1"/>
  <c r="V226" i="10"/>
  <c r="U226" i="10"/>
  <c r="T226" i="10"/>
  <c r="S226" i="10"/>
  <c r="R226" i="10"/>
  <c r="Q226" i="10"/>
  <c r="N226" i="10"/>
  <c r="I226" i="10" s="1"/>
  <c r="M226" i="10"/>
  <c r="H226" i="10" s="1"/>
  <c r="L226" i="10"/>
  <c r="J226" i="10" s="1"/>
  <c r="G226" i="10"/>
  <c r="K226" i="10"/>
  <c r="F226" i="10"/>
  <c r="V225" i="10"/>
  <c r="U225" i="10"/>
  <c r="T225" i="10"/>
  <c r="S225" i="10"/>
  <c r="R225" i="10"/>
  <c r="Q225" i="10"/>
  <c r="N225" i="10"/>
  <c r="I225" i="10" s="1"/>
  <c r="M225" i="10"/>
  <c r="H225" i="10" s="1"/>
  <c r="L225" i="10"/>
  <c r="J225" i="10" s="1"/>
  <c r="K225" i="10"/>
  <c r="F225" i="10" s="1"/>
  <c r="V224" i="10"/>
  <c r="U224" i="10"/>
  <c r="T224" i="10"/>
  <c r="S224" i="10"/>
  <c r="R224" i="10"/>
  <c r="Q224" i="10"/>
  <c r="N224" i="10"/>
  <c r="I224" i="10" s="1"/>
  <c r="M224" i="10"/>
  <c r="H224" i="10" s="1"/>
  <c r="L224" i="10"/>
  <c r="K224" i="10"/>
  <c r="F224" i="10" s="1"/>
  <c r="V223" i="10"/>
  <c r="U223" i="10"/>
  <c r="T223" i="10"/>
  <c r="S223" i="10"/>
  <c r="R223" i="10"/>
  <c r="Q223" i="10"/>
  <c r="N223" i="10"/>
  <c r="I223" i="10" s="1"/>
  <c r="M223" i="10"/>
  <c r="H223" i="10"/>
  <c r="L223" i="10"/>
  <c r="G223" i="10" s="1"/>
  <c r="K223" i="10"/>
  <c r="F223" i="10" s="1"/>
  <c r="V222" i="10"/>
  <c r="U222" i="10"/>
  <c r="T222" i="10"/>
  <c r="S222" i="10"/>
  <c r="R222" i="10"/>
  <c r="Q222" i="10"/>
  <c r="N222" i="10"/>
  <c r="I222" i="10" s="1"/>
  <c r="M222" i="10"/>
  <c r="H222" i="10" s="1"/>
  <c r="L222" i="10"/>
  <c r="J222" i="10" s="1"/>
  <c r="K222" i="10"/>
  <c r="F222" i="10" s="1"/>
  <c r="V221" i="10"/>
  <c r="U221" i="10"/>
  <c r="T221" i="10"/>
  <c r="S221" i="10"/>
  <c r="R221" i="10"/>
  <c r="Q221" i="10"/>
  <c r="N221" i="10"/>
  <c r="I221" i="10" s="1"/>
  <c r="M221" i="10"/>
  <c r="H221" i="10" s="1"/>
  <c r="L221" i="10"/>
  <c r="K221" i="10"/>
  <c r="F221" i="10" s="1"/>
  <c r="V220" i="10"/>
  <c r="U220" i="10"/>
  <c r="T220" i="10"/>
  <c r="S220" i="10"/>
  <c r="R220" i="10"/>
  <c r="Q220" i="10"/>
  <c r="N220" i="10"/>
  <c r="I220" i="10" s="1"/>
  <c r="M220" i="10"/>
  <c r="H220" i="10" s="1"/>
  <c r="L220" i="10"/>
  <c r="G220" i="10" s="1"/>
  <c r="K220" i="10"/>
  <c r="F220" i="10"/>
  <c r="V219" i="10"/>
  <c r="U219" i="10"/>
  <c r="T219" i="10"/>
  <c r="S219" i="10"/>
  <c r="R219" i="10"/>
  <c r="Q219" i="10"/>
  <c r="N219" i="10"/>
  <c r="I219" i="10"/>
  <c r="M219" i="10"/>
  <c r="H219" i="10" s="1"/>
  <c r="L219" i="10"/>
  <c r="G219" i="10" s="1"/>
  <c r="K219" i="10"/>
  <c r="F219" i="10" s="1"/>
  <c r="Z218" i="10"/>
  <c r="T218" i="10" s="1"/>
  <c r="Y218" i="10"/>
  <c r="S218" i="10" s="1"/>
  <c r="V218" i="10"/>
  <c r="U218" i="10"/>
  <c r="R218" i="10"/>
  <c r="Q218" i="10"/>
  <c r="N218" i="10"/>
  <c r="I218" i="10" s="1"/>
  <c r="L218" i="10"/>
  <c r="G218" i="10" s="1"/>
  <c r="K218" i="10"/>
  <c r="F218" i="10"/>
  <c r="V217" i="10"/>
  <c r="U217" i="10"/>
  <c r="T217" i="10"/>
  <c r="S217" i="10"/>
  <c r="R217" i="10"/>
  <c r="Q217" i="10"/>
  <c r="N217" i="10"/>
  <c r="I217" i="10"/>
  <c r="M217" i="10"/>
  <c r="H217" i="10" s="1"/>
  <c r="L217" i="10"/>
  <c r="K217" i="10"/>
  <c r="F217" i="10" s="1"/>
  <c r="V216" i="10"/>
  <c r="U216" i="10"/>
  <c r="T216" i="10"/>
  <c r="S216" i="10"/>
  <c r="R216" i="10"/>
  <c r="Q216" i="10"/>
  <c r="N216" i="10"/>
  <c r="I216" i="10" s="1"/>
  <c r="M216" i="10"/>
  <c r="H216" i="10" s="1"/>
  <c r="L216" i="10"/>
  <c r="G216" i="10" s="1"/>
  <c r="K216" i="10"/>
  <c r="F216" i="10" s="1"/>
  <c r="V215" i="10"/>
  <c r="U215" i="10"/>
  <c r="T215" i="10"/>
  <c r="S215" i="10"/>
  <c r="R215" i="10"/>
  <c r="Q215" i="10"/>
  <c r="N215" i="10"/>
  <c r="I215" i="10" s="1"/>
  <c r="M215" i="10"/>
  <c r="H215" i="10" s="1"/>
  <c r="L215" i="10"/>
  <c r="G215" i="10" s="1"/>
  <c r="K215" i="10"/>
  <c r="V214" i="10"/>
  <c r="U214" i="10"/>
  <c r="T214" i="10"/>
  <c r="S214" i="10"/>
  <c r="R214" i="10"/>
  <c r="Q214" i="10"/>
  <c r="N214" i="10"/>
  <c r="I214" i="10" s="1"/>
  <c r="M214" i="10"/>
  <c r="H214" i="10" s="1"/>
  <c r="L214" i="10"/>
  <c r="G214" i="10" s="1"/>
  <c r="K214" i="10"/>
  <c r="V213" i="10"/>
  <c r="U213" i="10"/>
  <c r="T213" i="10"/>
  <c r="S213" i="10"/>
  <c r="R213" i="10"/>
  <c r="Q213" i="10"/>
  <c r="N213" i="10"/>
  <c r="I213" i="10" s="1"/>
  <c r="M213" i="10"/>
  <c r="H213" i="10" s="1"/>
  <c r="L213" i="10"/>
  <c r="G213" i="10" s="1"/>
  <c r="K213" i="10"/>
  <c r="F213" i="10" s="1"/>
  <c r="V212" i="10"/>
  <c r="U212" i="10"/>
  <c r="T212" i="10"/>
  <c r="S212" i="10"/>
  <c r="R212" i="10"/>
  <c r="Q212" i="10"/>
  <c r="N212" i="10"/>
  <c r="I212" i="10" s="1"/>
  <c r="M212" i="10"/>
  <c r="H212" i="10" s="1"/>
  <c r="L212" i="10"/>
  <c r="G212" i="10" s="1"/>
  <c r="K212" i="10"/>
  <c r="F212" i="10" s="1"/>
  <c r="V211" i="10"/>
  <c r="U211" i="10"/>
  <c r="T211" i="10"/>
  <c r="S211" i="10"/>
  <c r="R211" i="10"/>
  <c r="Q211" i="10"/>
  <c r="N211" i="10"/>
  <c r="I211" i="10" s="1"/>
  <c r="M211" i="10"/>
  <c r="H211" i="10" s="1"/>
  <c r="L211" i="10"/>
  <c r="K211" i="10"/>
  <c r="F211" i="10" s="1"/>
  <c r="V210" i="10"/>
  <c r="U210" i="10"/>
  <c r="T210" i="10"/>
  <c r="S210" i="10"/>
  <c r="R210" i="10"/>
  <c r="Q210" i="10"/>
  <c r="N210" i="10"/>
  <c r="I210" i="10"/>
  <c r="M210" i="10"/>
  <c r="H210" i="10" s="1"/>
  <c r="L210" i="10"/>
  <c r="G210" i="10" s="1"/>
  <c r="K210" i="10"/>
  <c r="F210" i="10"/>
  <c r="V209" i="10"/>
  <c r="U209" i="10"/>
  <c r="T209" i="10"/>
  <c r="S209" i="10"/>
  <c r="R209" i="10"/>
  <c r="Q209" i="10"/>
  <c r="N209" i="10"/>
  <c r="I209" i="10"/>
  <c r="M209" i="10"/>
  <c r="H209" i="10" s="1"/>
  <c r="L209" i="10"/>
  <c r="G209" i="10" s="1"/>
  <c r="K209" i="10"/>
  <c r="F209" i="10"/>
  <c r="V208" i="10"/>
  <c r="U208" i="10"/>
  <c r="T208" i="10"/>
  <c r="S208" i="10"/>
  <c r="R208" i="10"/>
  <c r="Q208" i="10"/>
  <c r="N208" i="10"/>
  <c r="I208" i="10"/>
  <c r="M208" i="10"/>
  <c r="H208" i="10" s="1"/>
  <c r="L208" i="10"/>
  <c r="G208" i="10" s="1"/>
  <c r="K208" i="10"/>
  <c r="F208" i="10" s="1"/>
  <c r="V207" i="10"/>
  <c r="U207" i="10"/>
  <c r="T207" i="10"/>
  <c r="S207" i="10"/>
  <c r="R207" i="10"/>
  <c r="Q207" i="10"/>
  <c r="N207" i="10"/>
  <c r="I207" i="10" s="1"/>
  <c r="M207" i="10"/>
  <c r="H207" i="10"/>
  <c r="L207" i="10"/>
  <c r="G207" i="10" s="1"/>
  <c r="K207" i="10"/>
  <c r="F207" i="10" s="1"/>
  <c r="V206" i="10"/>
  <c r="U206" i="10"/>
  <c r="T206" i="10"/>
  <c r="S206" i="10"/>
  <c r="R206" i="10"/>
  <c r="Q206" i="10"/>
  <c r="N206" i="10"/>
  <c r="I206" i="10" s="1"/>
  <c r="M206" i="10"/>
  <c r="H206" i="10" s="1"/>
  <c r="L206" i="10"/>
  <c r="G206" i="10" s="1"/>
  <c r="K206" i="10"/>
  <c r="F206" i="10" s="1"/>
  <c r="V205" i="10"/>
  <c r="U205" i="10"/>
  <c r="T205" i="10"/>
  <c r="S205" i="10"/>
  <c r="R205" i="10"/>
  <c r="Q205" i="10"/>
  <c r="N205" i="10"/>
  <c r="I205" i="10" s="1"/>
  <c r="M205" i="10"/>
  <c r="H205" i="10" s="1"/>
  <c r="L205" i="10"/>
  <c r="K205" i="10"/>
  <c r="F205" i="10" s="1"/>
  <c r="V204" i="10"/>
  <c r="U204" i="10"/>
  <c r="T204" i="10"/>
  <c r="S204" i="10"/>
  <c r="R204" i="10"/>
  <c r="Q204" i="10"/>
  <c r="N204" i="10"/>
  <c r="I204" i="10" s="1"/>
  <c r="M204" i="10"/>
  <c r="H204" i="10" s="1"/>
  <c r="L204" i="10"/>
  <c r="G204" i="10" s="1"/>
  <c r="K204" i="10"/>
  <c r="F204" i="10" s="1"/>
  <c r="V203" i="10"/>
  <c r="U203" i="10"/>
  <c r="T203" i="10"/>
  <c r="S203" i="10"/>
  <c r="Q203" i="10"/>
  <c r="N203" i="10"/>
  <c r="I203" i="10" s="1"/>
  <c r="M203" i="10"/>
  <c r="H203" i="10" s="1"/>
  <c r="K203" i="10"/>
  <c r="F203" i="10" s="1"/>
  <c r="G203" i="10"/>
  <c r="V202" i="10"/>
  <c r="U202" i="10"/>
  <c r="T202" i="10"/>
  <c r="S202" i="10"/>
  <c r="R202" i="10"/>
  <c r="Q202" i="10"/>
  <c r="N202" i="10"/>
  <c r="I202" i="10" s="1"/>
  <c r="M202" i="10"/>
  <c r="H202" i="10" s="1"/>
  <c r="L202" i="10"/>
  <c r="G202" i="10" s="1"/>
  <c r="K202" i="10"/>
  <c r="F202" i="10" s="1"/>
  <c r="V201" i="10"/>
  <c r="U201" i="10"/>
  <c r="T201" i="10"/>
  <c r="S201" i="10"/>
  <c r="R201" i="10"/>
  <c r="Q201" i="10"/>
  <c r="N201" i="10"/>
  <c r="I201" i="10" s="1"/>
  <c r="M201" i="10"/>
  <c r="H201" i="10" s="1"/>
  <c r="L201" i="10"/>
  <c r="G201" i="10" s="1"/>
  <c r="K201" i="10"/>
  <c r="V200" i="10"/>
  <c r="U200" i="10"/>
  <c r="T200" i="10"/>
  <c r="S200" i="10"/>
  <c r="R200" i="10"/>
  <c r="Q200" i="10"/>
  <c r="N200" i="10"/>
  <c r="I200" i="10" s="1"/>
  <c r="M200" i="10"/>
  <c r="H200" i="10" s="1"/>
  <c r="L200" i="10"/>
  <c r="G200" i="10" s="1"/>
  <c r="K200" i="10"/>
  <c r="F200" i="10" s="1"/>
  <c r="V199" i="10"/>
  <c r="U199" i="10"/>
  <c r="T199" i="10"/>
  <c r="S199" i="10"/>
  <c r="R199" i="10"/>
  <c r="Q199" i="10"/>
  <c r="N199" i="10"/>
  <c r="I199" i="10" s="1"/>
  <c r="M199" i="10"/>
  <c r="H199" i="10" s="1"/>
  <c r="L199" i="10"/>
  <c r="G199" i="10" s="1"/>
  <c r="K199" i="10"/>
  <c r="F199" i="10" s="1"/>
  <c r="V198" i="10"/>
  <c r="U198" i="10"/>
  <c r="T198" i="10"/>
  <c r="S198" i="10"/>
  <c r="R198" i="10"/>
  <c r="Q198" i="10"/>
  <c r="N198" i="10"/>
  <c r="I198" i="10" s="1"/>
  <c r="M198" i="10"/>
  <c r="H198" i="10" s="1"/>
  <c r="L198" i="10"/>
  <c r="G198" i="10" s="1"/>
  <c r="K198" i="10"/>
  <c r="F198" i="10" s="1"/>
  <c r="V197" i="10"/>
  <c r="U197" i="10"/>
  <c r="T197" i="10"/>
  <c r="S197" i="10"/>
  <c r="R197" i="10"/>
  <c r="Q197" i="10"/>
  <c r="N197" i="10"/>
  <c r="I197" i="10" s="1"/>
  <c r="M197" i="10"/>
  <c r="H197" i="10" s="1"/>
  <c r="L197" i="10"/>
  <c r="G197" i="10" s="1"/>
  <c r="K197" i="10"/>
  <c r="F197" i="10" s="1"/>
  <c r="V196" i="10"/>
  <c r="U196" i="10"/>
  <c r="R196" i="10"/>
  <c r="Q196" i="10"/>
  <c r="N196" i="10"/>
  <c r="I196" i="10" s="1"/>
  <c r="M196" i="10"/>
  <c r="H196" i="10" s="1"/>
  <c r="L196" i="10"/>
  <c r="K196" i="10"/>
  <c r="F196" i="10" s="1"/>
  <c r="V195" i="10"/>
  <c r="U195" i="10"/>
  <c r="T195" i="10"/>
  <c r="S195" i="10"/>
  <c r="R195" i="10"/>
  <c r="Q195" i="10"/>
  <c r="N195" i="10"/>
  <c r="I195" i="10" s="1"/>
  <c r="M195" i="10"/>
  <c r="H195" i="10" s="1"/>
  <c r="L195" i="10"/>
  <c r="G195" i="10" s="1"/>
  <c r="K195" i="10"/>
  <c r="V194" i="10"/>
  <c r="U194" i="10"/>
  <c r="T194" i="10"/>
  <c r="S194" i="10"/>
  <c r="R194" i="10"/>
  <c r="Q194" i="10"/>
  <c r="N194" i="10"/>
  <c r="I194" i="10" s="1"/>
  <c r="M194" i="10"/>
  <c r="H194" i="10" s="1"/>
  <c r="L194" i="10"/>
  <c r="G194" i="10" s="1"/>
  <c r="K194" i="10"/>
  <c r="F194" i="10" s="1"/>
  <c r="V193" i="10"/>
  <c r="U193" i="10"/>
  <c r="T193" i="10"/>
  <c r="S193" i="10"/>
  <c r="R193" i="10"/>
  <c r="Q193" i="10"/>
  <c r="N193" i="10"/>
  <c r="I193" i="10" s="1"/>
  <c r="M193" i="10"/>
  <c r="H193" i="10" s="1"/>
  <c r="L193" i="10"/>
  <c r="G193" i="10" s="1"/>
  <c r="K193" i="10"/>
  <c r="F193" i="10" s="1"/>
  <c r="V192" i="10"/>
  <c r="U192" i="10"/>
  <c r="T192" i="10"/>
  <c r="S192" i="10"/>
  <c r="R192" i="10"/>
  <c r="Q192" i="10"/>
  <c r="N192" i="10"/>
  <c r="I192" i="10" s="1"/>
  <c r="M192" i="10"/>
  <c r="H192" i="10" s="1"/>
  <c r="L192" i="10"/>
  <c r="G192" i="10" s="1"/>
  <c r="K192" i="10"/>
  <c r="F192" i="10" s="1"/>
  <c r="V191" i="10"/>
  <c r="U191" i="10"/>
  <c r="T191" i="10"/>
  <c r="S191" i="10"/>
  <c r="R191" i="10"/>
  <c r="Q191" i="10"/>
  <c r="N191" i="10"/>
  <c r="I191" i="10" s="1"/>
  <c r="M191" i="10"/>
  <c r="H191" i="10" s="1"/>
  <c r="L191" i="10"/>
  <c r="G191" i="10"/>
  <c r="K191" i="10"/>
  <c r="F191" i="10" s="1"/>
  <c r="V190" i="10"/>
  <c r="U190" i="10"/>
  <c r="T190" i="10"/>
  <c r="S190" i="10"/>
  <c r="R190" i="10"/>
  <c r="Q190" i="10"/>
  <c r="N190" i="10"/>
  <c r="I190" i="10" s="1"/>
  <c r="M190" i="10"/>
  <c r="H190" i="10" s="1"/>
  <c r="L190" i="10"/>
  <c r="K190" i="10"/>
  <c r="F190" i="10" s="1"/>
  <c r="V189" i="10"/>
  <c r="U189" i="10"/>
  <c r="T189" i="10"/>
  <c r="S189" i="10"/>
  <c r="R189" i="10"/>
  <c r="Q189" i="10"/>
  <c r="N189" i="10"/>
  <c r="I189" i="10" s="1"/>
  <c r="M189" i="10"/>
  <c r="H189" i="10" s="1"/>
  <c r="L189" i="10"/>
  <c r="G189" i="10"/>
  <c r="K189" i="10"/>
  <c r="F189" i="10" s="1"/>
  <c r="V188" i="10"/>
  <c r="U188" i="10"/>
  <c r="T188" i="10"/>
  <c r="S188" i="10"/>
  <c r="R188" i="10"/>
  <c r="Q188" i="10"/>
  <c r="N188" i="10"/>
  <c r="I188" i="10" s="1"/>
  <c r="M188" i="10"/>
  <c r="H188" i="10" s="1"/>
  <c r="L188" i="10"/>
  <c r="K188" i="10"/>
  <c r="F188" i="10" s="1"/>
  <c r="V187" i="10"/>
  <c r="U187" i="10"/>
  <c r="T187" i="10"/>
  <c r="S187" i="10"/>
  <c r="R187" i="10"/>
  <c r="Q187" i="10"/>
  <c r="N187" i="10"/>
  <c r="I187" i="10" s="1"/>
  <c r="M187" i="10"/>
  <c r="H187" i="10" s="1"/>
  <c r="L187" i="10"/>
  <c r="G187" i="10" s="1"/>
  <c r="K187" i="10"/>
  <c r="V186" i="10"/>
  <c r="U186" i="10"/>
  <c r="T186" i="10"/>
  <c r="S186" i="10"/>
  <c r="R186" i="10"/>
  <c r="Q186" i="10"/>
  <c r="N186" i="10"/>
  <c r="I186" i="10" s="1"/>
  <c r="M186" i="10"/>
  <c r="L186" i="10"/>
  <c r="G186" i="10" s="1"/>
  <c r="K186" i="10"/>
  <c r="F186" i="10" s="1"/>
  <c r="V185" i="10"/>
  <c r="U185" i="10"/>
  <c r="T185" i="10"/>
  <c r="S185" i="10"/>
  <c r="R185" i="10"/>
  <c r="Q185" i="10"/>
  <c r="N185" i="10"/>
  <c r="I185" i="10" s="1"/>
  <c r="M185" i="10"/>
  <c r="H185" i="10" s="1"/>
  <c r="L185" i="10"/>
  <c r="K185" i="10"/>
  <c r="F185" i="10" s="1"/>
  <c r="V184" i="10"/>
  <c r="U184" i="10"/>
  <c r="T184" i="10"/>
  <c r="S184" i="10"/>
  <c r="R184" i="10"/>
  <c r="Q184" i="10"/>
  <c r="N184" i="10"/>
  <c r="I184" i="10" s="1"/>
  <c r="M184" i="10"/>
  <c r="H184" i="10" s="1"/>
  <c r="L184" i="10"/>
  <c r="K184" i="10"/>
  <c r="F184" i="10" s="1"/>
  <c r="V183" i="10"/>
  <c r="U183" i="10"/>
  <c r="T183" i="10"/>
  <c r="S183" i="10"/>
  <c r="R183" i="10"/>
  <c r="Q183" i="10"/>
  <c r="N183" i="10"/>
  <c r="I183" i="10" s="1"/>
  <c r="M183" i="10"/>
  <c r="H183" i="10" s="1"/>
  <c r="L183" i="10"/>
  <c r="K183" i="10"/>
  <c r="F183" i="10" s="1"/>
  <c r="V182" i="10"/>
  <c r="U182" i="10"/>
  <c r="T182" i="10"/>
  <c r="S182" i="10"/>
  <c r="R182" i="10"/>
  <c r="Q182" i="10"/>
  <c r="N182" i="10"/>
  <c r="I182" i="10" s="1"/>
  <c r="M182" i="10"/>
  <c r="H182" i="10" s="1"/>
  <c r="L182" i="10"/>
  <c r="K182" i="10"/>
  <c r="F182" i="10" s="1"/>
  <c r="V181" i="10"/>
  <c r="U181" i="10"/>
  <c r="T181" i="10"/>
  <c r="S181" i="10"/>
  <c r="R181" i="10"/>
  <c r="Q181" i="10"/>
  <c r="N181" i="10"/>
  <c r="I181" i="10" s="1"/>
  <c r="M181" i="10"/>
  <c r="H181" i="10" s="1"/>
  <c r="L181" i="10"/>
  <c r="G181" i="10" s="1"/>
  <c r="K181" i="10"/>
  <c r="F181" i="10" s="1"/>
  <c r="X180" i="10"/>
  <c r="L180" i="10" s="1"/>
  <c r="V180" i="10"/>
  <c r="U180" i="10"/>
  <c r="T180" i="10"/>
  <c r="S180" i="10"/>
  <c r="Q180" i="10"/>
  <c r="N180" i="10"/>
  <c r="I180" i="10" s="1"/>
  <c r="M180" i="10"/>
  <c r="H180" i="10" s="1"/>
  <c r="K180" i="10"/>
  <c r="F180" i="10" s="1"/>
  <c r="V179" i="10"/>
  <c r="U179" i="10"/>
  <c r="T179" i="10"/>
  <c r="S179" i="10"/>
  <c r="R179" i="10"/>
  <c r="Q179" i="10"/>
  <c r="N179" i="10"/>
  <c r="I179" i="10" s="1"/>
  <c r="M179" i="10"/>
  <c r="H179" i="10" s="1"/>
  <c r="L179" i="10"/>
  <c r="G179" i="10" s="1"/>
  <c r="K179" i="10"/>
  <c r="F179" i="10" s="1"/>
  <c r="V178" i="10"/>
  <c r="U178" i="10"/>
  <c r="T178" i="10"/>
  <c r="S178" i="10"/>
  <c r="R178" i="10"/>
  <c r="Q178" i="10"/>
  <c r="N178" i="10"/>
  <c r="I178" i="10" s="1"/>
  <c r="M178" i="10"/>
  <c r="H178" i="10" s="1"/>
  <c r="L178" i="10"/>
  <c r="K178" i="10"/>
  <c r="F178" i="10" s="1"/>
  <c r="V177" i="10"/>
  <c r="U177" i="10"/>
  <c r="T177" i="10"/>
  <c r="S177" i="10"/>
  <c r="R177" i="10"/>
  <c r="Q177" i="10"/>
  <c r="N177" i="10"/>
  <c r="I177" i="10" s="1"/>
  <c r="M177" i="10"/>
  <c r="H177" i="10" s="1"/>
  <c r="L177" i="10"/>
  <c r="G177" i="10" s="1"/>
  <c r="K177" i="10"/>
  <c r="F177" i="10" s="1"/>
  <c r="V176" i="10"/>
  <c r="U176" i="10"/>
  <c r="T176" i="10"/>
  <c r="S176" i="10"/>
  <c r="R176" i="10"/>
  <c r="Q176" i="10"/>
  <c r="N176" i="10"/>
  <c r="I176" i="10" s="1"/>
  <c r="M176" i="10"/>
  <c r="H176" i="10" s="1"/>
  <c r="L176" i="10"/>
  <c r="G176" i="10" s="1"/>
  <c r="K176" i="10"/>
  <c r="F176" i="10" s="1"/>
  <c r="V175" i="10"/>
  <c r="U175" i="10"/>
  <c r="T175" i="10"/>
  <c r="S175" i="10"/>
  <c r="R175" i="10"/>
  <c r="Q175" i="10"/>
  <c r="N175" i="10"/>
  <c r="I175" i="10" s="1"/>
  <c r="M175" i="10"/>
  <c r="H175" i="10" s="1"/>
  <c r="L175" i="10"/>
  <c r="G175" i="10" s="1"/>
  <c r="K175" i="10"/>
  <c r="F175" i="10" s="1"/>
  <c r="V174" i="10"/>
  <c r="U174" i="10"/>
  <c r="T174" i="10"/>
  <c r="S174" i="10"/>
  <c r="Q174" i="10"/>
  <c r="N174" i="10"/>
  <c r="I174" i="10" s="1"/>
  <c r="M174" i="10"/>
  <c r="H174" i="10" s="1"/>
  <c r="L174" i="10"/>
  <c r="K174" i="10"/>
  <c r="F174" i="10" s="1"/>
  <c r="V173" i="10"/>
  <c r="U173" i="10"/>
  <c r="T173" i="10"/>
  <c r="S173" i="10"/>
  <c r="Q173" i="10"/>
  <c r="N173" i="10"/>
  <c r="I173" i="10" s="1"/>
  <c r="M173" i="10"/>
  <c r="H173" i="10" s="1"/>
  <c r="L173" i="10"/>
  <c r="K173" i="10"/>
  <c r="F173" i="10" s="1"/>
  <c r="V172" i="10"/>
  <c r="U172" i="10"/>
  <c r="T172" i="10"/>
  <c r="S172" i="10"/>
  <c r="R172" i="10"/>
  <c r="Q172" i="10"/>
  <c r="N172" i="10"/>
  <c r="I172" i="10" s="1"/>
  <c r="M172" i="10"/>
  <c r="H172" i="10"/>
  <c r="L172" i="10"/>
  <c r="G172" i="10" s="1"/>
  <c r="K172" i="10"/>
  <c r="F172" i="10"/>
  <c r="V171" i="10"/>
  <c r="U171" i="10"/>
  <c r="T171" i="10"/>
  <c r="S171" i="10"/>
  <c r="R171" i="10"/>
  <c r="Q171" i="10"/>
  <c r="N171" i="10"/>
  <c r="I171" i="10"/>
  <c r="M171" i="10"/>
  <c r="H171" i="10" s="1"/>
  <c r="L171" i="10"/>
  <c r="K171" i="10"/>
  <c r="F171" i="10" s="1"/>
  <c r="V170" i="10"/>
  <c r="U170" i="10"/>
  <c r="T170" i="10"/>
  <c r="S170" i="10"/>
  <c r="R170" i="10"/>
  <c r="Q170" i="10"/>
  <c r="N170" i="10"/>
  <c r="I170" i="10" s="1"/>
  <c r="M170" i="10"/>
  <c r="H170" i="10" s="1"/>
  <c r="L170" i="10"/>
  <c r="K170" i="10"/>
  <c r="F170" i="10"/>
  <c r="V169" i="10"/>
  <c r="U169" i="10"/>
  <c r="T169" i="10"/>
  <c r="S169" i="10"/>
  <c r="Q169" i="10"/>
  <c r="N169" i="10"/>
  <c r="I169" i="10" s="1"/>
  <c r="M169" i="10"/>
  <c r="H169" i="10" s="1"/>
  <c r="K169" i="10"/>
  <c r="F169" i="10" s="1"/>
  <c r="G169" i="10"/>
  <c r="V168" i="10"/>
  <c r="U168" i="10"/>
  <c r="T168" i="10"/>
  <c r="S168" i="10"/>
  <c r="Q168" i="10"/>
  <c r="N168" i="10"/>
  <c r="I168" i="10" s="1"/>
  <c r="M168" i="10"/>
  <c r="H168" i="10" s="1"/>
  <c r="K168" i="10"/>
  <c r="F168" i="10" s="1"/>
  <c r="G168" i="10"/>
  <c r="V167" i="10"/>
  <c r="U167" i="10"/>
  <c r="T167" i="10"/>
  <c r="S167" i="10"/>
  <c r="Q167" i="10"/>
  <c r="N167" i="10"/>
  <c r="I167" i="10" s="1"/>
  <c r="M167" i="10"/>
  <c r="H167" i="10" s="1"/>
  <c r="K167" i="10"/>
  <c r="F167" i="10" s="1"/>
  <c r="G167" i="10"/>
  <c r="W166" i="10"/>
  <c r="W68" i="10" s="1"/>
  <c r="V166" i="10"/>
  <c r="U166" i="10"/>
  <c r="T166" i="10"/>
  <c r="S166" i="10"/>
  <c r="R166" i="10"/>
  <c r="N166" i="10"/>
  <c r="M166" i="10"/>
  <c r="H166" i="10" s="1"/>
  <c r="L166" i="10"/>
  <c r="G166" i="10" s="1"/>
  <c r="V165" i="10"/>
  <c r="U165" i="10"/>
  <c r="T165" i="10"/>
  <c r="S165" i="10"/>
  <c r="R165" i="10"/>
  <c r="Q165" i="10"/>
  <c r="N165" i="10"/>
  <c r="I165" i="10" s="1"/>
  <c r="M165" i="10"/>
  <c r="H165" i="10" s="1"/>
  <c r="L165" i="10"/>
  <c r="G165" i="10" s="1"/>
  <c r="K165" i="10"/>
  <c r="F165" i="10" s="1"/>
  <c r="V164" i="10"/>
  <c r="U164" i="10"/>
  <c r="T164" i="10"/>
  <c r="S164" i="10"/>
  <c r="Q164" i="10"/>
  <c r="N164" i="10"/>
  <c r="I164" i="10" s="1"/>
  <c r="M164" i="10"/>
  <c r="H164" i="10" s="1"/>
  <c r="L164" i="10"/>
  <c r="G164" i="10" s="1"/>
  <c r="K164" i="10"/>
  <c r="F164" i="10" s="1"/>
  <c r="V163" i="10"/>
  <c r="U163" i="10"/>
  <c r="T163" i="10"/>
  <c r="S163" i="10"/>
  <c r="Q163" i="10"/>
  <c r="N163" i="10"/>
  <c r="I163" i="10" s="1"/>
  <c r="M163" i="10"/>
  <c r="H163" i="10" s="1"/>
  <c r="L163" i="10"/>
  <c r="G163" i="10" s="1"/>
  <c r="K163" i="10"/>
  <c r="F163" i="10" s="1"/>
  <c r="V162" i="10"/>
  <c r="U162" i="10"/>
  <c r="T162" i="10"/>
  <c r="S162" i="10"/>
  <c r="R162" i="10"/>
  <c r="Q162" i="10"/>
  <c r="N162" i="10"/>
  <c r="I162" i="10" s="1"/>
  <c r="M162" i="10"/>
  <c r="H162" i="10" s="1"/>
  <c r="L162" i="10"/>
  <c r="G162" i="10" s="1"/>
  <c r="K162" i="10"/>
  <c r="F162" i="10" s="1"/>
  <c r="Z158" i="10"/>
  <c r="T158" i="10" s="1"/>
  <c r="Y158" i="10"/>
  <c r="S158" i="10" s="1"/>
  <c r="V158" i="10"/>
  <c r="U158" i="10"/>
  <c r="R158" i="10"/>
  <c r="Q158" i="10"/>
  <c r="N158" i="10"/>
  <c r="I158" i="10" s="1"/>
  <c r="L158" i="10"/>
  <c r="G158" i="10" s="1"/>
  <c r="K158" i="10"/>
  <c r="F158" i="10" s="1"/>
  <c r="Z157" i="10"/>
  <c r="T157" i="10" s="1"/>
  <c r="Y157" i="10"/>
  <c r="S157" i="10" s="1"/>
  <c r="V157" i="10"/>
  <c r="U157" i="10"/>
  <c r="R157" i="10"/>
  <c r="Q157" i="10"/>
  <c r="N157" i="10"/>
  <c r="I157" i="10" s="1"/>
  <c r="L157" i="10"/>
  <c r="G157" i="10" s="1"/>
  <c r="K157" i="10"/>
  <c r="F157" i="10" s="1"/>
  <c r="V156" i="10"/>
  <c r="U156" i="10"/>
  <c r="T156" i="10"/>
  <c r="S156" i="10"/>
  <c r="R156" i="10"/>
  <c r="Q156" i="10"/>
  <c r="N156" i="10"/>
  <c r="I156" i="10" s="1"/>
  <c r="M156" i="10"/>
  <c r="H156" i="10" s="1"/>
  <c r="L156" i="10"/>
  <c r="K156" i="10"/>
  <c r="F156" i="10" s="1"/>
  <c r="V155" i="10"/>
  <c r="U155" i="10"/>
  <c r="T155" i="10"/>
  <c r="S155" i="10"/>
  <c r="R155" i="10"/>
  <c r="Q155" i="10"/>
  <c r="N155" i="10"/>
  <c r="I155" i="10"/>
  <c r="M155" i="10"/>
  <c r="H155" i="10" s="1"/>
  <c r="L155" i="10"/>
  <c r="G155" i="10" s="1"/>
  <c r="K155" i="10"/>
  <c r="F155" i="10" s="1"/>
  <c r="V154" i="10"/>
  <c r="U154" i="10"/>
  <c r="T154" i="10"/>
  <c r="S154" i="10"/>
  <c r="R154" i="10"/>
  <c r="Q154" i="10"/>
  <c r="N154" i="10"/>
  <c r="I154" i="10" s="1"/>
  <c r="M154" i="10"/>
  <c r="H154" i="10" s="1"/>
  <c r="L154" i="10"/>
  <c r="G154" i="10" s="1"/>
  <c r="K154" i="10"/>
  <c r="F154" i="10" s="1"/>
  <c r="V153" i="10"/>
  <c r="U153" i="10"/>
  <c r="T153" i="10"/>
  <c r="S153" i="10"/>
  <c r="R153" i="10"/>
  <c r="Q153" i="10"/>
  <c r="N153" i="10"/>
  <c r="I153" i="10" s="1"/>
  <c r="M153" i="10"/>
  <c r="H153" i="10" s="1"/>
  <c r="L153" i="10"/>
  <c r="G153" i="10" s="1"/>
  <c r="K153" i="10"/>
  <c r="F153" i="10" s="1"/>
  <c r="V152" i="10"/>
  <c r="U152" i="10"/>
  <c r="T152" i="10"/>
  <c r="S152" i="10"/>
  <c r="R152" i="10"/>
  <c r="Q152" i="10"/>
  <c r="L152" i="10"/>
  <c r="J152" i="10" s="1"/>
  <c r="I152" i="10"/>
  <c r="H152" i="10"/>
  <c r="F152" i="10"/>
  <c r="V151" i="10"/>
  <c r="U151" i="10"/>
  <c r="T151" i="10"/>
  <c r="S151" i="10"/>
  <c r="R151" i="10"/>
  <c r="Q151" i="10"/>
  <c r="N151" i="10"/>
  <c r="I151" i="10" s="1"/>
  <c r="M151" i="10"/>
  <c r="H151" i="10" s="1"/>
  <c r="L151" i="10"/>
  <c r="G151" i="10" s="1"/>
  <c r="K151" i="10"/>
  <c r="F151" i="10" s="1"/>
  <c r="V150" i="10"/>
  <c r="U150" i="10"/>
  <c r="T150" i="10"/>
  <c r="S150" i="10"/>
  <c r="R150" i="10"/>
  <c r="Q150" i="10"/>
  <c r="N150" i="10"/>
  <c r="I150" i="10" s="1"/>
  <c r="M150" i="10"/>
  <c r="H150" i="10" s="1"/>
  <c r="L150" i="10"/>
  <c r="K150" i="10"/>
  <c r="F150" i="10" s="1"/>
  <c r="V149" i="10"/>
  <c r="U149" i="10"/>
  <c r="T149" i="10"/>
  <c r="S149" i="10"/>
  <c r="R149" i="10"/>
  <c r="Q149" i="10"/>
  <c r="N149" i="10"/>
  <c r="I149" i="10" s="1"/>
  <c r="M149" i="10"/>
  <c r="H149" i="10" s="1"/>
  <c r="L149" i="10"/>
  <c r="K149" i="10"/>
  <c r="F149" i="10"/>
  <c r="V148" i="10"/>
  <c r="U148" i="10"/>
  <c r="T148" i="10"/>
  <c r="S148" i="10"/>
  <c r="R148" i="10"/>
  <c r="Q148" i="10"/>
  <c r="N148" i="10"/>
  <c r="I148" i="10"/>
  <c r="M148" i="10"/>
  <c r="H148" i="10"/>
  <c r="L148" i="10"/>
  <c r="G148" i="10" s="1"/>
  <c r="K148" i="10"/>
  <c r="F148" i="10" s="1"/>
  <c r="V147" i="10"/>
  <c r="U147" i="10"/>
  <c r="T147" i="10"/>
  <c r="S147" i="10"/>
  <c r="R147" i="10"/>
  <c r="Q147" i="10"/>
  <c r="N147" i="10"/>
  <c r="I147" i="10" s="1"/>
  <c r="M147" i="10"/>
  <c r="H147" i="10" s="1"/>
  <c r="L147" i="10"/>
  <c r="K147" i="10"/>
  <c r="F147" i="10" s="1"/>
  <c r="V146" i="10"/>
  <c r="U146" i="10"/>
  <c r="T146" i="10"/>
  <c r="S146" i="10"/>
  <c r="R146" i="10"/>
  <c r="Q146" i="10"/>
  <c r="N146" i="10"/>
  <c r="I146" i="10" s="1"/>
  <c r="M146" i="10"/>
  <c r="H146" i="10" s="1"/>
  <c r="L146" i="10"/>
  <c r="K146" i="10"/>
  <c r="F146" i="10" s="1"/>
  <c r="V145" i="10"/>
  <c r="U145" i="10"/>
  <c r="T145" i="10"/>
  <c r="S145" i="10"/>
  <c r="R145" i="10"/>
  <c r="Q145" i="10"/>
  <c r="N145" i="10"/>
  <c r="I145" i="10" s="1"/>
  <c r="M145" i="10"/>
  <c r="H145" i="10" s="1"/>
  <c r="L145" i="10"/>
  <c r="G145" i="10" s="1"/>
  <c r="K145" i="10"/>
  <c r="F145" i="10" s="1"/>
  <c r="V144" i="10"/>
  <c r="U144" i="10"/>
  <c r="T144" i="10"/>
  <c r="S144" i="10"/>
  <c r="R144" i="10"/>
  <c r="Q144" i="10"/>
  <c r="N144" i="10"/>
  <c r="M144" i="10"/>
  <c r="H144" i="10" s="1"/>
  <c r="L144" i="10"/>
  <c r="K144" i="10"/>
  <c r="F144" i="10" s="1"/>
  <c r="V143" i="10"/>
  <c r="U143" i="10"/>
  <c r="T143" i="10"/>
  <c r="S143" i="10"/>
  <c r="R143" i="10"/>
  <c r="Q143" i="10"/>
  <c r="L143" i="10"/>
  <c r="J143" i="10" s="1"/>
  <c r="K143" i="10"/>
  <c r="F143" i="10" s="1"/>
  <c r="I143" i="10"/>
  <c r="H143" i="10"/>
  <c r="V142" i="10"/>
  <c r="U142" i="10"/>
  <c r="T142" i="10"/>
  <c r="S142" i="10"/>
  <c r="R142" i="10"/>
  <c r="Q142" i="10"/>
  <c r="L142" i="10"/>
  <c r="J142" i="10" s="1"/>
  <c r="K142" i="10"/>
  <c r="F142" i="10" s="1"/>
  <c r="I142" i="10"/>
  <c r="H142" i="10"/>
  <c r="V141" i="10"/>
  <c r="U141" i="10"/>
  <c r="T141" i="10"/>
  <c r="S141" i="10"/>
  <c r="R141" i="10"/>
  <c r="Q141" i="10"/>
  <c r="N141" i="10"/>
  <c r="I141" i="10" s="1"/>
  <c r="M141" i="10"/>
  <c r="H141" i="10" s="1"/>
  <c r="L141" i="10"/>
  <c r="G141" i="10" s="1"/>
  <c r="K141" i="10"/>
  <c r="F141" i="10" s="1"/>
  <c r="V140" i="10"/>
  <c r="U140" i="10"/>
  <c r="T140" i="10"/>
  <c r="S140" i="10"/>
  <c r="R140" i="10"/>
  <c r="Q140" i="10"/>
  <c r="N140" i="10"/>
  <c r="I140" i="10" s="1"/>
  <c r="M140" i="10"/>
  <c r="H140" i="10" s="1"/>
  <c r="L140" i="10"/>
  <c r="G140" i="10" s="1"/>
  <c r="K140" i="10"/>
  <c r="F140" i="10" s="1"/>
  <c r="V139" i="10"/>
  <c r="U139" i="10"/>
  <c r="T139" i="10"/>
  <c r="S139" i="10"/>
  <c r="R139" i="10"/>
  <c r="Q139" i="10"/>
  <c r="N139" i="10"/>
  <c r="I139" i="10" s="1"/>
  <c r="M139" i="10"/>
  <c r="H139" i="10"/>
  <c r="L139" i="10"/>
  <c r="G139" i="10" s="1"/>
  <c r="K139" i="10"/>
  <c r="F139" i="10" s="1"/>
  <c r="V138" i="10"/>
  <c r="U138" i="10"/>
  <c r="T138" i="10"/>
  <c r="S138" i="10"/>
  <c r="R138" i="10"/>
  <c r="Q138" i="10"/>
  <c r="N138" i="10"/>
  <c r="I138" i="10" s="1"/>
  <c r="M138" i="10"/>
  <c r="H138" i="10" s="1"/>
  <c r="L138" i="10"/>
  <c r="G138" i="10" s="1"/>
  <c r="K138" i="10"/>
  <c r="F138" i="10" s="1"/>
  <c r="V137" i="10"/>
  <c r="U137" i="10"/>
  <c r="T137" i="10"/>
  <c r="S137" i="10"/>
  <c r="R137" i="10"/>
  <c r="Q137" i="10"/>
  <c r="N137" i="10"/>
  <c r="I137" i="10" s="1"/>
  <c r="M137" i="10"/>
  <c r="H137" i="10" s="1"/>
  <c r="L137" i="10"/>
  <c r="G137" i="10" s="1"/>
  <c r="K137" i="10"/>
  <c r="F137" i="10" s="1"/>
  <c r="V136" i="10"/>
  <c r="U136" i="10"/>
  <c r="T136" i="10"/>
  <c r="S136" i="10"/>
  <c r="R136" i="10"/>
  <c r="Q136" i="10"/>
  <c r="N136" i="10"/>
  <c r="I136" i="10" s="1"/>
  <c r="M136" i="10"/>
  <c r="H136" i="10" s="1"/>
  <c r="L136" i="10"/>
  <c r="G136" i="10" s="1"/>
  <c r="K136" i="10"/>
  <c r="F136" i="10" s="1"/>
  <c r="V135" i="10"/>
  <c r="U135" i="10"/>
  <c r="T135" i="10"/>
  <c r="S135" i="10"/>
  <c r="R135" i="10"/>
  <c r="Q135" i="10"/>
  <c r="N135" i="10"/>
  <c r="I135" i="10" s="1"/>
  <c r="M135" i="10"/>
  <c r="H135" i="10" s="1"/>
  <c r="L135" i="10"/>
  <c r="G135" i="10" s="1"/>
  <c r="K135" i="10"/>
  <c r="F135" i="10" s="1"/>
  <c r="V134" i="10"/>
  <c r="U134" i="10"/>
  <c r="T134" i="10"/>
  <c r="S134" i="10"/>
  <c r="R134" i="10"/>
  <c r="Q134" i="10"/>
  <c r="N134" i="10"/>
  <c r="I134" i="10" s="1"/>
  <c r="M134" i="10"/>
  <c r="H134" i="10" s="1"/>
  <c r="L134" i="10"/>
  <c r="G134" i="10" s="1"/>
  <c r="K134" i="10"/>
  <c r="F134" i="10" s="1"/>
  <c r="V133" i="10"/>
  <c r="U133" i="10"/>
  <c r="T133" i="10"/>
  <c r="S133" i="10"/>
  <c r="R133" i="10"/>
  <c r="Q133" i="10"/>
  <c r="N133" i="10"/>
  <c r="I133" i="10" s="1"/>
  <c r="M133" i="10"/>
  <c r="H133" i="10" s="1"/>
  <c r="L133" i="10"/>
  <c r="G133" i="10" s="1"/>
  <c r="K133" i="10"/>
  <c r="F133" i="10" s="1"/>
  <c r="V130" i="10"/>
  <c r="U130" i="10"/>
  <c r="T130" i="10"/>
  <c r="S130" i="10"/>
  <c r="R130" i="10"/>
  <c r="Q130" i="10"/>
  <c r="N130" i="10"/>
  <c r="I130" i="10" s="1"/>
  <c r="M130" i="10"/>
  <c r="H130" i="10" s="1"/>
  <c r="L130" i="10"/>
  <c r="G130" i="10" s="1"/>
  <c r="K130" i="10"/>
  <c r="V129" i="10"/>
  <c r="U129" i="10"/>
  <c r="T129" i="10"/>
  <c r="S129" i="10"/>
  <c r="R129" i="10"/>
  <c r="Q129" i="10"/>
  <c r="N129" i="10"/>
  <c r="I129" i="10" s="1"/>
  <c r="M129" i="10"/>
  <c r="H129" i="10" s="1"/>
  <c r="L129" i="10"/>
  <c r="G129" i="10" s="1"/>
  <c r="K129" i="10"/>
  <c r="V128" i="10"/>
  <c r="U128" i="10"/>
  <c r="T128" i="10"/>
  <c r="S128" i="10"/>
  <c r="R128" i="10"/>
  <c r="Q128" i="10"/>
  <c r="N128" i="10"/>
  <c r="I128" i="10"/>
  <c r="M128" i="10"/>
  <c r="H128" i="10" s="1"/>
  <c r="L128" i="10"/>
  <c r="G128" i="10" s="1"/>
  <c r="K128" i="10"/>
  <c r="F128" i="10" s="1"/>
  <c r="V127" i="10"/>
  <c r="U127" i="10"/>
  <c r="T127" i="10"/>
  <c r="S127" i="10"/>
  <c r="R127" i="10"/>
  <c r="Q127" i="10"/>
  <c r="N127" i="10"/>
  <c r="I127" i="10" s="1"/>
  <c r="M127" i="10"/>
  <c r="H127" i="10" s="1"/>
  <c r="L127" i="10"/>
  <c r="G127" i="10" s="1"/>
  <c r="K127" i="10"/>
  <c r="F127" i="10" s="1"/>
  <c r="V126" i="10"/>
  <c r="U126" i="10"/>
  <c r="T126" i="10"/>
  <c r="S126" i="10"/>
  <c r="R126" i="10"/>
  <c r="Q126" i="10"/>
  <c r="N126" i="10"/>
  <c r="I126" i="10" s="1"/>
  <c r="M126" i="10"/>
  <c r="H126" i="10" s="1"/>
  <c r="L126" i="10"/>
  <c r="J126" i="10" s="1"/>
  <c r="K126" i="10"/>
  <c r="F126" i="10" s="1"/>
  <c r="V125" i="10"/>
  <c r="U125" i="10"/>
  <c r="T125" i="10"/>
  <c r="S125" i="10"/>
  <c r="R125" i="10"/>
  <c r="Q125" i="10"/>
  <c r="N125" i="10"/>
  <c r="I125" i="10" s="1"/>
  <c r="M125" i="10"/>
  <c r="H125" i="10" s="1"/>
  <c r="L125" i="10"/>
  <c r="G125" i="10" s="1"/>
  <c r="K125" i="10"/>
  <c r="F125" i="10" s="1"/>
  <c r="V124" i="10"/>
  <c r="U124" i="10"/>
  <c r="T124" i="10"/>
  <c r="S124" i="10"/>
  <c r="R124" i="10"/>
  <c r="Q124" i="10"/>
  <c r="N124" i="10"/>
  <c r="I124" i="10" s="1"/>
  <c r="M124" i="10"/>
  <c r="H124" i="10" s="1"/>
  <c r="L124" i="10"/>
  <c r="K124" i="10"/>
  <c r="F124" i="10" s="1"/>
  <c r="V123" i="10"/>
  <c r="U123" i="10"/>
  <c r="T123" i="10"/>
  <c r="S123" i="10"/>
  <c r="R123" i="10"/>
  <c r="Q123" i="10"/>
  <c r="N123" i="10"/>
  <c r="I123" i="10" s="1"/>
  <c r="M123" i="10"/>
  <c r="H123" i="10" s="1"/>
  <c r="L123" i="10"/>
  <c r="G123" i="10" s="1"/>
  <c r="K123" i="10"/>
  <c r="F123" i="10" s="1"/>
  <c r="V122" i="10"/>
  <c r="U122" i="10"/>
  <c r="T122" i="10"/>
  <c r="S122" i="10"/>
  <c r="R122" i="10"/>
  <c r="Q122" i="10"/>
  <c r="N122" i="10"/>
  <c r="M122" i="10"/>
  <c r="H122" i="10"/>
  <c r="L122" i="10"/>
  <c r="G122" i="10" s="1"/>
  <c r="K122" i="10"/>
  <c r="F122" i="10" s="1"/>
  <c r="V121" i="10"/>
  <c r="U121" i="10"/>
  <c r="T121" i="10"/>
  <c r="S121" i="10"/>
  <c r="R121" i="10"/>
  <c r="Q121" i="10"/>
  <c r="N121" i="10"/>
  <c r="I121" i="10" s="1"/>
  <c r="M121" i="10"/>
  <c r="H121" i="10" s="1"/>
  <c r="L121" i="10"/>
  <c r="G121" i="10" s="1"/>
  <c r="K121" i="10"/>
  <c r="F121" i="10" s="1"/>
  <c r="V120" i="10"/>
  <c r="U120" i="10"/>
  <c r="T120" i="10"/>
  <c r="S120" i="10"/>
  <c r="R120" i="10"/>
  <c r="Q120" i="10"/>
  <c r="N120" i="10"/>
  <c r="I120" i="10" s="1"/>
  <c r="M120" i="10"/>
  <c r="H120" i="10" s="1"/>
  <c r="L120" i="10"/>
  <c r="G120" i="10" s="1"/>
  <c r="K120" i="10"/>
  <c r="F120" i="10" s="1"/>
  <c r="V119" i="10"/>
  <c r="U119" i="10"/>
  <c r="T119" i="10"/>
  <c r="S119" i="10"/>
  <c r="R119" i="10"/>
  <c r="Q119" i="10"/>
  <c r="N119" i="10"/>
  <c r="I119" i="10" s="1"/>
  <c r="M119" i="10"/>
  <c r="H119" i="10" s="1"/>
  <c r="L119" i="10"/>
  <c r="G119" i="10" s="1"/>
  <c r="K119" i="10"/>
  <c r="F119" i="10" s="1"/>
  <c r="V118" i="10"/>
  <c r="U118" i="10"/>
  <c r="T118" i="10"/>
  <c r="S118" i="10"/>
  <c r="R118" i="10"/>
  <c r="Q118" i="10"/>
  <c r="N118" i="10"/>
  <c r="I118" i="10" s="1"/>
  <c r="M118" i="10"/>
  <c r="H118" i="10" s="1"/>
  <c r="L118" i="10"/>
  <c r="G118" i="10"/>
  <c r="K118" i="10"/>
  <c r="F118" i="10" s="1"/>
  <c r="V117" i="10"/>
  <c r="U117" i="10"/>
  <c r="T117" i="10"/>
  <c r="S117" i="10"/>
  <c r="R117" i="10"/>
  <c r="Q117" i="10"/>
  <c r="N117" i="10"/>
  <c r="I117" i="10" s="1"/>
  <c r="M117" i="10"/>
  <c r="H117" i="10" s="1"/>
  <c r="L117" i="10"/>
  <c r="G117" i="10" s="1"/>
  <c r="K117" i="10"/>
  <c r="F117" i="10" s="1"/>
  <c r="V116" i="10"/>
  <c r="U116" i="10"/>
  <c r="T116" i="10"/>
  <c r="S116" i="10"/>
  <c r="R116" i="10"/>
  <c r="Q116" i="10"/>
  <c r="N116" i="10"/>
  <c r="I116" i="10" s="1"/>
  <c r="M116" i="10"/>
  <c r="H116" i="10" s="1"/>
  <c r="L116" i="10"/>
  <c r="K116" i="10"/>
  <c r="F116" i="10" s="1"/>
  <c r="V115" i="10"/>
  <c r="U115" i="10"/>
  <c r="T115" i="10"/>
  <c r="S115" i="10"/>
  <c r="R115" i="10"/>
  <c r="Q115" i="10"/>
  <c r="N115" i="10"/>
  <c r="I115" i="10" s="1"/>
  <c r="M115" i="10"/>
  <c r="H115" i="10" s="1"/>
  <c r="L115" i="10"/>
  <c r="G115" i="10" s="1"/>
  <c r="K115" i="10"/>
  <c r="F115" i="10" s="1"/>
  <c r="V114" i="10"/>
  <c r="U114" i="10"/>
  <c r="T114" i="10"/>
  <c r="S114" i="10"/>
  <c r="R114" i="10"/>
  <c r="Q114" i="10"/>
  <c r="N114" i="10"/>
  <c r="I114" i="10" s="1"/>
  <c r="M114" i="10"/>
  <c r="H114" i="10" s="1"/>
  <c r="L114" i="10"/>
  <c r="G114" i="10" s="1"/>
  <c r="K114" i="10"/>
  <c r="F114" i="10" s="1"/>
  <c r="V113" i="10"/>
  <c r="U113" i="10"/>
  <c r="T113" i="10"/>
  <c r="S113" i="10"/>
  <c r="R113" i="10"/>
  <c r="Q113" i="10"/>
  <c r="N113" i="10"/>
  <c r="I113" i="10" s="1"/>
  <c r="M113" i="10"/>
  <c r="H113" i="10" s="1"/>
  <c r="L113" i="10"/>
  <c r="G113" i="10" s="1"/>
  <c r="K113" i="10"/>
  <c r="F113" i="10" s="1"/>
  <c r="V112" i="10"/>
  <c r="U112" i="10"/>
  <c r="T112" i="10"/>
  <c r="S112" i="10"/>
  <c r="R112" i="10"/>
  <c r="Q112" i="10"/>
  <c r="N112" i="10"/>
  <c r="I112" i="10" s="1"/>
  <c r="M112" i="10"/>
  <c r="H112" i="10" s="1"/>
  <c r="L112" i="10"/>
  <c r="G112" i="10" s="1"/>
  <c r="K112" i="10"/>
  <c r="F112" i="10" s="1"/>
  <c r="Y111" i="10"/>
  <c r="S111" i="10" s="1"/>
  <c r="V111" i="10"/>
  <c r="U111" i="10"/>
  <c r="T111" i="10"/>
  <c r="R111" i="10"/>
  <c r="Q111" i="10"/>
  <c r="N111" i="10"/>
  <c r="I111" i="10" s="1"/>
  <c r="L111" i="10"/>
  <c r="G111" i="10" s="1"/>
  <c r="K111" i="10"/>
  <c r="F111" i="10" s="1"/>
  <c r="V110" i="10"/>
  <c r="U110" i="10"/>
  <c r="T110" i="10"/>
  <c r="S110" i="10"/>
  <c r="R110" i="10"/>
  <c r="Q110" i="10"/>
  <c r="N110" i="10"/>
  <c r="I110" i="10" s="1"/>
  <c r="M110" i="10"/>
  <c r="H110" i="10" s="1"/>
  <c r="L110" i="10"/>
  <c r="G110" i="10" s="1"/>
  <c r="K110" i="10"/>
  <c r="F110" i="10" s="1"/>
  <c r="V109" i="10"/>
  <c r="U109" i="10"/>
  <c r="T109" i="10"/>
  <c r="S109" i="10"/>
  <c r="R109" i="10"/>
  <c r="Q109" i="10"/>
  <c r="N109" i="10"/>
  <c r="I109" i="10" s="1"/>
  <c r="M109" i="10"/>
  <c r="H109" i="10" s="1"/>
  <c r="L109" i="10"/>
  <c r="J109" i="10" s="1"/>
  <c r="K109" i="10"/>
  <c r="F109" i="10" s="1"/>
  <c r="V108" i="10"/>
  <c r="U108" i="10"/>
  <c r="T108" i="10"/>
  <c r="S108" i="10"/>
  <c r="R108" i="10"/>
  <c r="Q108" i="10"/>
  <c r="N108" i="10"/>
  <c r="I108" i="10" s="1"/>
  <c r="M108" i="10"/>
  <c r="H108" i="10" s="1"/>
  <c r="L108" i="10"/>
  <c r="G108" i="10" s="1"/>
  <c r="K108" i="10"/>
  <c r="F108" i="10" s="1"/>
  <c r="V107" i="10"/>
  <c r="U107" i="10"/>
  <c r="T107" i="10"/>
  <c r="R107" i="10"/>
  <c r="Q107" i="10"/>
  <c r="N107" i="10"/>
  <c r="I107" i="10" s="1"/>
  <c r="L107" i="10"/>
  <c r="G107" i="10" s="1"/>
  <c r="K107" i="10"/>
  <c r="F107" i="10" s="1"/>
  <c r="Z106" i="10"/>
  <c r="V106" i="10"/>
  <c r="U106" i="10"/>
  <c r="S106" i="10"/>
  <c r="R106" i="10"/>
  <c r="Q106" i="10"/>
  <c r="N106" i="10"/>
  <c r="I106" i="10" s="1"/>
  <c r="M106" i="10"/>
  <c r="H106" i="10" s="1"/>
  <c r="L106" i="10"/>
  <c r="G106" i="10" s="1"/>
  <c r="K106" i="10"/>
  <c r="F106" i="10" s="1"/>
  <c r="Z105" i="10"/>
  <c r="T105" i="10" s="1"/>
  <c r="Y105" i="10"/>
  <c r="M105" i="10" s="1"/>
  <c r="U105" i="10"/>
  <c r="N105" i="10"/>
  <c r="I105" i="10" s="1"/>
  <c r="L105" i="10"/>
  <c r="G105" i="10" s="1"/>
  <c r="V104" i="10"/>
  <c r="U104" i="10"/>
  <c r="T104" i="10"/>
  <c r="S104" i="10"/>
  <c r="R104" i="10"/>
  <c r="Q104" i="10"/>
  <c r="N104" i="10"/>
  <c r="I104" i="10" s="1"/>
  <c r="M104" i="10"/>
  <c r="H104" i="10" s="1"/>
  <c r="L104" i="10"/>
  <c r="G104" i="10" s="1"/>
  <c r="K104" i="10"/>
  <c r="F104" i="10" s="1"/>
  <c r="V103" i="10"/>
  <c r="U103" i="10"/>
  <c r="T103" i="10"/>
  <c r="S103" i="10"/>
  <c r="R103" i="10"/>
  <c r="Q103" i="10"/>
  <c r="N103" i="10"/>
  <c r="I103" i="10" s="1"/>
  <c r="M103" i="10"/>
  <c r="H103" i="10"/>
  <c r="L103" i="10"/>
  <c r="G103" i="10" s="1"/>
  <c r="K103" i="10"/>
  <c r="F103" i="10" s="1"/>
  <c r="V102" i="10"/>
  <c r="U102" i="10"/>
  <c r="T102" i="10"/>
  <c r="S102" i="10"/>
  <c r="R102" i="10"/>
  <c r="Q102" i="10"/>
  <c r="N102" i="10"/>
  <c r="I102" i="10" s="1"/>
  <c r="M102" i="10"/>
  <c r="H102" i="10" s="1"/>
  <c r="L102" i="10"/>
  <c r="K102" i="10"/>
  <c r="F102" i="10" s="1"/>
  <c r="V101" i="10"/>
  <c r="U101" i="10"/>
  <c r="T101" i="10"/>
  <c r="S101" i="10"/>
  <c r="R101" i="10"/>
  <c r="Q101" i="10"/>
  <c r="N101" i="10"/>
  <c r="I101" i="10" s="1"/>
  <c r="M101" i="10"/>
  <c r="H101" i="10" s="1"/>
  <c r="L101" i="10"/>
  <c r="K101" i="10"/>
  <c r="F101" i="10" s="1"/>
  <c r="V100" i="10"/>
  <c r="U100" i="10"/>
  <c r="T100" i="10"/>
  <c r="S100" i="10"/>
  <c r="R100" i="10"/>
  <c r="Q100" i="10"/>
  <c r="N100" i="10"/>
  <c r="M100" i="10"/>
  <c r="H100" i="10" s="1"/>
  <c r="L100" i="10"/>
  <c r="G100" i="10" s="1"/>
  <c r="K100" i="10"/>
  <c r="F100" i="10" s="1"/>
  <c r="V99" i="10"/>
  <c r="U99" i="10"/>
  <c r="T99" i="10"/>
  <c r="S99" i="10"/>
  <c r="R99" i="10"/>
  <c r="Q99" i="10"/>
  <c r="N99" i="10"/>
  <c r="M99" i="10"/>
  <c r="H99" i="10" s="1"/>
  <c r="L99" i="10"/>
  <c r="K99" i="10"/>
  <c r="F99" i="10" s="1"/>
  <c r="Z98" i="10"/>
  <c r="T98" i="10" s="1"/>
  <c r="Y98" i="10"/>
  <c r="S98" i="10" s="1"/>
  <c r="V98" i="10"/>
  <c r="U98" i="10"/>
  <c r="R98" i="10"/>
  <c r="Q98" i="10"/>
  <c r="M98" i="10"/>
  <c r="J98" i="10" s="1"/>
  <c r="K98" i="10"/>
  <c r="F98" i="10" s="1"/>
  <c r="I98" i="10"/>
  <c r="G98" i="10"/>
  <c r="V97" i="10"/>
  <c r="U97" i="10"/>
  <c r="T97" i="10"/>
  <c r="S97" i="10"/>
  <c r="R97" i="10"/>
  <c r="Q97" i="10"/>
  <c r="N97" i="10"/>
  <c r="I97" i="10" s="1"/>
  <c r="M97" i="10"/>
  <c r="H97" i="10" s="1"/>
  <c r="L97" i="10"/>
  <c r="G97" i="10" s="1"/>
  <c r="K97" i="10"/>
  <c r="F97" i="10" s="1"/>
  <c r="V96" i="10"/>
  <c r="U96" i="10"/>
  <c r="T96" i="10"/>
  <c r="S96" i="10"/>
  <c r="R96" i="10"/>
  <c r="Q96" i="10"/>
  <c r="N96" i="10"/>
  <c r="I96" i="10" s="1"/>
  <c r="M96" i="10"/>
  <c r="H96" i="10" s="1"/>
  <c r="L96" i="10"/>
  <c r="G96" i="10" s="1"/>
  <c r="K96" i="10"/>
  <c r="F96" i="10" s="1"/>
  <c r="Z95" i="10"/>
  <c r="T95" i="10" s="1"/>
  <c r="Y95" i="10"/>
  <c r="M95" i="10" s="1"/>
  <c r="H95" i="10" s="1"/>
  <c r="V95" i="10"/>
  <c r="U95" i="10"/>
  <c r="R95" i="10"/>
  <c r="Q95" i="10"/>
  <c r="N95" i="10"/>
  <c r="L95" i="10"/>
  <c r="G95" i="10" s="1"/>
  <c r="K95" i="10"/>
  <c r="F95" i="10" s="1"/>
  <c r="Z94" i="10"/>
  <c r="T94" i="10" s="1"/>
  <c r="V94" i="10"/>
  <c r="U94" i="10"/>
  <c r="S94" i="10"/>
  <c r="R94" i="10"/>
  <c r="Q94" i="10"/>
  <c r="N94" i="10"/>
  <c r="I94" i="10" s="1"/>
  <c r="M94" i="10"/>
  <c r="H94" i="10" s="1"/>
  <c r="L94" i="10"/>
  <c r="G94" i="10" s="1"/>
  <c r="K94" i="10"/>
  <c r="F94" i="10" s="1"/>
  <c r="V93" i="10"/>
  <c r="U93" i="10"/>
  <c r="T93" i="10"/>
  <c r="S93" i="10"/>
  <c r="Q93" i="10"/>
  <c r="I93" i="10"/>
  <c r="H93" i="10"/>
  <c r="F93" i="10"/>
  <c r="V92" i="10"/>
  <c r="U92" i="10"/>
  <c r="T92" i="10"/>
  <c r="S92" i="10"/>
  <c r="Q92" i="10"/>
  <c r="I92" i="10"/>
  <c r="H92" i="10"/>
  <c r="F92" i="10"/>
  <c r="V91" i="10"/>
  <c r="U91" i="10"/>
  <c r="T91" i="10"/>
  <c r="S91" i="10"/>
  <c r="Q91" i="10"/>
  <c r="N91" i="10"/>
  <c r="I91" i="10" s="1"/>
  <c r="M91" i="10"/>
  <c r="H91" i="10" s="1"/>
  <c r="K91" i="10"/>
  <c r="F91" i="10" s="1"/>
  <c r="V90" i="10"/>
  <c r="U90" i="10"/>
  <c r="T90" i="10"/>
  <c r="S90" i="10"/>
  <c r="Q90" i="10"/>
  <c r="N90" i="10"/>
  <c r="I90" i="10" s="1"/>
  <c r="M90" i="10"/>
  <c r="H90" i="10" s="1"/>
  <c r="K90" i="10"/>
  <c r="F90" i="10" s="1"/>
  <c r="V89" i="10"/>
  <c r="U89" i="10"/>
  <c r="T89" i="10"/>
  <c r="S89" i="10"/>
  <c r="Q89" i="10"/>
  <c r="K89" i="10"/>
  <c r="F89" i="10" s="1"/>
  <c r="I89" i="10"/>
  <c r="H89" i="10"/>
  <c r="U87" i="10"/>
  <c r="T87" i="10"/>
  <c r="S87" i="10"/>
  <c r="N87" i="10"/>
  <c r="I87" i="10" s="1"/>
  <c r="M87" i="10"/>
  <c r="H87" i="10" s="1"/>
  <c r="V86" i="10"/>
  <c r="U86" i="10"/>
  <c r="T86" i="10"/>
  <c r="S86" i="10"/>
  <c r="Q86" i="10"/>
  <c r="K86" i="10"/>
  <c r="F86" i="10" s="1"/>
  <c r="I86" i="10"/>
  <c r="H86" i="10"/>
  <c r="V85" i="10"/>
  <c r="U85" i="10"/>
  <c r="T85" i="10"/>
  <c r="S85" i="10"/>
  <c r="Q85" i="10"/>
  <c r="K85" i="10"/>
  <c r="F85" i="10" s="1"/>
  <c r="I85" i="10"/>
  <c r="H85" i="10"/>
  <c r="V84" i="10"/>
  <c r="U84" i="10"/>
  <c r="T84" i="10"/>
  <c r="S84" i="10"/>
  <c r="Q84" i="10"/>
  <c r="K84" i="10"/>
  <c r="F84" i="10" s="1"/>
  <c r="I84" i="10"/>
  <c r="H84" i="10"/>
  <c r="V83" i="10"/>
  <c r="U83" i="10"/>
  <c r="T83" i="10"/>
  <c r="S83" i="10"/>
  <c r="Q83" i="10"/>
  <c r="K83" i="10"/>
  <c r="F83" i="10" s="1"/>
  <c r="I83" i="10"/>
  <c r="H83" i="10"/>
  <c r="V82" i="10"/>
  <c r="U82" i="10"/>
  <c r="T82" i="10"/>
  <c r="S82" i="10"/>
  <c r="Q82" i="10"/>
  <c r="K82" i="10"/>
  <c r="F82" i="10" s="1"/>
  <c r="I82" i="10"/>
  <c r="H82" i="10"/>
  <c r="V81" i="10"/>
  <c r="U81" i="10"/>
  <c r="T81" i="10"/>
  <c r="S81" i="10"/>
  <c r="Q81" i="10"/>
  <c r="K81" i="10"/>
  <c r="F81" i="10" s="1"/>
  <c r="I81" i="10"/>
  <c r="H81" i="10"/>
  <c r="X80" i="10"/>
  <c r="R80" i="10" s="1"/>
  <c r="V80" i="10"/>
  <c r="U80" i="10"/>
  <c r="T80" i="10"/>
  <c r="S80" i="10"/>
  <c r="Q80" i="10"/>
  <c r="K80" i="10"/>
  <c r="F80" i="10" s="1"/>
  <c r="I80" i="10"/>
  <c r="H80" i="10"/>
  <c r="V78" i="10"/>
  <c r="U78" i="10"/>
  <c r="T78" i="10"/>
  <c r="S78" i="10"/>
  <c r="R78" i="10"/>
  <c r="Q78" i="10"/>
  <c r="N78" i="10"/>
  <c r="I78" i="10" s="1"/>
  <c r="M78" i="10"/>
  <c r="H78" i="10" s="1"/>
  <c r="L78" i="10"/>
  <c r="G78" i="10" s="1"/>
  <c r="K78" i="10"/>
  <c r="F78" i="10" s="1"/>
  <c r="V77" i="10"/>
  <c r="U77" i="10"/>
  <c r="T77" i="10"/>
  <c r="S77" i="10"/>
  <c r="R77" i="10"/>
  <c r="Q77" i="10"/>
  <c r="N77" i="10"/>
  <c r="I77" i="10" s="1"/>
  <c r="M77" i="10"/>
  <c r="H77" i="10" s="1"/>
  <c r="L77" i="10"/>
  <c r="G77" i="10" s="1"/>
  <c r="K77" i="10"/>
  <c r="F77" i="10" s="1"/>
  <c r="V76" i="10"/>
  <c r="U76" i="10"/>
  <c r="T76" i="10"/>
  <c r="S76" i="10"/>
  <c r="R76" i="10"/>
  <c r="Q76" i="10"/>
  <c r="I76" i="10"/>
  <c r="H76" i="10"/>
  <c r="G76" i="10"/>
  <c r="V75" i="10"/>
  <c r="U75" i="10"/>
  <c r="T75" i="10"/>
  <c r="S75" i="10"/>
  <c r="R75" i="10"/>
  <c r="Q75" i="10"/>
  <c r="N75" i="10"/>
  <c r="I75" i="10" s="1"/>
  <c r="K75" i="10"/>
  <c r="F75" i="10" s="1"/>
  <c r="H75" i="10"/>
  <c r="G75" i="10"/>
  <c r="V74" i="10"/>
  <c r="U74" i="10"/>
  <c r="T74" i="10"/>
  <c r="S74" i="10"/>
  <c r="R74" i="10"/>
  <c r="Q74" i="10"/>
  <c r="N74" i="10"/>
  <c r="J74" i="10" s="1"/>
  <c r="K74" i="10"/>
  <c r="F74" i="10"/>
  <c r="H74" i="10"/>
  <c r="G74" i="10"/>
  <c r="V73" i="10"/>
  <c r="U73" i="10"/>
  <c r="T73" i="10"/>
  <c r="S73" i="10"/>
  <c r="R73" i="10"/>
  <c r="Q73" i="10"/>
  <c r="N73" i="10"/>
  <c r="I73" i="10" s="1"/>
  <c r="M73" i="10"/>
  <c r="H73" i="10" s="1"/>
  <c r="L73" i="10"/>
  <c r="G73" i="10" s="1"/>
  <c r="K73" i="10"/>
  <c r="F73" i="10" s="1"/>
  <c r="V72" i="10"/>
  <c r="U72" i="10"/>
  <c r="T72" i="10"/>
  <c r="S72" i="10"/>
  <c r="R72" i="10"/>
  <c r="Q72" i="10"/>
  <c r="N72" i="10"/>
  <c r="I72" i="10" s="1"/>
  <c r="M72" i="10"/>
  <c r="H72" i="10" s="1"/>
  <c r="L72" i="10"/>
  <c r="G72" i="10" s="1"/>
  <c r="K72" i="10"/>
  <c r="F72" i="10" s="1"/>
  <c r="V71" i="10"/>
  <c r="U71" i="10"/>
  <c r="T71" i="10"/>
  <c r="S71" i="10"/>
  <c r="R71" i="10"/>
  <c r="Q71" i="10"/>
  <c r="N71" i="10"/>
  <c r="I71" i="10" s="1"/>
  <c r="M71" i="10"/>
  <c r="H71" i="10" s="1"/>
  <c r="L71" i="10"/>
  <c r="G71" i="10" s="1"/>
  <c r="K71" i="10"/>
  <c r="F71" i="10" s="1"/>
  <c r="V70" i="10"/>
  <c r="U70" i="10"/>
  <c r="T70" i="10"/>
  <c r="S70" i="10"/>
  <c r="R70" i="10"/>
  <c r="Q70" i="10"/>
  <c r="N70" i="10"/>
  <c r="I70" i="10" s="1"/>
  <c r="M70" i="10"/>
  <c r="H70" i="10" s="1"/>
  <c r="L70" i="10"/>
  <c r="G70" i="10" s="1"/>
  <c r="K70" i="10"/>
  <c r="F70" i="10" s="1"/>
  <c r="V69" i="10"/>
  <c r="U69" i="10"/>
  <c r="T69" i="10"/>
  <c r="S69" i="10"/>
  <c r="R69" i="10"/>
  <c r="Q69" i="10"/>
  <c r="N69" i="10"/>
  <c r="I69" i="10" s="1"/>
  <c r="M69" i="10"/>
  <c r="H69" i="10" s="1"/>
  <c r="L69" i="10"/>
  <c r="G69" i="10" s="1"/>
  <c r="K69" i="10"/>
  <c r="F69" i="10" s="1"/>
  <c r="AB68" i="10"/>
  <c r="V67" i="10"/>
  <c r="U67" i="10"/>
  <c r="T67" i="10"/>
  <c r="S67" i="10"/>
  <c r="R67" i="10"/>
  <c r="Q67" i="10"/>
  <c r="N67" i="10"/>
  <c r="I67" i="10" s="1"/>
  <c r="M67" i="10"/>
  <c r="H67" i="10" s="1"/>
  <c r="L67" i="10"/>
  <c r="L57" i="10" s="1"/>
  <c r="F67" i="10"/>
  <c r="Y66" i="10"/>
  <c r="S66" i="10" s="1"/>
  <c r="X66" i="10"/>
  <c r="R66" i="10" s="1"/>
  <c r="V66" i="10"/>
  <c r="U66" i="10"/>
  <c r="T66" i="10"/>
  <c r="Q66" i="10"/>
  <c r="N66" i="10"/>
  <c r="I66" i="10" s="1"/>
  <c r="K66" i="10"/>
  <c r="F66" i="10" s="1"/>
  <c r="H66" i="10"/>
  <c r="G66" i="10"/>
  <c r="Y65" i="10"/>
  <c r="S65" i="10" s="1"/>
  <c r="X65" i="10"/>
  <c r="R65" i="10" s="1"/>
  <c r="V65" i="10"/>
  <c r="U65" i="10"/>
  <c r="T65" i="10"/>
  <c r="Q65" i="10"/>
  <c r="K65" i="10"/>
  <c r="F65" i="10" s="1"/>
  <c r="J65" i="10"/>
  <c r="I65" i="10"/>
  <c r="H65" i="10"/>
  <c r="G65" i="10"/>
  <c r="Y64" i="10"/>
  <c r="S64" i="10" s="1"/>
  <c r="X64" i="10"/>
  <c r="R64" i="10" s="1"/>
  <c r="V64" i="10"/>
  <c r="U64" i="10"/>
  <c r="T64" i="10"/>
  <c r="Q64" i="10"/>
  <c r="K64" i="10"/>
  <c r="F64" i="10" s="1"/>
  <c r="J64" i="10"/>
  <c r="I64" i="10"/>
  <c r="H64" i="10"/>
  <c r="G64" i="10"/>
  <c r="V63" i="10"/>
  <c r="U63" i="10"/>
  <c r="T63" i="10"/>
  <c r="S63" i="10"/>
  <c r="R63" i="10"/>
  <c r="Q63" i="10"/>
  <c r="J63" i="10"/>
  <c r="I63" i="10"/>
  <c r="H63" i="10"/>
  <c r="G63" i="10"/>
  <c r="F63" i="10"/>
  <c r="AA62" i="10"/>
  <c r="U62" i="10" s="1"/>
  <c r="Y62" i="10"/>
  <c r="S62" i="10" s="1"/>
  <c r="V62" i="10"/>
  <c r="T62" i="10"/>
  <c r="R62" i="10"/>
  <c r="Q62" i="10"/>
  <c r="J62" i="10"/>
  <c r="I62" i="10"/>
  <c r="H62" i="10"/>
  <c r="G62" i="10"/>
  <c r="V61" i="10"/>
  <c r="U61" i="10"/>
  <c r="T61" i="10"/>
  <c r="S61" i="10"/>
  <c r="R61" i="10"/>
  <c r="Q61" i="10"/>
  <c r="J61" i="10"/>
  <c r="I61" i="10"/>
  <c r="H61" i="10"/>
  <c r="G61" i="10"/>
  <c r="F61" i="10"/>
  <c r="X60" i="10"/>
  <c r="R60" i="10" s="1"/>
  <c r="V60" i="10"/>
  <c r="U60" i="10"/>
  <c r="T60" i="10"/>
  <c r="Q60" i="10"/>
  <c r="M60" i="10"/>
  <c r="J60" i="10" s="1"/>
  <c r="I60" i="10"/>
  <c r="G60" i="10"/>
  <c r="F60" i="10"/>
  <c r="Y59" i="10"/>
  <c r="S59" i="10" s="1"/>
  <c r="X59" i="10"/>
  <c r="R59" i="10" s="1"/>
  <c r="V59" i="10"/>
  <c r="U59" i="10"/>
  <c r="T59" i="10"/>
  <c r="Q59" i="10"/>
  <c r="J59" i="10"/>
  <c r="I59" i="10"/>
  <c r="H59" i="10"/>
  <c r="G59" i="10"/>
  <c r="F59" i="10"/>
  <c r="Y58" i="10"/>
  <c r="S58" i="10" s="1"/>
  <c r="X58" i="10"/>
  <c r="R58" i="10" s="1"/>
  <c r="V58" i="10"/>
  <c r="U58" i="10"/>
  <c r="T58" i="10"/>
  <c r="Q58" i="10"/>
  <c r="J58" i="10"/>
  <c r="I58" i="10"/>
  <c r="H58" i="10"/>
  <c r="G58" i="10"/>
  <c r="F58" i="10"/>
  <c r="AB57" i="10"/>
  <c r="Z57" i="10"/>
  <c r="W57" i="10"/>
  <c r="V56" i="10"/>
  <c r="U56" i="10"/>
  <c r="T56" i="10"/>
  <c r="S56" i="10"/>
  <c r="R56" i="10"/>
  <c r="Q56" i="10"/>
  <c r="N56" i="10"/>
  <c r="I56" i="10" s="1"/>
  <c r="M56" i="10"/>
  <c r="H56" i="10" s="1"/>
  <c r="L56" i="10"/>
  <c r="J56" i="10" s="1"/>
  <c r="K56" i="10"/>
  <c r="F56" i="10" s="1"/>
  <c r="V55" i="10"/>
  <c r="U55" i="10"/>
  <c r="T55" i="10"/>
  <c r="S55" i="10"/>
  <c r="R55" i="10"/>
  <c r="Q55" i="10"/>
  <c r="N55" i="10"/>
  <c r="I55" i="10" s="1"/>
  <c r="M55" i="10"/>
  <c r="H55" i="10" s="1"/>
  <c r="L55" i="10"/>
  <c r="G55" i="10" s="1"/>
  <c r="K55" i="10"/>
  <c r="F55" i="10" s="1"/>
  <c r="V53" i="10"/>
  <c r="U53" i="10"/>
  <c r="T53" i="10"/>
  <c r="S53" i="10"/>
  <c r="R53" i="10"/>
  <c r="Q53" i="10"/>
  <c r="N53" i="10"/>
  <c r="I53" i="10" s="1"/>
  <c r="M53" i="10"/>
  <c r="H53" i="10"/>
  <c r="L53" i="10"/>
  <c r="G53" i="10" s="1"/>
  <c r="K53" i="10"/>
  <c r="F53" i="10" s="1"/>
  <c r="V52" i="10"/>
  <c r="U52" i="10"/>
  <c r="T52" i="10"/>
  <c r="S52" i="10"/>
  <c r="R52" i="10"/>
  <c r="Q52" i="10"/>
  <c r="N52" i="10"/>
  <c r="I52" i="10" s="1"/>
  <c r="M52" i="10"/>
  <c r="H52" i="10"/>
  <c r="L52" i="10"/>
  <c r="J52" i="10" s="1"/>
  <c r="K52" i="10"/>
  <c r="F52" i="10"/>
  <c r="T51" i="10"/>
  <c r="R51" i="10"/>
  <c r="N51" i="10"/>
  <c r="I51" i="10" s="1"/>
  <c r="G51" i="10"/>
  <c r="W50" i="10"/>
  <c r="Q50" i="10" s="1"/>
  <c r="T50" i="10"/>
  <c r="R50" i="10"/>
  <c r="N50" i="10"/>
  <c r="I50" i="10" s="1"/>
  <c r="G50" i="10"/>
  <c r="F50" i="10"/>
  <c r="X49" i="10"/>
  <c r="R49" i="10" s="1"/>
  <c r="V49" i="10"/>
  <c r="U49" i="10"/>
  <c r="T49" i="10"/>
  <c r="S49" i="10"/>
  <c r="Q49" i="10"/>
  <c r="N49" i="10"/>
  <c r="I49" i="10" s="1"/>
  <c r="M49" i="10"/>
  <c r="H49" i="10" s="1"/>
  <c r="K49" i="10"/>
  <c r="F49" i="10" s="1"/>
  <c r="V48" i="10"/>
  <c r="U48" i="10"/>
  <c r="T48" i="10"/>
  <c r="S48" i="10"/>
  <c r="R48" i="10"/>
  <c r="Q48" i="10"/>
  <c r="N48" i="10"/>
  <c r="I48" i="10" s="1"/>
  <c r="M48" i="10"/>
  <c r="H48" i="10" s="1"/>
  <c r="L48" i="10"/>
  <c r="G48" i="10" s="1"/>
  <c r="K48" i="10"/>
  <c r="F48" i="10"/>
  <c r="X47" i="10"/>
  <c r="V47" i="10"/>
  <c r="U47" i="10"/>
  <c r="T47" i="10"/>
  <c r="S47" i="10"/>
  <c r="Q47" i="10"/>
  <c r="N47" i="10"/>
  <c r="I47" i="10" s="1"/>
  <c r="M47" i="10"/>
  <c r="H47" i="10"/>
  <c r="K47" i="10"/>
  <c r="F47" i="10" s="1"/>
  <c r="Y45" i="10"/>
  <c r="M45" i="10" s="1"/>
  <c r="H45" i="10" s="1"/>
  <c r="X45" i="10"/>
  <c r="V45" i="10"/>
  <c r="U45" i="10"/>
  <c r="T45" i="10"/>
  <c r="Q45" i="10"/>
  <c r="N45" i="10"/>
  <c r="I45" i="10" s="1"/>
  <c r="K45" i="10"/>
  <c r="F45" i="10" s="1"/>
  <c r="Z44" i="10"/>
  <c r="T44" i="10" s="1"/>
  <c r="Y44" i="10"/>
  <c r="M44" i="10" s="1"/>
  <c r="W44" i="10"/>
  <c r="V44" i="10"/>
  <c r="U44" i="10"/>
  <c r="R44" i="10"/>
  <c r="N44" i="10"/>
  <c r="I44" i="10" s="1"/>
  <c r="L44" i="10"/>
  <c r="G44" i="10" s="1"/>
  <c r="V43" i="10"/>
  <c r="U43" i="10"/>
  <c r="T43" i="10"/>
  <c r="S43" i="10"/>
  <c r="R43" i="10"/>
  <c r="Q43" i="10"/>
  <c r="N43" i="10"/>
  <c r="I43" i="10" s="1"/>
  <c r="M43" i="10"/>
  <c r="H43" i="10" s="1"/>
  <c r="L43" i="10"/>
  <c r="G43" i="10" s="1"/>
  <c r="K43" i="10"/>
  <c r="F43" i="10" s="1"/>
  <c r="V42" i="10"/>
  <c r="U42" i="10"/>
  <c r="T42" i="10"/>
  <c r="S42" i="10"/>
  <c r="R42" i="10"/>
  <c r="Q42" i="10"/>
  <c r="N42" i="10"/>
  <c r="I42" i="10" s="1"/>
  <c r="M42" i="10"/>
  <c r="H42" i="10" s="1"/>
  <c r="L42" i="10"/>
  <c r="G42" i="10" s="1"/>
  <c r="K42" i="10"/>
  <c r="F42" i="10" s="1"/>
  <c r="Y39" i="10"/>
  <c r="S39" i="10" s="1"/>
  <c r="V39" i="10"/>
  <c r="U39" i="10"/>
  <c r="T39" i="10"/>
  <c r="R39" i="10"/>
  <c r="Q39" i="10"/>
  <c r="N39" i="10"/>
  <c r="I39" i="10" s="1"/>
  <c r="L39" i="10"/>
  <c r="G39" i="10" s="1"/>
  <c r="K39" i="10"/>
  <c r="F39" i="10" s="1"/>
  <c r="V38" i="10"/>
  <c r="U38" i="10"/>
  <c r="T38" i="10"/>
  <c r="S38" i="10"/>
  <c r="R38" i="10"/>
  <c r="Q38" i="10"/>
  <c r="N38" i="10"/>
  <c r="I38" i="10" s="1"/>
  <c r="M38" i="10"/>
  <c r="H38" i="10" s="1"/>
  <c r="L38" i="10"/>
  <c r="K38" i="10"/>
  <c r="F38" i="10" s="1"/>
  <c r="V37" i="10"/>
  <c r="U37" i="10"/>
  <c r="T37" i="10"/>
  <c r="S37" i="10"/>
  <c r="R37" i="10"/>
  <c r="Q37" i="10"/>
  <c r="N37" i="10"/>
  <c r="I37" i="10" s="1"/>
  <c r="M37" i="10"/>
  <c r="H37" i="10" s="1"/>
  <c r="L37" i="10"/>
  <c r="G37" i="10" s="1"/>
  <c r="K37" i="10"/>
  <c r="F37" i="10" s="1"/>
  <c r="Z36" i="10"/>
  <c r="T36" i="10" s="1"/>
  <c r="Y36" i="10"/>
  <c r="S36" i="10" s="1"/>
  <c r="W36" i="10"/>
  <c r="K36" i="10" s="1"/>
  <c r="F36" i="10" s="1"/>
  <c r="V36" i="10"/>
  <c r="U36" i="10"/>
  <c r="R36" i="10"/>
  <c r="N36" i="10"/>
  <c r="I36" i="10" s="1"/>
  <c r="L36" i="10"/>
  <c r="G36" i="10" s="1"/>
  <c r="V30" i="10"/>
  <c r="U30" i="10"/>
  <c r="T30" i="10"/>
  <c r="S30" i="10"/>
  <c r="R30" i="10"/>
  <c r="Q30" i="10"/>
  <c r="N30" i="10"/>
  <c r="I30" i="10" s="1"/>
  <c r="M30" i="10"/>
  <c r="H30" i="10" s="1"/>
  <c r="L30" i="10"/>
  <c r="G30" i="10" s="1"/>
  <c r="K30" i="10"/>
  <c r="F30" i="10" s="1"/>
  <c r="V28" i="10"/>
  <c r="U28" i="10"/>
  <c r="T28" i="10"/>
  <c r="S28" i="10"/>
  <c r="R28" i="10"/>
  <c r="Q28" i="10"/>
  <c r="N28" i="10"/>
  <c r="I28" i="10" s="1"/>
  <c r="M28" i="10"/>
  <c r="H28" i="10" s="1"/>
  <c r="L28" i="10"/>
  <c r="K28" i="10"/>
  <c r="F28" i="10" s="1"/>
  <c r="M27" i="10"/>
  <c r="H27" i="10"/>
  <c r="V27" i="10"/>
  <c r="U27" i="10"/>
  <c r="T27" i="10"/>
  <c r="S27" i="10"/>
  <c r="R27" i="10"/>
  <c r="Q27" i="10"/>
  <c r="N27" i="10"/>
  <c r="I27" i="10"/>
  <c r="L27" i="10"/>
  <c r="G27" i="10" s="1"/>
  <c r="K27" i="10"/>
  <c r="F27" i="10" s="1"/>
  <c r="V26" i="10"/>
  <c r="U26" i="10"/>
  <c r="T26" i="10"/>
  <c r="S26" i="10"/>
  <c r="R26" i="10"/>
  <c r="Q26" i="10"/>
  <c r="N26" i="10"/>
  <c r="I26" i="10" s="1"/>
  <c r="M26" i="10"/>
  <c r="L26" i="10"/>
  <c r="G26" i="10" s="1"/>
  <c r="K26" i="10"/>
  <c r="F26" i="10" s="1"/>
  <c r="Z24" i="10"/>
  <c r="T24" i="10" s="1"/>
  <c r="Y24" i="10"/>
  <c r="M24" i="10" s="1"/>
  <c r="H24" i="10" s="1"/>
  <c r="X24" i="10"/>
  <c r="R24" i="10" s="1"/>
  <c r="V24" i="10"/>
  <c r="U24" i="10"/>
  <c r="Q24" i="10"/>
  <c r="N24" i="10"/>
  <c r="I24" i="10" s="1"/>
  <c r="K24" i="10"/>
  <c r="F24" i="10" s="1"/>
  <c r="AB23" i="10"/>
  <c r="AA23" i="10"/>
  <c r="V22" i="10"/>
  <c r="U22" i="10"/>
  <c r="T22" i="10"/>
  <c r="S22" i="10"/>
  <c r="Q22" i="10"/>
  <c r="J22" i="10"/>
  <c r="I22" i="10"/>
  <c r="H22" i="10"/>
  <c r="G22" i="10"/>
  <c r="F22" i="10"/>
  <c r="V21" i="10"/>
  <c r="U21" i="10"/>
  <c r="T21" i="10"/>
  <c r="S21" i="10"/>
  <c r="R21" i="10"/>
  <c r="Q21" i="10"/>
  <c r="J21" i="10"/>
  <c r="I21" i="10"/>
  <c r="H21" i="10"/>
  <c r="G21" i="10"/>
  <c r="F21" i="10"/>
  <c r="V20" i="10"/>
  <c r="U20" i="10"/>
  <c r="T20" i="10"/>
  <c r="S20" i="10"/>
  <c r="R20" i="10"/>
  <c r="Q20" i="10"/>
  <c r="J20" i="10"/>
  <c r="I20" i="10"/>
  <c r="H20" i="10"/>
  <c r="G20" i="10"/>
  <c r="F20" i="10"/>
  <c r="AB19" i="10"/>
  <c r="V19" i="10" s="1"/>
  <c r="AA19" i="10"/>
  <c r="U19" i="10" s="1"/>
  <c r="Z19" i="10"/>
  <c r="T19" i="10" s="1"/>
  <c r="Y19" i="10"/>
  <c r="S19" i="10" s="1"/>
  <c r="R19" i="10"/>
  <c r="Q19" i="10"/>
  <c r="V18" i="10"/>
  <c r="U18" i="10"/>
  <c r="T18" i="10"/>
  <c r="S18" i="10"/>
  <c r="R18" i="10"/>
  <c r="Q18" i="10"/>
  <c r="Z17" i="10"/>
  <c r="T17" i="10" s="1"/>
  <c r="Y17" i="10"/>
  <c r="S17" i="10" s="1"/>
  <c r="V17" i="10"/>
  <c r="U17" i="10"/>
  <c r="R17" i="10"/>
  <c r="Q17" i="10"/>
  <c r="AB16" i="10"/>
  <c r="V16" i="10" s="1"/>
  <c r="AA16" i="10"/>
  <c r="U16" i="10" s="1"/>
  <c r="Z16" i="10"/>
  <c r="T16" i="10" s="1"/>
  <c r="Y16" i="10"/>
  <c r="S16" i="10"/>
  <c r="R16" i="10"/>
  <c r="Q16" i="10"/>
  <c r="AB15" i="10"/>
  <c r="AA15" i="10"/>
  <c r="U15" i="10" s="1"/>
  <c r="Z15" i="10"/>
  <c r="T15" i="10" s="1"/>
  <c r="Y15" i="10"/>
  <c r="S15" i="10" s="1"/>
  <c r="R15" i="10"/>
  <c r="Q15" i="10"/>
  <c r="J15" i="10"/>
  <c r="I15" i="10"/>
  <c r="H15" i="10"/>
  <c r="G15" i="10"/>
  <c r="F15" i="10"/>
  <c r="AB14" i="10"/>
  <c r="V14" i="10" s="1"/>
  <c r="AA14" i="10"/>
  <c r="U14" i="10" s="1"/>
  <c r="Z14" i="10"/>
  <c r="T14" i="10" s="1"/>
  <c r="Y14" i="10"/>
  <c r="S14" i="10"/>
  <c r="X14" i="10"/>
  <c r="R14" i="10" s="1"/>
  <c r="W14" i="10"/>
  <c r="Q14" i="10" s="1"/>
  <c r="AB13" i="10"/>
  <c r="V13" i="10" s="1"/>
  <c r="AA13" i="10"/>
  <c r="U13" i="10" s="1"/>
  <c r="Z13" i="10"/>
  <c r="T13" i="10" s="1"/>
  <c r="Y13" i="10"/>
  <c r="X13" i="10"/>
  <c r="R13" i="10" s="1"/>
  <c r="W13" i="10"/>
  <c r="Q13" i="10" s="1"/>
  <c r="AB12" i="10"/>
  <c r="AA12" i="10"/>
  <c r="U12" i="10" s="1"/>
  <c r="Z12" i="10"/>
  <c r="T12" i="10" s="1"/>
  <c r="Y12" i="10"/>
  <c r="S12" i="10" s="1"/>
  <c r="X12" i="10"/>
  <c r="R12" i="10" s="1"/>
  <c r="W12" i="10"/>
  <c r="Q12" i="10" s="1"/>
  <c r="AB11" i="10"/>
  <c r="V11" i="10" s="1"/>
  <c r="AA11" i="10"/>
  <c r="U11" i="10" s="1"/>
  <c r="Z11" i="10"/>
  <c r="T11" i="10" s="1"/>
  <c r="Y11" i="10"/>
  <c r="S11" i="10" s="1"/>
  <c r="X11" i="10"/>
  <c r="R11" i="10" s="1"/>
  <c r="W11" i="10"/>
  <c r="AB10" i="10"/>
  <c r="V10" i="10" s="1"/>
  <c r="AA10" i="10"/>
  <c r="U10" i="10" s="1"/>
  <c r="Z10" i="10"/>
  <c r="T10" i="10" s="1"/>
  <c r="Y10" i="10"/>
  <c r="S10" i="10" s="1"/>
  <c r="X10" i="10"/>
  <c r="R10" i="10"/>
  <c r="W10" i="10"/>
  <c r="Q10" i="10" s="1"/>
  <c r="J10" i="10"/>
  <c r="I10" i="10"/>
  <c r="H10" i="10"/>
  <c r="G10" i="10"/>
  <c r="F10" i="10"/>
  <c r="N9" i="10"/>
  <c r="M9" i="10"/>
  <c r="L9" i="10"/>
  <c r="K9" i="10"/>
  <c r="U230" i="10"/>
  <c r="M107" i="10"/>
  <c r="H107" i="10"/>
  <c r="L49" i="10"/>
  <c r="G49" i="10" s="1"/>
  <c r="H98" i="10"/>
  <c r="M157" i="10"/>
  <c r="H157" i="10" s="1"/>
  <c r="Z235" i="10"/>
  <c r="AC57" i="10"/>
  <c r="AA68" i="10"/>
  <c r="J149" i="10"/>
  <c r="J131" i="10"/>
  <c r="J205" i="10"/>
  <c r="G131" i="10"/>
  <c r="J160" i="10"/>
  <c r="AC68" i="10"/>
  <c r="G205" i="10"/>
  <c r="J219" i="10"/>
  <c r="J153" i="10"/>
  <c r="J159" i="10"/>
  <c r="J101" i="10"/>
  <c r="J208" i="10"/>
  <c r="G101" i="10"/>
  <c r="G102" i="10"/>
  <c r="I99" i="10"/>
  <c r="AD24" i="10"/>
  <c r="J178" i="10"/>
  <c r="J148" i="10"/>
  <c r="J127" i="10"/>
  <c r="G221" i="10"/>
  <c r="I95" i="10"/>
  <c r="J97" i="10"/>
  <c r="J188" i="10"/>
  <c r="J216" i="10"/>
  <c r="J105" i="10"/>
  <c r="G144" i="10"/>
  <c r="G150" i="10"/>
  <c r="G225" i="10"/>
  <c r="S235" i="10"/>
  <c r="G146" i="10"/>
  <c r="G149" i="10"/>
  <c r="J55" i="10"/>
  <c r="G143" i="10"/>
  <c r="G211" i="10"/>
  <c r="G224" i="10"/>
  <c r="G142" i="10"/>
  <c r="G178" i="10"/>
  <c r="J213" i="10"/>
  <c r="J223" i="10"/>
  <c r="H105" i="10"/>
  <c r="G190" i="10"/>
  <c r="G116" i="10"/>
  <c r="J165" i="10"/>
  <c r="G217" i="10"/>
  <c r="J104" i="10"/>
  <c r="G188" i="10"/>
  <c r="J27" i="10"/>
  <c r="G184" i="10"/>
  <c r="R45" i="10"/>
  <c r="L45" i="10"/>
  <c r="K44" i="10"/>
  <c r="F44" i="10" s="1"/>
  <c r="Q44" i="10"/>
  <c r="G170" i="10"/>
  <c r="J173" i="10"/>
  <c r="G173" i="10"/>
  <c r="V12" i="10"/>
  <c r="L80" i="10"/>
  <c r="G80" i="10" s="1"/>
  <c r="X68" i="10"/>
  <c r="G182" i="10"/>
  <c r="S44" i="10"/>
  <c r="J172" i="10"/>
  <c r="Q166" i="10"/>
  <c r="G183" i="10"/>
  <c r="J187" i="10"/>
  <c r="S227" i="10"/>
  <c r="M227" i="10"/>
  <c r="J227" i="10" s="1"/>
  <c r="G185" i="10"/>
  <c r="Y60" i="10"/>
  <c r="J171" i="10"/>
  <c r="G171" i="10"/>
  <c r="M39" i="10"/>
  <c r="H39" i="10" s="1"/>
  <c r="J48" i="10"/>
  <c r="L24" i="10"/>
  <c r="G24" i="10" s="1"/>
  <c r="BD500" i="11"/>
  <c r="W500" i="11" s="1"/>
  <c r="BC500" i="11"/>
  <c r="V500" i="11" s="1"/>
  <c r="AQ490" i="11"/>
  <c r="J490" i="11" s="1"/>
  <c r="BA466" i="11"/>
  <c r="T466" i="11" s="1"/>
  <c r="BA460" i="11"/>
  <c r="BA459" i="11"/>
  <c r="T459" i="11" s="1"/>
  <c r="BB419" i="11"/>
  <c r="AR419" i="11" s="1"/>
  <c r="BA419" i="11"/>
  <c r="AQ419" i="11" s="1"/>
  <c r="J419" i="11" s="1"/>
  <c r="BA418" i="11"/>
  <c r="T418" i="11" s="1"/>
  <c r="BD141" i="11"/>
  <c r="W141" i="11" s="1"/>
  <c r="BD140" i="11"/>
  <c r="W140" i="11" s="1"/>
  <c r="BD133" i="11"/>
  <c r="W133" i="11" s="1"/>
  <c r="BD130" i="11"/>
  <c r="W130" i="11" s="1"/>
  <c r="BD129" i="11"/>
  <c r="W129" i="11" s="1"/>
  <c r="BB92" i="11"/>
  <c r="BB91" i="11"/>
  <c r="U91" i="11" s="1"/>
  <c r="BB83" i="11"/>
  <c r="BB81" i="11"/>
  <c r="BB80" i="11" s="1"/>
  <c r="C24" i="17" s="1"/>
  <c r="C24" i="22" s="1"/>
  <c r="BB79" i="11"/>
  <c r="BB78" i="11" s="1"/>
  <c r="C26" i="17" s="1"/>
  <c r="C26" i="22" s="1"/>
  <c r="BB39" i="11"/>
  <c r="BB38" i="11" s="1"/>
  <c r="C16" i="17" s="1"/>
  <c r="C16" i="22" s="1"/>
  <c r="BA39" i="11"/>
  <c r="BA38" i="11" s="1"/>
  <c r="BD37" i="11"/>
  <c r="W37" i="11" s="1"/>
  <c r="BA37" i="11"/>
  <c r="BA30" i="11" s="1"/>
  <c r="BH20" i="11"/>
  <c r="AA20" i="11" s="1"/>
  <c r="BC20" i="11"/>
  <c r="V20" i="11" s="1"/>
  <c r="BH17" i="11"/>
  <c r="AA17" i="11" s="1"/>
  <c r="BC17" i="11"/>
  <c r="V17" i="11" s="1"/>
  <c r="BH16" i="11"/>
  <c r="AA16" i="11" s="1"/>
  <c r="BC16" i="11"/>
  <c r="V16" i="11" s="1"/>
  <c r="BA15" i="11"/>
  <c r="T15" i="11" s="1"/>
  <c r="BA14" i="11"/>
  <c r="T14" i="11" s="1"/>
  <c r="BA13" i="11"/>
  <c r="T13" i="11" s="1"/>
  <c r="BA12" i="11"/>
  <c r="BA11" i="11"/>
  <c r="T11" i="11" s="1"/>
  <c r="V49" i="11"/>
  <c r="BW326" i="11"/>
  <c r="BW311" i="11"/>
  <c r="BC47" i="11"/>
  <c r="Z385" i="11"/>
  <c r="Z158" i="11"/>
  <c r="BW57" i="11"/>
  <c r="BW56" i="11" s="1"/>
  <c r="H18" i="22" s="1"/>
  <c r="BW268" i="11"/>
  <c r="BW96" i="11"/>
  <c r="BW95" i="11" s="1"/>
  <c r="AW467" i="11"/>
  <c r="P467" i="11" s="1"/>
  <c r="BW51" i="11"/>
  <c r="BW50" i="11" s="1"/>
  <c r="H22" i="22" s="1"/>
  <c r="BW285" i="11"/>
  <c r="BV281" i="11"/>
  <c r="I36" i="22" s="1"/>
  <c r="BF108" i="11"/>
  <c r="BE108" i="11"/>
  <c r="AA371" i="11"/>
  <c r="AW49" i="11"/>
  <c r="P49" i="11" s="1"/>
  <c r="BK390" i="11"/>
  <c r="AS470" i="11"/>
  <c r="L470" i="11" s="1"/>
  <c r="V470" i="11"/>
  <c r="Z206" i="11"/>
  <c r="BK281" i="11"/>
  <c r="BH47" i="11"/>
  <c r="Z153" i="11"/>
  <c r="AA340" i="11"/>
  <c r="AU382" i="11"/>
  <c r="N382" i="11" s="1"/>
  <c r="S89" i="11"/>
  <c r="S88" i="11" s="1"/>
  <c r="AY88" i="11"/>
  <c r="AP137" i="11"/>
  <c r="BW62" i="11"/>
  <c r="BV59" i="11"/>
  <c r="AA221" i="11"/>
  <c r="AP153" i="11"/>
  <c r="AP132" i="11"/>
  <c r="J13" i="22" l="1"/>
  <c r="H13" i="17"/>
  <c r="I13" i="22"/>
  <c r="K13" i="17"/>
  <c r="K13" i="22" s="1"/>
  <c r="I11" i="22"/>
  <c r="K11" i="17"/>
  <c r="K11" i="22" s="1"/>
  <c r="J11" i="17"/>
  <c r="J11" i="22" s="1"/>
  <c r="H11" i="17"/>
  <c r="H11" i="22" s="1"/>
  <c r="H28" i="17"/>
  <c r="I28" i="22"/>
  <c r="K28" i="17"/>
  <c r="K28" i="22" s="1"/>
  <c r="H28" i="22"/>
  <c r="J28" i="17"/>
  <c r="J28" i="22" s="1"/>
  <c r="AS224" i="11"/>
  <c r="L224" i="11" s="1"/>
  <c r="V57" i="11"/>
  <c r="V56" i="11" s="1"/>
  <c r="AG10" i="11"/>
  <c r="AG9" i="11" s="1"/>
  <c r="AG7" i="11" s="1"/>
  <c r="AB175" i="11"/>
  <c r="Q175" i="11"/>
  <c r="AB172" i="11"/>
  <c r="Q172" i="11"/>
  <c r="BI281" i="11"/>
  <c r="AB173" i="11"/>
  <c r="Q173" i="11"/>
  <c r="AB468" i="11"/>
  <c r="AB174" i="11"/>
  <c r="Q174" i="11"/>
  <c r="R278" i="11"/>
  <c r="R209" i="11"/>
  <c r="R157" i="11"/>
  <c r="R448" i="11"/>
  <c r="R429" i="11"/>
  <c r="R416" i="11"/>
  <c r="R411" i="11"/>
  <c r="R67" i="11"/>
  <c r="R55" i="11"/>
  <c r="R48" i="11"/>
  <c r="R41" i="11"/>
  <c r="R385" i="11"/>
  <c r="R377" i="11"/>
  <c r="R375" i="11"/>
  <c r="R323" i="11"/>
  <c r="R317" i="11"/>
  <c r="R297" i="11"/>
  <c r="R295" i="11"/>
  <c r="R290" i="11"/>
  <c r="R273" i="11"/>
  <c r="R213" i="11"/>
  <c r="R211" i="11"/>
  <c r="R198" i="11"/>
  <c r="R196" i="11"/>
  <c r="R194" i="11"/>
  <c r="R189" i="11"/>
  <c r="R176" i="11"/>
  <c r="R171" i="11"/>
  <c r="R143" i="11"/>
  <c r="R125" i="11"/>
  <c r="R481" i="11"/>
  <c r="R479" i="11"/>
  <c r="R437" i="11"/>
  <c r="R424" i="11"/>
  <c r="R409" i="11"/>
  <c r="R407" i="11"/>
  <c r="R398" i="11"/>
  <c r="R202" i="11"/>
  <c r="R93" i="11"/>
  <c r="R452" i="11"/>
  <c r="R230" i="11"/>
  <c r="R76" i="11"/>
  <c r="R63" i="11"/>
  <c r="R388" i="11"/>
  <c r="R379" i="11"/>
  <c r="R359" i="11"/>
  <c r="R331" i="11"/>
  <c r="R326" i="11"/>
  <c r="R300" i="11"/>
  <c r="R292" i="11"/>
  <c r="R283" i="11"/>
  <c r="R276" i="11"/>
  <c r="R271" i="11"/>
  <c r="R265" i="11"/>
  <c r="R218" i="11"/>
  <c r="R192" i="11"/>
  <c r="R173" i="11"/>
  <c r="R166" i="11"/>
  <c r="R155" i="11"/>
  <c r="R148" i="11"/>
  <c r="R141" i="11"/>
  <c r="R486" i="11"/>
  <c r="R477" i="11"/>
  <c r="R472" i="11"/>
  <c r="R462" i="11"/>
  <c r="R440" i="11"/>
  <c r="R435" i="11"/>
  <c r="R433" i="11"/>
  <c r="R427" i="11"/>
  <c r="R419" i="11"/>
  <c r="R414" i="11"/>
  <c r="R405" i="11"/>
  <c r="R401" i="11"/>
  <c r="R222" i="11"/>
  <c r="R225" i="11"/>
  <c r="R227" i="11"/>
  <c r="R361" i="11"/>
  <c r="R333" i="11"/>
  <c r="R328" i="11"/>
  <c r="R320" i="11"/>
  <c r="R302" i="11"/>
  <c r="R267" i="11"/>
  <c r="R216" i="11"/>
  <c r="R186" i="11"/>
  <c r="R179" i="11"/>
  <c r="R168" i="11"/>
  <c r="R159" i="11"/>
  <c r="R134" i="11"/>
  <c r="R490" i="11"/>
  <c r="R442" i="11"/>
  <c r="R348" i="11"/>
  <c r="R368" i="11"/>
  <c r="R338" i="11"/>
  <c r="R329" i="11"/>
  <c r="R321" i="11"/>
  <c r="R310" i="11"/>
  <c r="R303" i="11"/>
  <c r="R286" i="11"/>
  <c r="R200" i="11"/>
  <c r="R187" i="11"/>
  <c r="R162" i="11"/>
  <c r="R146" i="11"/>
  <c r="R422" i="11"/>
  <c r="R224" i="11"/>
  <c r="R469" i="11"/>
  <c r="R97" i="11"/>
  <c r="Q95" i="11"/>
  <c r="R70" i="11"/>
  <c r="R68" i="11"/>
  <c r="R60" i="11"/>
  <c r="R381" i="11"/>
  <c r="R372" i="11"/>
  <c r="R362" i="11"/>
  <c r="R353" i="11"/>
  <c r="R345" i="11"/>
  <c r="R334" i="11"/>
  <c r="R324" i="11"/>
  <c r="R298" i="11"/>
  <c r="R294" i="11"/>
  <c r="R291" i="11"/>
  <c r="R280" i="11"/>
  <c r="R274" i="11"/>
  <c r="R220" i="11"/>
  <c r="R208" i="11"/>
  <c r="R205" i="11"/>
  <c r="R190" i="11"/>
  <c r="R185" i="11"/>
  <c r="R183" i="11"/>
  <c r="R180" i="11"/>
  <c r="R175" i="11"/>
  <c r="R144" i="11"/>
  <c r="R135" i="11"/>
  <c r="R130" i="11"/>
  <c r="R122" i="11"/>
  <c r="R475" i="11"/>
  <c r="R470" i="11"/>
  <c r="R447" i="11"/>
  <c r="R445" i="11"/>
  <c r="R443" i="11"/>
  <c r="R438" i="11"/>
  <c r="R430" i="11"/>
  <c r="R425" i="11"/>
  <c r="R399" i="11"/>
  <c r="R391" i="11"/>
  <c r="R75" i="11"/>
  <c r="R221" i="11"/>
  <c r="R451" i="11"/>
  <c r="R488" i="11"/>
  <c r="R69" i="11"/>
  <c r="R373" i="11"/>
  <c r="R363" i="11"/>
  <c r="R304" i="11"/>
  <c r="R285" i="11"/>
  <c r="R184" i="11"/>
  <c r="R129" i="11"/>
  <c r="R464" i="11"/>
  <c r="R459" i="11"/>
  <c r="R421" i="11"/>
  <c r="R395" i="11"/>
  <c r="R226" i="11"/>
  <c r="R39" i="11"/>
  <c r="R370" i="11"/>
  <c r="R364" i="11"/>
  <c r="R355" i="11"/>
  <c r="R315" i="11"/>
  <c r="R288" i="11"/>
  <c r="R164" i="11"/>
  <c r="R160" i="11"/>
  <c r="R467" i="11"/>
  <c r="R417" i="11"/>
  <c r="R49" i="11"/>
  <c r="R387" i="11"/>
  <c r="R378" i="11"/>
  <c r="R376" i="11"/>
  <c r="R374" i="11"/>
  <c r="R360" i="11"/>
  <c r="R332" i="11"/>
  <c r="R327" i="11"/>
  <c r="R319" i="11"/>
  <c r="R301" i="11"/>
  <c r="R284" i="11"/>
  <c r="R277" i="11"/>
  <c r="R272" i="11"/>
  <c r="R266" i="11"/>
  <c r="R217" i="11"/>
  <c r="R212" i="11"/>
  <c r="R210" i="11"/>
  <c r="R197" i="11"/>
  <c r="R195" i="11"/>
  <c r="R193" i="11"/>
  <c r="R172" i="11"/>
  <c r="R167" i="11"/>
  <c r="R156" i="11"/>
  <c r="R149" i="11"/>
  <c r="R487" i="11"/>
  <c r="R482" i="11"/>
  <c r="R480" i="11"/>
  <c r="R478" i="11"/>
  <c r="R473" i="11"/>
  <c r="R463" i="11"/>
  <c r="R458" i="11"/>
  <c r="R441" i="11"/>
  <c r="R436" i="11"/>
  <c r="R428" i="11"/>
  <c r="R420" i="11"/>
  <c r="R415" i="11"/>
  <c r="R410" i="11"/>
  <c r="R408" i="11"/>
  <c r="R406" i="11"/>
  <c r="R402" i="11"/>
  <c r="R394" i="11"/>
  <c r="R449" i="11"/>
  <c r="R489" i="11"/>
  <c r="R229" i="11"/>
  <c r="R453" i="11"/>
  <c r="R352" i="11"/>
  <c r="R182" i="11"/>
  <c r="R138" i="11"/>
  <c r="R474" i="11"/>
  <c r="R444" i="11"/>
  <c r="R228" i="11"/>
  <c r="R312" i="11"/>
  <c r="R357" i="11"/>
  <c r="R305" i="11"/>
  <c r="R268" i="11"/>
  <c r="R203" i="11"/>
  <c r="R151" i="11"/>
  <c r="R223" i="11"/>
  <c r="R73" i="11"/>
  <c r="R64" i="11"/>
  <c r="R53" i="11"/>
  <c r="R42" i="11"/>
  <c r="R40" i="11"/>
  <c r="R322" i="11"/>
  <c r="R318" i="11"/>
  <c r="R296" i="11"/>
  <c r="R289" i="11"/>
  <c r="R214" i="11"/>
  <c r="R188" i="11"/>
  <c r="R177" i="11"/>
  <c r="R170" i="11"/>
  <c r="R165" i="11"/>
  <c r="R152" i="11"/>
  <c r="R142" i="11"/>
  <c r="R126" i="11"/>
  <c r="R466" i="11"/>
  <c r="R434" i="11"/>
  <c r="R423" i="11"/>
  <c r="R418" i="11"/>
  <c r="R397" i="11"/>
  <c r="R94" i="11"/>
  <c r="R483" i="11"/>
  <c r="R206" i="11"/>
  <c r="R150" i="11"/>
  <c r="R468" i="11"/>
  <c r="R446" i="11"/>
  <c r="R403" i="11"/>
  <c r="R72" i="11"/>
  <c r="R31" i="11"/>
  <c r="R366" i="11"/>
  <c r="R350" i="11"/>
  <c r="R336" i="11"/>
  <c r="R307" i="11"/>
  <c r="R215" i="11"/>
  <c r="R178" i="11"/>
  <c r="R169" i="11"/>
  <c r="R139" i="11"/>
  <c r="R112" i="11"/>
  <c r="R465" i="11"/>
  <c r="R460" i="11"/>
  <c r="R412" i="11"/>
  <c r="R396" i="11"/>
  <c r="R450" i="11"/>
  <c r="R71" i="11"/>
  <c r="R62" i="11"/>
  <c r="R37" i="11"/>
  <c r="R389" i="11"/>
  <c r="R380" i="11"/>
  <c r="R369" i="11"/>
  <c r="R367" i="11"/>
  <c r="R365" i="11"/>
  <c r="R358" i="11"/>
  <c r="R356" i="11"/>
  <c r="R354" i="11"/>
  <c r="R347" i="11"/>
  <c r="Q346" i="11"/>
  <c r="R339" i="11"/>
  <c r="R337" i="11"/>
  <c r="R335" i="11"/>
  <c r="R330" i="11"/>
  <c r="R325" i="11"/>
  <c r="R311" i="11"/>
  <c r="R309" i="11"/>
  <c r="R306" i="11"/>
  <c r="R299" i="11"/>
  <c r="R293" i="11"/>
  <c r="R287" i="11"/>
  <c r="R282" i="11"/>
  <c r="R275" i="11"/>
  <c r="R269" i="11"/>
  <c r="R264" i="11"/>
  <c r="R219" i="11"/>
  <c r="R204" i="11"/>
  <c r="R201" i="11"/>
  <c r="R191" i="11"/>
  <c r="R174" i="11"/>
  <c r="R163" i="11"/>
  <c r="R161" i="11"/>
  <c r="R154" i="11"/>
  <c r="R147" i="11"/>
  <c r="R145" i="11"/>
  <c r="R140" i="11"/>
  <c r="R136" i="11"/>
  <c r="R131" i="11"/>
  <c r="R113" i="11"/>
  <c r="R476" i="11"/>
  <c r="R471" i="11"/>
  <c r="R461" i="11"/>
  <c r="R439" i="11"/>
  <c r="R432" i="11"/>
  <c r="R426" i="11"/>
  <c r="R413" i="11"/>
  <c r="R400" i="11"/>
  <c r="R382" i="11"/>
  <c r="R340" i="11"/>
  <c r="K94" i="11"/>
  <c r="K90" i="11" s="1"/>
  <c r="AP94" i="11"/>
  <c r="AH17" i="11"/>
  <c r="AH13" i="11"/>
  <c r="AH16" i="11"/>
  <c r="AH12" i="11"/>
  <c r="AH20" i="11"/>
  <c r="AH15" i="11"/>
  <c r="AH11" i="11"/>
  <c r="AH89" i="11"/>
  <c r="AH88" i="11" s="1"/>
  <c r="AH77" i="11" s="1"/>
  <c r="AF88" i="11"/>
  <c r="AF77" i="11" s="1"/>
  <c r="Z161" i="11"/>
  <c r="Z177" i="11"/>
  <c r="Z147" i="11"/>
  <c r="Z374" i="11"/>
  <c r="AU338" i="11"/>
  <c r="N338" i="11" s="1"/>
  <c r="Z359" i="11"/>
  <c r="AU201" i="11"/>
  <c r="N201" i="11" s="1"/>
  <c r="AD108" i="11"/>
  <c r="AD107" i="11" s="1"/>
  <c r="G22" i="22"/>
  <c r="BK497" i="11"/>
  <c r="BK491" i="11" s="1"/>
  <c r="AD500" i="11"/>
  <c r="AD497" i="11" s="1"/>
  <c r="AD491" i="11" s="1"/>
  <c r="AD10" i="11"/>
  <c r="AD9" i="11" s="1"/>
  <c r="BO497" i="11"/>
  <c r="BO491" i="11" s="1"/>
  <c r="AH500" i="11"/>
  <c r="AH497" i="11" s="1"/>
  <c r="AH491" i="11" s="1"/>
  <c r="BJ497" i="11"/>
  <c r="BJ491" i="11" s="1"/>
  <c r="AC500" i="11"/>
  <c r="AC497" i="11" s="1"/>
  <c r="R57" i="11"/>
  <c r="R56" i="11" s="1"/>
  <c r="R46" i="11"/>
  <c r="R45" i="11" s="1"/>
  <c r="P57" i="11"/>
  <c r="P56" i="11" s="1"/>
  <c r="AY86" i="11"/>
  <c r="R87" i="11"/>
  <c r="R86" i="11" s="1"/>
  <c r="P93" i="11"/>
  <c r="P90" i="11" s="1"/>
  <c r="P77" i="11" s="1"/>
  <c r="AY50" i="11"/>
  <c r="J22" i="22" s="1"/>
  <c r="R51" i="11"/>
  <c r="R50" i="11" s="1"/>
  <c r="AY43" i="11"/>
  <c r="J20" i="22" s="1"/>
  <c r="R44" i="11"/>
  <c r="R43" i="11" s="1"/>
  <c r="P316" i="11"/>
  <c r="P47" i="11"/>
  <c r="P263" i="11"/>
  <c r="P30" i="11"/>
  <c r="AW43" i="11"/>
  <c r="P43" i="11"/>
  <c r="P52" i="11"/>
  <c r="AW45" i="11"/>
  <c r="P45" i="11"/>
  <c r="AW357" i="11"/>
  <c r="P357" i="11" s="1"/>
  <c r="AV357" i="11"/>
  <c r="O357" i="11" s="1"/>
  <c r="AA365" i="11"/>
  <c r="AV365" i="11"/>
  <c r="O365" i="11" s="1"/>
  <c r="AW378" i="11"/>
  <c r="P378" i="11" s="1"/>
  <c r="AV378" i="11"/>
  <c r="O378" i="11" s="1"/>
  <c r="AW51" i="11"/>
  <c r="AV51" i="11"/>
  <c r="AW381" i="11"/>
  <c r="P381" i="11" s="1"/>
  <c r="AV381" i="11"/>
  <c r="O381" i="11" s="1"/>
  <c r="AA177" i="11"/>
  <c r="AV177" i="11"/>
  <c r="O177" i="11" s="1"/>
  <c r="AW373" i="11"/>
  <c r="P373" i="11" s="1"/>
  <c r="AV373" i="11"/>
  <c r="O373" i="11" s="1"/>
  <c r="AW377" i="11"/>
  <c r="P377" i="11" s="1"/>
  <c r="AV377" i="11"/>
  <c r="O377" i="11" s="1"/>
  <c r="AA179" i="11"/>
  <c r="AV179" i="11"/>
  <c r="O179" i="11" s="1"/>
  <c r="AA42" i="11"/>
  <c r="AA38" i="11" s="1"/>
  <c r="AV42" i="11"/>
  <c r="AA306" i="11"/>
  <c r="AV306" i="11"/>
  <c r="O306" i="11" s="1"/>
  <c r="AA382" i="11"/>
  <c r="AV382" i="11"/>
  <c r="O382" i="11" s="1"/>
  <c r="AA174" i="11"/>
  <c r="AV174" i="11"/>
  <c r="O174" i="11" s="1"/>
  <c r="AW178" i="11"/>
  <c r="P178" i="11" s="1"/>
  <c r="AV178" i="11"/>
  <c r="O178" i="11" s="1"/>
  <c r="AA380" i="11"/>
  <c r="AV380" i="11"/>
  <c r="O380" i="11" s="1"/>
  <c r="AA389" i="11"/>
  <c r="AV389" i="11"/>
  <c r="O389" i="11" s="1"/>
  <c r="AA388" i="11"/>
  <c r="AV388" i="11"/>
  <c r="O388" i="11" s="1"/>
  <c r="AW468" i="11"/>
  <c r="P468" i="11" s="1"/>
  <c r="AV468" i="11"/>
  <c r="O468" i="11" s="1"/>
  <c r="AA374" i="11"/>
  <c r="AV374" i="11"/>
  <c r="O374" i="11" s="1"/>
  <c r="AW353" i="11"/>
  <c r="P353" i="11" s="1"/>
  <c r="AV353" i="11"/>
  <c r="O353" i="11" s="1"/>
  <c r="AA358" i="11"/>
  <c r="AV358" i="11"/>
  <c r="O358" i="11" s="1"/>
  <c r="AA172" i="11"/>
  <c r="AV172" i="11"/>
  <c r="O172" i="11" s="1"/>
  <c r="AW176" i="11"/>
  <c r="P176" i="11" s="1"/>
  <c r="AV176" i="11"/>
  <c r="O176" i="11" s="1"/>
  <c r="AA368" i="11"/>
  <c r="AV368" i="11"/>
  <c r="O368" i="11" s="1"/>
  <c r="AA355" i="11"/>
  <c r="AV355" i="11"/>
  <c r="O355" i="11" s="1"/>
  <c r="AW356" i="11"/>
  <c r="P356" i="11" s="1"/>
  <c r="AV356" i="11"/>
  <c r="O356" i="11" s="1"/>
  <c r="AW219" i="11"/>
  <c r="P219" i="11" s="1"/>
  <c r="AV219" i="11"/>
  <c r="O219" i="11" s="1"/>
  <c r="BH59" i="11"/>
  <c r="AV60" i="11"/>
  <c r="AW375" i="11"/>
  <c r="P375" i="11" s="1"/>
  <c r="AV375" i="11"/>
  <c r="O375" i="11" s="1"/>
  <c r="AA362" i="11"/>
  <c r="AV362" i="11"/>
  <c r="O362" i="11" s="1"/>
  <c r="AW175" i="11"/>
  <c r="P175" i="11" s="1"/>
  <c r="AV175" i="11"/>
  <c r="O175" i="11" s="1"/>
  <c r="AW366" i="11"/>
  <c r="P366" i="11" s="1"/>
  <c r="AV366" i="11"/>
  <c r="O366" i="11" s="1"/>
  <c r="AW369" i="11"/>
  <c r="P369" i="11" s="1"/>
  <c r="AV369" i="11"/>
  <c r="O369" i="11" s="1"/>
  <c r="AA372" i="11"/>
  <c r="AV372" i="11"/>
  <c r="O372" i="11" s="1"/>
  <c r="AW215" i="11"/>
  <c r="P215" i="11" s="1"/>
  <c r="AV215" i="11"/>
  <c r="O215" i="11" s="1"/>
  <c r="AW173" i="11"/>
  <c r="P173" i="11" s="1"/>
  <c r="AV173" i="11"/>
  <c r="O173" i="11" s="1"/>
  <c r="AW367" i="11"/>
  <c r="P367" i="11" s="1"/>
  <c r="AV367" i="11"/>
  <c r="O367" i="11" s="1"/>
  <c r="AA376" i="11"/>
  <c r="AV376" i="11"/>
  <c r="O376" i="11" s="1"/>
  <c r="AW379" i="11"/>
  <c r="P379" i="11" s="1"/>
  <c r="AV379" i="11"/>
  <c r="O379" i="11" s="1"/>
  <c r="AW304" i="11"/>
  <c r="P304" i="11" s="1"/>
  <c r="AV304" i="11"/>
  <c r="AW216" i="11"/>
  <c r="P216" i="11" s="1"/>
  <c r="AV216" i="11"/>
  <c r="O216" i="11" s="1"/>
  <c r="AW475" i="11"/>
  <c r="P475" i="11" s="1"/>
  <c r="AV475" i="11"/>
  <c r="O475" i="11" s="1"/>
  <c r="AS445" i="11"/>
  <c r="L445" i="11" s="1"/>
  <c r="Z160" i="11"/>
  <c r="AS309" i="11"/>
  <c r="L309" i="11" s="1"/>
  <c r="V206" i="11"/>
  <c r="BO10" i="11"/>
  <c r="BO9" i="11" s="1"/>
  <c r="AU122" i="11"/>
  <c r="N122" i="11" s="1"/>
  <c r="AN47" i="11"/>
  <c r="K497" i="11"/>
  <c r="K491" i="11" s="1"/>
  <c r="AU46" i="11"/>
  <c r="N46" i="11" s="1"/>
  <c r="N45" i="11" s="1"/>
  <c r="AU288" i="11"/>
  <c r="N288" i="11" s="1"/>
  <c r="M90" i="11"/>
  <c r="BG45" i="11"/>
  <c r="E21" i="17" s="1"/>
  <c r="E21" i="22" s="1"/>
  <c r="Z474" i="11"/>
  <c r="N497" i="11"/>
  <c r="N491" i="11" s="1"/>
  <c r="V226" i="11"/>
  <c r="T95" i="11"/>
  <c r="J90" i="11"/>
  <c r="J77" i="11" s="1"/>
  <c r="Z497" i="11"/>
  <c r="AU346" i="11"/>
  <c r="D34" i="17" s="1"/>
  <c r="D34" i="22" s="1"/>
  <c r="AU62" i="11"/>
  <c r="N62" i="11" s="1"/>
  <c r="Z62" i="11"/>
  <c r="AU69" i="11"/>
  <c r="N69" i="11" s="1"/>
  <c r="Z69" i="11"/>
  <c r="AU97" i="11"/>
  <c r="N97" i="11" s="1"/>
  <c r="BG95" i="11"/>
  <c r="E29" i="17" s="1"/>
  <c r="E29" i="22" s="1"/>
  <c r="Z97" i="11"/>
  <c r="Z95" i="11" s="1"/>
  <c r="AS97" i="11"/>
  <c r="AS95" i="11" s="1"/>
  <c r="BC95" i="11"/>
  <c r="AU73" i="11"/>
  <c r="N73" i="11" s="1"/>
  <c r="Z73" i="11"/>
  <c r="B26" i="17"/>
  <c r="B26" i="22" s="1"/>
  <c r="AU113" i="11"/>
  <c r="N113" i="11" s="1"/>
  <c r="Z113" i="11"/>
  <c r="N387" i="11"/>
  <c r="N352" i="11"/>
  <c r="AC59" i="11"/>
  <c r="N391" i="11"/>
  <c r="AN95" i="11"/>
  <c r="AP96" i="11"/>
  <c r="N96" i="11"/>
  <c r="U95" i="11"/>
  <c r="W95" i="11"/>
  <c r="Y96" i="11"/>
  <c r="Y95" i="11" s="1"/>
  <c r="BF95" i="11"/>
  <c r="AY95" i="11"/>
  <c r="J29" i="22" s="1"/>
  <c r="S97" i="11"/>
  <c r="S95" i="11" s="1"/>
  <c r="J47" i="11"/>
  <c r="N263" i="11"/>
  <c r="AP308" i="11"/>
  <c r="N308" i="11"/>
  <c r="BG78" i="11"/>
  <c r="E26" i="17" s="1"/>
  <c r="E26" i="22" s="1"/>
  <c r="Z79" i="11"/>
  <c r="Z78" i="11" s="1"/>
  <c r="Z90" i="11"/>
  <c r="Z310" i="11"/>
  <c r="J193" i="10"/>
  <c r="J138" i="10"/>
  <c r="J116" i="10"/>
  <c r="J128" i="10"/>
  <c r="J30" i="10"/>
  <c r="I74" i="10"/>
  <c r="J206" i="10"/>
  <c r="J42" i="10"/>
  <c r="S24" i="10"/>
  <c r="J103" i="10"/>
  <c r="N57" i="10"/>
  <c r="G126" i="10"/>
  <c r="J194" i="10"/>
  <c r="T23" i="10"/>
  <c r="J28" i="10"/>
  <c r="J44" i="10"/>
  <c r="J118" i="10"/>
  <c r="J124" i="10"/>
  <c r="J156" i="10"/>
  <c r="Y23" i="10"/>
  <c r="J221" i="10"/>
  <c r="R180" i="10"/>
  <c r="H227" i="10"/>
  <c r="J154" i="10"/>
  <c r="J43" i="10"/>
  <c r="J163" i="10"/>
  <c r="J146" i="10"/>
  <c r="J217" i="10"/>
  <c r="W9" i="10"/>
  <c r="V235" i="10"/>
  <c r="R235" i="10"/>
  <c r="V449" i="11"/>
  <c r="Z150" i="11"/>
  <c r="Z297" i="11"/>
  <c r="Z178" i="11"/>
  <c r="Z162" i="11"/>
  <c r="AT481" i="11"/>
  <c r="M481" i="11" s="1"/>
  <c r="Z134" i="11"/>
  <c r="Z331" i="11"/>
  <c r="K89" i="11"/>
  <c r="K88" i="11" s="1"/>
  <c r="AT363" i="11"/>
  <c r="M363" i="11" s="1"/>
  <c r="Z398" i="11"/>
  <c r="AS451" i="11"/>
  <c r="L451" i="11" s="1"/>
  <c r="AS458" i="11"/>
  <c r="L458" i="11" s="1"/>
  <c r="AT451" i="11"/>
  <c r="M451" i="11" s="1"/>
  <c r="AA385" i="11"/>
  <c r="AT340" i="11"/>
  <c r="M340" i="11" s="1"/>
  <c r="AT449" i="11"/>
  <c r="M449" i="11" s="1"/>
  <c r="V201" i="11"/>
  <c r="BG50" i="11"/>
  <c r="E22" i="17" s="1"/>
  <c r="E22" i="22" s="1"/>
  <c r="AU340" i="11"/>
  <c r="N340" i="11" s="1"/>
  <c r="Z369" i="11"/>
  <c r="AU51" i="11"/>
  <c r="N51" i="11" s="1"/>
  <c r="N50" i="11" s="1"/>
  <c r="AT345" i="11"/>
  <c r="M345" i="11" s="1"/>
  <c r="BV351" i="11"/>
  <c r="I37" i="22" s="1"/>
  <c r="AU285" i="11"/>
  <c r="N285" i="11" s="1"/>
  <c r="AT210" i="11"/>
  <c r="M210" i="11" s="1"/>
  <c r="V339" i="11"/>
  <c r="V382" i="11"/>
  <c r="V209" i="11"/>
  <c r="Z135" i="11"/>
  <c r="V221" i="11"/>
  <c r="Z301" i="11"/>
  <c r="AS210" i="11"/>
  <c r="L210" i="11" s="1"/>
  <c r="AS339" i="11"/>
  <c r="L339" i="11" s="1"/>
  <c r="Z268" i="11"/>
  <c r="Z263" i="11" s="1"/>
  <c r="AS345" i="11"/>
  <c r="L345" i="11" s="1"/>
  <c r="Z379" i="11"/>
  <c r="AP89" i="11"/>
  <c r="AP88" i="11" s="1"/>
  <c r="AT209" i="11"/>
  <c r="M209" i="11" s="1"/>
  <c r="AT382" i="11"/>
  <c r="M382" i="11" s="1"/>
  <c r="S57" i="11"/>
  <c r="S56" i="11" s="1"/>
  <c r="AW60" i="11"/>
  <c r="AS338" i="11"/>
  <c r="L338" i="11" s="1"/>
  <c r="V338" i="11"/>
  <c r="Z186" i="11"/>
  <c r="J157" i="10"/>
  <c r="AS483" i="11"/>
  <c r="L483" i="11" s="1"/>
  <c r="AS340" i="11"/>
  <c r="L340" i="11" s="1"/>
  <c r="BH80" i="11"/>
  <c r="S95" i="10"/>
  <c r="J155" i="10"/>
  <c r="J120" i="10"/>
  <c r="J197" i="10"/>
  <c r="J73" i="10"/>
  <c r="J212" i="10"/>
  <c r="J190" i="10"/>
  <c r="J38" i="10"/>
  <c r="J147" i="10"/>
  <c r="M218" i="10"/>
  <c r="J94" i="10"/>
  <c r="I23" i="10"/>
  <c r="Q68" i="10"/>
  <c r="G56" i="10"/>
  <c r="H230" i="10"/>
  <c r="J232" i="10"/>
  <c r="J233" i="10"/>
  <c r="S230" i="10"/>
  <c r="V68" i="10"/>
  <c r="G124" i="10"/>
  <c r="F235" i="10"/>
  <c r="T235" i="10"/>
  <c r="Q235" i="10"/>
  <c r="X9" i="10"/>
  <c r="AU354" i="11"/>
  <c r="N354" i="11" s="1"/>
  <c r="AS222" i="11"/>
  <c r="L222" i="11" s="1"/>
  <c r="AU43" i="11"/>
  <c r="D20" i="17" s="1"/>
  <c r="D20" i="22" s="1"/>
  <c r="BG82" i="11"/>
  <c r="E25" i="17" s="1"/>
  <c r="E25" i="22" s="1"/>
  <c r="V225" i="11"/>
  <c r="AT225" i="11"/>
  <c r="M225" i="11" s="1"/>
  <c r="V175" i="11"/>
  <c r="M158" i="10"/>
  <c r="J158" i="10" s="1"/>
  <c r="J181" i="10"/>
  <c r="AA57" i="10"/>
  <c r="J209" i="10"/>
  <c r="J200" i="10"/>
  <c r="AD23" i="10"/>
  <c r="J78" i="10"/>
  <c r="AC23" i="10"/>
  <c r="I9" i="10"/>
  <c r="G156" i="10"/>
  <c r="Z170" i="11"/>
  <c r="AU468" i="11"/>
  <c r="N468" i="11" s="1"/>
  <c r="AT287" i="11"/>
  <c r="M287" i="11" s="1"/>
  <c r="M111" i="10"/>
  <c r="H111" i="10" s="1"/>
  <c r="J141" i="10"/>
  <c r="J207" i="10"/>
  <c r="H235" i="10"/>
  <c r="J144" i="10"/>
  <c r="AT222" i="11"/>
  <c r="M222" i="11" s="1"/>
  <c r="AT483" i="11"/>
  <c r="M483" i="11" s="1"/>
  <c r="AS287" i="11"/>
  <c r="L287" i="11" s="1"/>
  <c r="J215" i="10"/>
  <c r="J145" i="10"/>
  <c r="Q57" i="10"/>
  <c r="J151" i="10"/>
  <c r="J114" i="10"/>
  <c r="U57" i="10"/>
  <c r="AS435" i="11"/>
  <c r="L435" i="11" s="1"/>
  <c r="K166" i="10"/>
  <c r="F166" i="10" s="1"/>
  <c r="J202" i="10"/>
  <c r="J53" i="10"/>
  <c r="J110" i="10"/>
  <c r="J183" i="10"/>
  <c r="AT47" i="11"/>
  <c r="AU47" i="11"/>
  <c r="D19" i="17" s="1"/>
  <c r="D19" i="22" s="1"/>
  <c r="AR30" i="11"/>
  <c r="B15" i="17" s="1"/>
  <c r="B15" i="22" s="1"/>
  <c r="I57" i="10"/>
  <c r="W23" i="10"/>
  <c r="W7" i="10" s="1"/>
  <c r="J189" i="10"/>
  <c r="J195" i="10"/>
  <c r="J123" i="10"/>
  <c r="J214" i="10"/>
  <c r="J113" i="10"/>
  <c r="J199" i="10"/>
  <c r="J229" i="10"/>
  <c r="J133" i="10"/>
  <c r="J135" i="10"/>
  <c r="J150" i="10"/>
  <c r="J67" i="10"/>
  <c r="S45" i="10"/>
  <c r="S23" i="10" s="1"/>
  <c r="Q11" i="10"/>
  <c r="Q9" i="10" s="1"/>
  <c r="T9" i="10"/>
  <c r="AB9" i="10"/>
  <c r="AB7" i="10" s="1"/>
  <c r="J9" i="10"/>
  <c r="Q36" i="10"/>
  <c r="Q23" i="10" s="1"/>
  <c r="J99" i="10"/>
  <c r="I144" i="10"/>
  <c r="AD68" i="10"/>
  <c r="K57" i="10"/>
  <c r="M36" i="10"/>
  <c r="H36" i="10" s="1"/>
  <c r="Z68" i="10"/>
  <c r="J196" i="10"/>
  <c r="G222" i="10"/>
  <c r="F57" i="10"/>
  <c r="AC7" i="10"/>
  <c r="J102" i="10"/>
  <c r="R57" i="10"/>
  <c r="J45" i="10"/>
  <c r="V57" i="10"/>
  <c r="R68" i="10"/>
  <c r="Y57" i="10"/>
  <c r="M57" i="10"/>
  <c r="F9" i="10"/>
  <c r="V23" i="10"/>
  <c r="J100" i="10"/>
  <c r="J174" i="10"/>
  <c r="J177" i="10"/>
  <c r="G52" i="10"/>
  <c r="H60" i="10"/>
  <c r="G174" i="10"/>
  <c r="J182" i="10"/>
  <c r="J170" i="10"/>
  <c r="J184" i="10"/>
  <c r="J119" i="10"/>
  <c r="J210" i="10"/>
  <c r="J198" i="10"/>
  <c r="G152" i="10"/>
  <c r="J77" i="10"/>
  <c r="J75" i="10"/>
  <c r="J108" i="10"/>
  <c r="J66" i="10"/>
  <c r="J57" i="10" s="1"/>
  <c r="J26" i="10"/>
  <c r="U23" i="10"/>
  <c r="T57" i="10"/>
  <c r="H57" i="10"/>
  <c r="U68" i="10"/>
  <c r="J186" i="10"/>
  <c r="R9" i="10"/>
  <c r="Y9" i="10"/>
  <c r="G9" i="10"/>
  <c r="H9" i="10"/>
  <c r="J122" i="10"/>
  <c r="J166" i="10"/>
  <c r="J180" i="10"/>
  <c r="J39" i="10"/>
  <c r="AB52" i="11"/>
  <c r="L10" i="11"/>
  <c r="L9" i="11" s="1"/>
  <c r="Y316" i="11"/>
  <c r="Y53" i="11"/>
  <c r="Y52" i="11" s="1"/>
  <c r="AT309" i="11"/>
  <c r="M309" i="11" s="1"/>
  <c r="AA47" i="11"/>
  <c r="AT69" i="11"/>
  <c r="M69" i="11" s="1"/>
  <c r="M59" i="11" s="1"/>
  <c r="AS311" i="11"/>
  <c r="L311" i="11" s="1"/>
  <c r="V389" i="11"/>
  <c r="AT445" i="11"/>
  <c r="M445" i="11" s="1"/>
  <c r="AT311" i="11"/>
  <c r="M311" i="11" s="1"/>
  <c r="AT389" i="11"/>
  <c r="M389" i="11" s="1"/>
  <c r="AW362" i="11"/>
  <c r="P362" i="11" s="1"/>
  <c r="Z400" i="11"/>
  <c r="Z175" i="11"/>
  <c r="AT179" i="11"/>
  <c r="M179" i="11" s="1"/>
  <c r="Z327" i="11"/>
  <c r="Z358" i="11"/>
  <c r="Z337" i="11"/>
  <c r="Z373" i="11"/>
  <c r="AE47" i="11"/>
  <c r="Z200" i="11"/>
  <c r="AT196" i="11"/>
  <c r="M196" i="11" s="1"/>
  <c r="BC59" i="11"/>
  <c r="AB47" i="11"/>
  <c r="V130" i="11"/>
  <c r="AS60" i="11"/>
  <c r="L60" i="11" s="1"/>
  <c r="V195" i="11"/>
  <c r="W52" i="11"/>
  <c r="AS130" i="11"/>
  <c r="L130" i="11" s="1"/>
  <c r="V458" i="11"/>
  <c r="V211" i="11"/>
  <c r="V184" i="11"/>
  <c r="V60" i="11"/>
  <c r="AS175" i="11"/>
  <c r="L175" i="11" s="1"/>
  <c r="AS184" i="11"/>
  <c r="L184" i="11" s="1"/>
  <c r="AT195" i="11"/>
  <c r="M195" i="11" s="1"/>
  <c r="V179" i="11"/>
  <c r="Z372" i="11"/>
  <c r="Z289" i="11"/>
  <c r="BC50" i="11"/>
  <c r="Z336" i="11"/>
  <c r="AS64" i="11"/>
  <c r="L64" i="11" s="1"/>
  <c r="Z307" i="11"/>
  <c r="Z357" i="11"/>
  <c r="V64" i="11"/>
  <c r="V97" i="11"/>
  <c r="V95" i="11" s="1"/>
  <c r="S51" i="11"/>
  <c r="S50" i="11" s="1"/>
  <c r="AS135" i="11"/>
  <c r="L135" i="11" s="1"/>
  <c r="K30" i="11"/>
  <c r="V337" i="11"/>
  <c r="V229" i="11"/>
  <c r="V215" i="11"/>
  <c r="B40" i="17"/>
  <c r="B40" i="22" s="1"/>
  <c r="B39" i="17"/>
  <c r="B39" i="22" s="1"/>
  <c r="AS308" i="11"/>
  <c r="L308" i="11" s="1"/>
  <c r="AT409" i="11"/>
  <c r="M409" i="11" s="1"/>
  <c r="AT446" i="11"/>
  <c r="M446" i="11" s="1"/>
  <c r="V481" i="11"/>
  <c r="AS164" i="11"/>
  <c r="L164" i="11" s="1"/>
  <c r="AT308" i="11"/>
  <c r="M308" i="11" s="1"/>
  <c r="AR56" i="11"/>
  <c r="B18" i="17" s="1"/>
  <c r="B18" i="22" s="1"/>
  <c r="AT307" i="11"/>
  <c r="M307" i="11" s="1"/>
  <c r="AY45" i="11"/>
  <c r="J21" i="22" s="1"/>
  <c r="V199" i="11"/>
  <c r="AT51" i="11"/>
  <c r="M51" i="11" s="1"/>
  <c r="M50" i="11" s="1"/>
  <c r="AW376" i="11"/>
  <c r="P376" i="11" s="1"/>
  <c r="AS113" i="11"/>
  <c r="L113" i="11" s="1"/>
  <c r="AS51" i="11"/>
  <c r="L51" i="11" s="1"/>
  <c r="L50" i="11" s="1"/>
  <c r="AS201" i="11"/>
  <c r="L201" i="11" s="1"/>
  <c r="BF497" i="11"/>
  <c r="BF491" i="11" s="1"/>
  <c r="AS178" i="11"/>
  <c r="L178" i="11" s="1"/>
  <c r="AA51" i="11"/>
  <c r="AA50" i="11" s="1"/>
  <c r="V307" i="11"/>
  <c r="V113" i="11"/>
  <c r="AS337" i="11"/>
  <c r="L337" i="11" s="1"/>
  <c r="BH50" i="11"/>
  <c r="AS446" i="11"/>
  <c r="L446" i="11" s="1"/>
  <c r="U81" i="11"/>
  <c r="U80" i="11" s="1"/>
  <c r="AS147" i="11"/>
  <c r="L147" i="11" s="1"/>
  <c r="AT147" i="11"/>
  <c r="M147" i="11" s="1"/>
  <c r="AW372" i="11"/>
  <c r="P372" i="11" s="1"/>
  <c r="AQ466" i="11"/>
  <c r="J466" i="11" s="1"/>
  <c r="AT204" i="11"/>
  <c r="M204" i="11" s="1"/>
  <c r="V204" i="11"/>
  <c r="L91" i="11"/>
  <c r="V363" i="11"/>
  <c r="AT385" i="11"/>
  <c r="M385" i="11" s="1"/>
  <c r="Y83" i="11"/>
  <c r="Y82" i="11" s="1"/>
  <c r="T52" i="11"/>
  <c r="AT468" i="11"/>
  <c r="M468" i="11" s="1"/>
  <c r="AS173" i="11"/>
  <c r="L173" i="11" s="1"/>
  <c r="AT182" i="11"/>
  <c r="M182" i="11" s="1"/>
  <c r="AS385" i="11"/>
  <c r="L385" i="11" s="1"/>
  <c r="L83" i="11"/>
  <c r="L82" i="11" s="1"/>
  <c r="BH386" i="11"/>
  <c r="W30" i="11"/>
  <c r="S30" i="11"/>
  <c r="U9" i="10"/>
  <c r="F68" i="10"/>
  <c r="F23" i="10"/>
  <c r="J24" i="10"/>
  <c r="S60" i="10"/>
  <c r="S57" i="10" s="1"/>
  <c r="J185" i="10"/>
  <c r="Y68" i="10"/>
  <c r="J231" i="10"/>
  <c r="J129" i="10"/>
  <c r="J140" i="10"/>
  <c r="J121" i="10"/>
  <c r="J136" i="10"/>
  <c r="J72" i="10"/>
  <c r="J125" i="10"/>
  <c r="J49" i="10"/>
  <c r="G38" i="10"/>
  <c r="G109" i="10"/>
  <c r="I122" i="10"/>
  <c r="I166" i="10"/>
  <c r="H186" i="10"/>
  <c r="J234" i="10"/>
  <c r="J162" i="10"/>
  <c r="T106" i="10"/>
  <c r="T68" i="10" s="1"/>
  <c r="J95" i="10"/>
  <c r="L68" i="10"/>
  <c r="H158" i="10"/>
  <c r="AA9" i="10"/>
  <c r="AA7" i="10" s="1"/>
  <c r="J96" i="10"/>
  <c r="J106" i="10"/>
  <c r="J224" i="10"/>
  <c r="V15" i="10"/>
  <c r="V9" i="10" s="1"/>
  <c r="G99" i="10"/>
  <c r="J130" i="10"/>
  <c r="G45" i="10"/>
  <c r="J107" i="10"/>
  <c r="N23" i="10"/>
  <c r="J176" i="10"/>
  <c r="J228" i="10"/>
  <c r="I100" i="10"/>
  <c r="J204" i="10"/>
  <c r="J132" i="10"/>
  <c r="J179" i="10"/>
  <c r="G67" i="10"/>
  <c r="G57" i="10" s="1"/>
  <c r="J139" i="10"/>
  <c r="J71" i="10"/>
  <c r="J175" i="10"/>
  <c r="X57" i="10"/>
  <c r="J137" i="10"/>
  <c r="J220" i="10"/>
  <c r="J161" i="10"/>
  <c r="S105" i="10"/>
  <c r="S13" i="10"/>
  <c r="S9" i="10" s="1"/>
  <c r="H26" i="10"/>
  <c r="G28" i="10"/>
  <c r="Z9" i="10"/>
  <c r="K23" i="10"/>
  <c r="J192" i="10"/>
  <c r="G180" i="10"/>
  <c r="Z23" i="10"/>
  <c r="G196" i="10"/>
  <c r="J70" i="10"/>
  <c r="G147" i="10"/>
  <c r="J164" i="10"/>
  <c r="J117" i="10"/>
  <c r="S159" i="10"/>
  <c r="L47" i="10"/>
  <c r="R47" i="10"/>
  <c r="R23" i="10" s="1"/>
  <c r="J69" i="10"/>
  <c r="J80" i="10"/>
  <c r="H44" i="10"/>
  <c r="N68" i="10"/>
  <c r="J36" i="10"/>
  <c r="X23" i="10"/>
  <c r="J191" i="10"/>
  <c r="J112" i="10"/>
  <c r="J115" i="10"/>
  <c r="J211" i="10"/>
  <c r="J134" i="10"/>
  <c r="J37" i="10"/>
  <c r="J201" i="10"/>
  <c r="AW368" i="11"/>
  <c r="P368" i="11" s="1"/>
  <c r="V413" i="11"/>
  <c r="AA218" i="11"/>
  <c r="AT166" i="11"/>
  <c r="M166" i="11" s="1"/>
  <c r="Z378" i="11"/>
  <c r="Z152" i="11"/>
  <c r="AW306" i="11"/>
  <c r="P306" i="11" s="1"/>
  <c r="V166" i="11"/>
  <c r="V467" i="11"/>
  <c r="BG263" i="11"/>
  <c r="E32" i="17" s="1"/>
  <c r="E32" i="22" s="1"/>
  <c r="AS216" i="11"/>
  <c r="L216" i="11" s="1"/>
  <c r="Z164" i="11"/>
  <c r="V37" i="11"/>
  <c r="V30" i="11" s="1"/>
  <c r="V330" i="11"/>
  <c r="AS220" i="11"/>
  <c r="L220" i="11" s="1"/>
  <c r="Z300" i="11"/>
  <c r="Z136" i="11"/>
  <c r="AT220" i="11"/>
  <c r="M220" i="11" s="1"/>
  <c r="AT135" i="11"/>
  <c r="M135" i="11" s="1"/>
  <c r="AT224" i="11"/>
  <c r="M224" i="11" s="1"/>
  <c r="Z311" i="11"/>
  <c r="AA205" i="11"/>
  <c r="K10" i="11"/>
  <c r="K9" i="11" s="1"/>
  <c r="AW179" i="11"/>
  <c r="P179" i="11" s="1"/>
  <c r="BG47" i="11"/>
  <c r="E19" i="17" s="1"/>
  <c r="E19" i="22" s="1"/>
  <c r="AU389" i="11"/>
  <c r="N389" i="11" s="1"/>
  <c r="AZ47" i="11"/>
  <c r="V213" i="11"/>
  <c r="AS198" i="11"/>
  <c r="L198" i="11" s="1"/>
  <c r="AS57" i="11"/>
  <c r="AS56" i="11" s="1"/>
  <c r="BC56" i="11"/>
  <c r="AE52" i="11"/>
  <c r="V381" i="11"/>
  <c r="V200" i="11"/>
  <c r="Z389" i="11"/>
  <c r="Z386" i="11" s="1"/>
  <c r="AT213" i="11"/>
  <c r="M213" i="11" s="1"/>
  <c r="V217" i="11"/>
  <c r="AS182" i="11"/>
  <c r="L182" i="11" s="1"/>
  <c r="U57" i="11"/>
  <c r="U56" i="11" s="1"/>
  <c r="V219" i="11"/>
  <c r="AW389" i="11"/>
  <c r="P389" i="11" s="1"/>
  <c r="AT430" i="11"/>
  <c r="M430" i="11" s="1"/>
  <c r="Z81" i="11"/>
  <c r="Z80" i="11" s="1"/>
  <c r="AS381" i="11"/>
  <c r="L381" i="11" s="1"/>
  <c r="AS142" i="11"/>
  <c r="L142" i="11" s="1"/>
  <c r="V336" i="11"/>
  <c r="AS200" i="11"/>
  <c r="L200" i="11" s="1"/>
  <c r="AS196" i="11"/>
  <c r="L196" i="11" s="1"/>
  <c r="Z356" i="11"/>
  <c r="AS430" i="11"/>
  <c r="L430" i="11" s="1"/>
  <c r="AS468" i="11"/>
  <c r="L468" i="11" s="1"/>
  <c r="AT142" i="11"/>
  <c r="M142" i="11" s="1"/>
  <c r="AS215" i="11"/>
  <c r="L215" i="11" s="1"/>
  <c r="BH346" i="11"/>
  <c r="BC82" i="11"/>
  <c r="BC263" i="11"/>
  <c r="AT198" i="11"/>
  <c r="M198" i="11" s="1"/>
  <c r="AS221" i="11"/>
  <c r="L221" i="11" s="1"/>
  <c r="AS82" i="11"/>
  <c r="BB56" i="11"/>
  <c r="C18" i="17" s="1"/>
  <c r="C18" i="22" s="1"/>
  <c r="V230" i="11"/>
  <c r="AP85" i="11"/>
  <c r="AP84" i="11" s="1"/>
  <c r="AT178" i="11"/>
  <c r="M178" i="11" s="1"/>
  <c r="AA366" i="11"/>
  <c r="AT97" i="11"/>
  <c r="V409" i="11"/>
  <c r="Z362" i="11"/>
  <c r="AB30" i="11"/>
  <c r="U72" i="11"/>
  <c r="BH316" i="11"/>
  <c r="AS194" i="11"/>
  <c r="L194" i="11" s="1"/>
  <c r="Z302" i="11"/>
  <c r="AQ45" i="11"/>
  <c r="AS450" i="11"/>
  <c r="L450" i="11" s="1"/>
  <c r="AA375" i="11"/>
  <c r="Z53" i="11"/>
  <c r="Z52" i="11" s="1"/>
  <c r="AS444" i="11"/>
  <c r="L444" i="11" s="1"/>
  <c r="AA60" i="11"/>
  <c r="AA59" i="11" s="1"/>
  <c r="BG52" i="11"/>
  <c r="E17" i="17" s="1"/>
  <c r="E17" i="22" s="1"/>
  <c r="AA30" i="11"/>
  <c r="X47" i="11"/>
  <c r="AC52" i="11"/>
  <c r="AA353" i="11"/>
  <c r="V81" i="11"/>
  <c r="V80" i="11" s="1"/>
  <c r="Z437" i="11"/>
  <c r="V44" i="11"/>
  <c r="V43" i="11" s="1"/>
  <c r="AU333" i="11"/>
  <c r="N333" i="11" s="1"/>
  <c r="AS44" i="11"/>
  <c r="AS43" i="11" s="1"/>
  <c r="Z287" i="11"/>
  <c r="BB390" i="11"/>
  <c r="AU317" i="11"/>
  <c r="N317" i="11" s="1"/>
  <c r="BG56" i="11"/>
  <c r="E18" i="17" s="1"/>
  <c r="E18" i="22" s="1"/>
  <c r="AU57" i="11"/>
  <c r="AU56" i="11" s="1"/>
  <c r="D18" i="17" s="1"/>
  <c r="D18" i="22" s="1"/>
  <c r="BW49" i="11"/>
  <c r="BW47" i="11" s="1"/>
  <c r="H19" i="22" s="1"/>
  <c r="AA346" i="11"/>
  <c r="T39" i="11"/>
  <c r="T38" i="11" s="1"/>
  <c r="AA216" i="11"/>
  <c r="AS408" i="11"/>
  <c r="L408" i="11" s="1"/>
  <c r="AA215" i="11"/>
  <c r="V444" i="11"/>
  <c r="AW42" i="11"/>
  <c r="AT44" i="11"/>
  <c r="M44" i="11" s="1"/>
  <c r="M43" i="11" s="1"/>
  <c r="Z306" i="11"/>
  <c r="AW388" i="11"/>
  <c r="BC90" i="11"/>
  <c r="AQ39" i="11"/>
  <c r="J39" i="11" s="1"/>
  <c r="J38" i="11" s="1"/>
  <c r="Z436" i="11"/>
  <c r="V304" i="11"/>
  <c r="BE38" i="11"/>
  <c r="BE29" i="11" s="1"/>
  <c r="N85" i="11"/>
  <c r="N84" i="11" s="1"/>
  <c r="AT408" i="11"/>
  <c r="M408" i="11" s="1"/>
  <c r="Z198" i="11"/>
  <c r="AS304" i="11"/>
  <c r="L304" i="11" s="1"/>
  <c r="V194" i="11"/>
  <c r="AN30" i="11"/>
  <c r="V47" i="11"/>
  <c r="AS9" i="11"/>
  <c r="AA475" i="11"/>
  <c r="AA97" i="11"/>
  <c r="AA95" i="11" s="1"/>
  <c r="BE497" i="11"/>
  <c r="BE491" i="11" s="1"/>
  <c r="AS374" i="11"/>
  <c r="L374" i="11" s="1"/>
  <c r="AT173" i="11"/>
  <c r="M173" i="11" s="1"/>
  <c r="M47" i="11"/>
  <c r="BW52" i="11"/>
  <c r="H17" i="22" s="1"/>
  <c r="AA379" i="11"/>
  <c r="Z339" i="11"/>
  <c r="AW214" i="11"/>
  <c r="P214" i="11" s="1"/>
  <c r="BH38" i="11"/>
  <c r="BF78" i="11"/>
  <c r="BF47" i="11"/>
  <c r="BD30" i="11"/>
  <c r="BH281" i="11"/>
  <c r="K46" i="11"/>
  <c r="K45" i="11" s="1"/>
  <c r="AW374" i="11"/>
  <c r="P374" i="11" s="1"/>
  <c r="AB304" i="11"/>
  <c r="AB281" i="11" s="1"/>
  <c r="V218" i="11"/>
  <c r="AA468" i="11"/>
  <c r="AS212" i="11"/>
  <c r="L212" i="11" s="1"/>
  <c r="AT180" i="11"/>
  <c r="M180" i="11" s="1"/>
  <c r="Z142" i="11"/>
  <c r="Y30" i="11"/>
  <c r="AS330" i="11"/>
  <c r="L330" i="11" s="1"/>
  <c r="AT453" i="11"/>
  <c r="M453" i="11" s="1"/>
  <c r="AS352" i="11"/>
  <c r="L352" i="11" s="1"/>
  <c r="AW382" i="11"/>
  <c r="P382" i="11" s="1"/>
  <c r="AA304" i="11"/>
  <c r="R95" i="11"/>
  <c r="V374" i="11"/>
  <c r="Z155" i="11"/>
  <c r="S52" i="11"/>
  <c r="AW380" i="11"/>
  <c r="P380" i="11" s="1"/>
  <c r="AS467" i="11"/>
  <c r="L467" i="11" s="1"/>
  <c r="BC45" i="11"/>
  <c r="Z195" i="11"/>
  <c r="Z328" i="11"/>
  <c r="BW9" i="11"/>
  <c r="AS452" i="11"/>
  <c r="L452" i="11" s="1"/>
  <c r="AS453" i="11"/>
  <c r="L453" i="11" s="1"/>
  <c r="AQ418" i="11"/>
  <c r="J418" i="11" s="1"/>
  <c r="BH21" i="11"/>
  <c r="AA79" i="11"/>
  <c r="AA78" i="11" s="1"/>
  <c r="BF59" i="11"/>
  <c r="AU435" i="11"/>
  <c r="N435" i="11" s="1"/>
  <c r="AZ52" i="11"/>
  <c r="U70" i="11"/>
  <c r="V216" i="11"/>
  <c r="AS413" i="11"/>
  <c r="L413" i="11" s="1"/>
  <c r="AT218" i="11"/>
  <c r="M218" i="11" s="1"/>
  <c r="V352" i="11"/>
  <c r="AZ30" i="11"/>
  <c r="AA178" i="11"/>
  <c r="AA356" i="11"/>
  <c r="AS336" i="11"/>
  <c r="L336" i="11" s="1"/>
  <c r="U39" i="11"/>
  <c r="U38" i="11" s="1"/>
  <c r="U419" i="11"/>
  <c r="U390" i="11" s="1"/>
  <c r="V180" i="11"/>
  <c r="BW389" i="11"/>
  <c r="BW386" i="11" s="1"/>
  <c r="H33" i="22" s="1"/>
  <c r="Z332" i="11"/>
  <c r="AT212" i="11"/>
  <c r="M212" i="11" s="1"/>
  <c r="AT219" i="11"/>
  <c r="M219" i="11" s="1"/>
  <c r="V452" i="11"/>
  <c r="Z49" i="11"/>
  <c r="Z47" i="11" s="1"/>
  <c r="AA173" i="11"/>
  <c r="AU9" i="11"/>
  <c r="D10" i="17" s="1"/>
  <c r="D10" i="22" s="1"/>
  <c r="AS229" i="11"/>
  <c r="L229" i="11" s="1"/>
  <c r="AS230" i="11"/>
  <c r="L230" i="11" s="1"/>
  <c r="V174" i="11"/>
  <c r="Z461" i="11"/>
  <c r="Z165" i="11"/>
  <c r="AA377" i="11"/>
  <c r="AW174" i="11"/>
  <c r="P174" i="11" s="1"/>
  <c r="AA210" i="11"/>
  <c r="AS47" i="11"/>
  <c r="BV316" i="11"/>
  <c r="I35" i="22" s="1"/>
  <c r="AR39" i="11"/>
  <c r="K39" i="11" s="1"/>
  <c r="K38" i="11" s="1"/>
  <c r="AA176" i="11"/>
  <c r="AA175" i="11"/>
  <c r="V146" i="11"/>
  <c r="AT146" i="11"/>
  <c r="M146" i="11" s="1"/>
  <c r="BW30" i="11"/>
  <c r="H15" i="22" s="1"/>
  <c r="BG59" i="11"/>
  <c r="T37" i="11"/>
  <c r="T30" i="11" s="1"/>
  <c r="AT288" i="11"/>
  <c r="M288" i="11" s="1"/>
  <c r="U60" i="11"/>
  <c r="AS479" i="11"/>
  <c r="L479" i="11" s="1"/>
  <c r="BB59" i="11"/>
  <c r="V164" i="11"/>
  <c r="Z366" i="11"/>
  <c r="AA378" i="11"/>
  <c r="AS434" i="11"/>
  <c r="L434" i="11" s="1"/>
  <c r="AY38" i="11"/>
  <c r="J16" i="22" s="1"/>
  <c r="AT174" i="11"/>
  <c r="M174" i="11" s="1"/>
  <c r="V288" i="11"/>
  <c r="BV108" i="11"/>
  <c r="I31" i="22" s="1"/>
  <c r="AA345" i="11"/>
  <c r="AA316" i="11" s="1"/>
  <c r="AA357" i="11"/>
  <c r="BD497" i="11"/>
  <c r="BD491" i="11" s="1"/>
  <c r="AQ459" i="11"/>
  <c r="J459" i="11" s="1"/>
  <c r="X81" i="11"/>
  <c r="X80" i="11" s="1"/>
  <c r="V186" i="11"/>
  <c r="X37" i="11"/>
  <c r="X30" i="11" s="1"/>
  <c r="AE497" i="11"/>
  <c r="AU159" i="11"/>
  <c r="AP159" i="11" s="1"/>
  <c r="AU309" i="11"/>
  <c r="N309" i="11" s="1"/>
  <c r="Z182" i="11"/>
  <c r="BG90" i="11"/>
  <c r="AZ45" i="11"/>
  <c r="AT448" i="11"/>
  <c r="M448" i="11" s="1"/>
  <c r="Z321" i="11"/>
  <c r="Z296" i="11"/>
  <c r="V214" i="11"/>
  <c r="AS214" i="11"/>
  <c r="L214" i="11" s="1"/>
  <c r="Z402" i="11"/>
  <c r="AS161" i="11"/>
  <c r="L161" i="11" s="1"/>
  <c r="V185" i="11"/>
  <c r="Z360" i="11"/>
  <c r="AS388" i="11"/>
  <c r="L388" i="11" s="1"/>
  <c r="S10" i="11"/>
  <c r="S9" i="11" s="1"/>
  <c r="W38" i="11"/>
  <c r="BG281" i="11"/>
  <c r="E36" i="17" s="1"/>
  <c r="E36" i="22" s="1"/>
  <c r="AT269" i="11"/>
  <c r="M269" i="11" s="1"/>
  <c r="BB108" i="11"/>
  <c r="C31" i="17" s="1"/>
  <c r="C31" i="22" s="1"/>
  <c r="AS206" i="11"/>
  <c r="L206" i="11" s="1"/>
  <c r="V223" i="11"/>
  <c r="AS203" i="11"/>
  <c r="L203" i="11" s="1"/>
  <c r="BG351" i="11"/>
  <c r="E37" i="17" s="1"/>
  <c r="E37" i="22" s="1"/>
  <c r="BG390" i="11"/>
  <c r="Z202" i="11"/>
  <c r="V280" i="11"/>
  <c r="V263" i="11" s="1"/>
  <c r="V435" i="11"/>
  <c r="AS437" i="11"/>
  <c r="L437" i="11" s="1"/>
  <c r="AS177" i="11"/>
  <c r="L177" i="11" s="1"/>
  <c r="AS447" i="11"/>
  <c r="L447" i="11" s="1"/>
  <c r="V388" i="11"/>
  <c r="Z308" i="11"/>
  <c r="AQ69" i="11"/>
  <c r="J69" i="11" s="1"/>
  <c r="J59" i="11" s="1"/>
  <c r="AW172" i="11"/>
  <c r="P172" i="11" s="1"/>
  <c r="V437" i="11"/>
  <c r="AS186" i="11"/>
  <c r="L186" i="11" s="1"/>
  <c r="AT280" i="11"/>
  <c r="M280" i="11" s="1"/>
  <c r="AS448" i="11"/>
  <c r="L448" i="11" s="1"/>
  <c r="Z60" i="11"/>
  <c r="V450" i="11"/>
  <c r="Z171" i="11"/>
  <c r="N94" i="11"/>
  <c r="N90" i="11" s="1"/>
  <c r="U79" i="11"/>
  <c r="U78" i="11" s="1"/>
  <c r="AT479" i="11"/>
  <c r="M479" i="11" s="1"/>
  <c r="AT90" i="11"/>
  <c r="BG108" i="11"/>
  <c r="E31" i="17" s="1"/>
  <c r="E31" i="22" s="1"/>
  <c r="AS269" i="11"/>
  <c r="L269" i="11" s="1"/>
  <c r="L263" i="11" s="1"/>
  <c r="Z335" i="11"/>
  <c r="Z324" i="11"/>
  <c r="Z144" i="11"/>
  <c r="AR115" i="11"/>
  <c r="K115" i="11" s="1"/>
  <c r="V161" i="11"/>
  <c r="Z122" i="11"/>
  <c r="AA373" i="11"/>
  <c r="AP10" i="11"/>
  <c r="AP9" i="11" s="1"/>
  <c r="Z345" i="11"/>
  <c r="AW355" i="11"/>
  <c r="P355" i="11" s="1"/>
  <c r="AS387" i="11"/>
  <c r="L387" i="11" s="1"/>
  <c r="AT177" i="11"/>
  <c r="M177" i="11" s="1"/>
  <c r="AT211" i="11"/>
  <c r="M211" i="11" s="1"/>
  <c r="AS469" i="11"/>
  <c r="L469" i="11" s="1"/>
  <c r="AZ38" i="11"/>
  <c r="AQ43" i="11"/>
  <c r="AQ37" i="11"/>
  <c r="M85" i="11"/>
  <c r="M84" i="11" s="1"/>
  <c r="S38" i="11"/>
  <c r="BG316" i="11"/>
  <c r="E35" i="17" s="1"/>
  <c r="E35" i="22" s="1"/>
  <c r="BE82" i="11"/>
  <c r="BE77" i="11" s="1"/>
  <c r="AS223" i="11"/>
  <c r="L223" i="11" s="1"/>
  <c r="AT203" i="11"/>
  <c r="M203" i="11" s="1"/>
  <c r="Z475" i="11"/>
  <c r="V447" i="11"/>
  <c r="AS480" i="11"/>
  <c r="L480" i="11" s="1"/>
  <c r="Z361" i="11"/>
  <c r="AS185" i="11"/>
  <c r="L185" i="11" s="1"/>
  <c r="AW358" i="11"/>
  <c r="P358" i="11" s="1"/>
  <c r="AW365" i="11"/>
  <c r="P365" i="11" s="1"/>
  <c r="D13" i="17"/>
  <c r="D13" i="22" s="1"/>
  <c r="AB500" i="11"/>
  <c r="AB497" i="11" s="1"/>
  <c r="AQ56" i="11"/>
  <c r="Z290" i="11"/>
  <c r="Z174" i="11"/>
  <c r="Z143" i="11"/>
  <c r="Z377" i="11"/>
  <c r="Z334" i="11"/>
  <c r="U47" i="11"/>
  <c r="AC494" i="11"/>
  <c r="M46" i="11"/>
  <c r="M45" i="11" s="1"/>
  <c r="AT45" i="11"/>
  <c r="V87" i="11"/>
  <c r="V86" i="11" s="1"/>
  <c r="BC86" i="11"/>
  <c r="AS197" i="11"/>
  <c r="L197" i="11" s="1"/>
  <c r="AT197" i="11"/>
  <c r="M197" i="11" s="1"/>
  <c r="BD390" i="11"/>
  <c r="V315" i="11"/>
  <c r="V42" i="11"/>
  <c r="V38" i="11" s="1"/>
  <c r="V46" i="11"/>
  <c r="V45" i="11" s="1"/>
  <c r="AY56" i="11"/>
  <c r="J18" i="22" s="1"/>
  <c r="BV90" i="11"/>
  <c r="BV77" i="11" s="1"/>
  <c r="AW350" i="11"/>
  <c r="BC497" i="11"/>
  <c r="BC491" i="11" s="1"/>
  <c r="AP44" i="11"/>
  <c r="AP43" i="11" s="1"/>
  <c r="AP48" i="11"/>
  <c r="AS315" i="11"/>
  <c r="L315" i="11" s="1"/>
  <c r="AS46" i="11"/>
  <c r="V53" i="11"/>
  <c r="V52" i="11" s="1"/>
  <c r="X79" i="11"/>
  <c r="X78" i="11" s="1"/>
  <c r="AS202" i="11"/>
  <c r="L202" i="11" s="1"/>
  <c r="L87" i="11"/>
  <c r="L86" i="11" s="1"/>
  <c r="AT53" i="11"/>
  <c r="AS183" i="11"/>
  <c r="L183" i="11" s="1"/>
  <c r="BD108" i="11"/>
  <c r="BV29" i="11"/>
  <c r="I14" i="22" s="1"/>
  <c r="V208" i="11"/>
  <c r="AS334" i="11"/>
  <c r="L334" i="11" s="1"/>
  <c r="H13" i="22"/>
  <c r="AS443" i="11"/>
  <c r="L443" i="11" s="1"/>
  <c r="V482" i="11"/>
  <c r="AT202" i="11"/>
  <c r="M202" i="11" s="1"/>
  <c r="V480" i="11"/>
  <c r="V227" i="11"/>
  <c r="AC304" i="11"/>
  <c r="AC281" i="11" s="1"/>
  <c r="AT208" i="11"/>
  <c r="M208" i="11" s="1"/>
  <c r="V162" i="11"/>
  <c r="BD59" i="11"/>
  <c r="AT183" i="11"/>
  <c r="M183" i="11" s="1"/>
  <c r="W352" i="11"/>
  <c r="W351" i="11" s="1"/>
  <c r="T69" i="11"/>
  <c r="T59" i="11" s="1"/>
  <c r="AS226" i="11"/>
  <c r="L226" i="11" s="1"/>
  <c r="AS227" i="11"/>
  <c r="L227" i="11" s="1"/>
  <c r="BD10" i="11"/>
  <c r="BD9" i="11" s="1"/>
  <c r="BD386" i="11"/>
  <c r="V334" i="11"/>
  <c r="AS162" i="11"/>
  <c r="L162" i="11" s="1"/>
  <c r="AT443" i="11"/>
  <c r="M443" i="11" s="1"/>
  <c r="AS53" i="11"/>
  <c r="AS205" i="11"/>
  <c r="L205" i="11" s="1"/>
  <c r="N49" i="11"/>
  <c r="N47" i="11" s="1"/>
  <c r="AT410" i="11"/>
  <c r="M410" i="11" s="1"/>
  <c r="BC316" i="11"/>
  <c r="V410" i="11"/>
  <c r="AZ43" i="11"/>
  <c r="AS86" i="11"/>
  <c r="BC38" i="11"/>
  <c r="AT482" i="11"/>
  <c r="M482" i="11" s="1"/>
  <c r="AS42" i="11"/>
  <c r="L42" i="11" s="1"/>
  <c r="L38" i="11" s="1"/>
  <c r="AT205" i="11"/>
  <c r="M205" i="11" s="1"/>
  <c r="U52" i="11"/>
  <c r="AA52" i="11"/>
  <c r="AN52" i="11"/>
  <c r="AU52" i="11"/>
  <c r="D17" i="17" s="1"/>
  <c r="D17" i="22" s="1"/>
  <c r="N53" i="11"/>
  <c r="N52" i="11" s="1"/>
  <c r="AT56" i="11"/>
  <c r="M57" i="11"/>
  <c r="M56" i="11" s="1"/>
  <c r="R10" i="11"/>
  <c r="R9" i="11" s="1"/>
  <c r="AA220" i="11"/>
  <c r="AT37" i="11"/>
  <c r="M37" i="11" s="1"/>
  <c r="M30" i="11" s="1"/>
  <c r="BC281" i="11"/>
  <c r="V310" i="11"/>
  <c r="AN38" i="11"/>
  <c r="AE38" i="11"/>
  <c r="BW38" i="11"/>
  <c r="H16" i="22" s="1"/>
  <c r="AS407" i="11"/>
  <c r="L407" i="11" s="1"/>
  <c r="AS30" i="11"/>
  <c r="AS379" i="11"/>
  <c r="L379" i="11" s="1"/>
  <c r="BC30" i="11"/>
  <c r="AS486" i="11"/>
  <c r="L486" i="11" s="1"/>
  <c r="BI108" i="11"/>
  <c r="AT407" i="11"/>
  <c r="M407" i="11" s="1"/>
  <c r="BE10" i="11"/>
  <c r="BE9" i="11" s="1"/>
  <c r="AT176" i="11"/>
  <c r="M176" i="11" s="1"/>
  <c r="L30" i="11"/>
  <c r="AS461" i="11"/>
  <c r="L461" i="11" s="1"/>
  <c r="AS176" i="11"/>
  <c r="L176" i="11" s="1"/>
  <c r="L47" i="11"/>
  <c r="AQ292" i="11"/>
  <c r="J292" i="11" s="1"/>
  <c r="J281" i="11" s="1"/>
  <c r="BC10" i="11"/>
  <c r="BC9" i="11" s="1"/>
  <c r="V163" i="11"/>
  <c r="AS217" i="11"/>
  <c r="L217" i="11" s="1"/>
  <c r="AT140" i="11"/>
  <c r="M140" i="11" s="1"/>
  <c r="AA219" i="11"/>
  <c r="V379" i="11"/>
  <c r="AA367" i="11"/>
  <c r="T419" i="11"/>
  <c r="AY30" i="11"/>
  <c r="J15" i="22" s="1"/>
  <c r="AT312" i="11"/>
  <c r="M312" i="11" s="1"/>
  <c r="AW352" i="11"/>
  <c r="P352" i="11" s="1"/>
  <c r="BE390" i="11"/>
  <c r="BE107" i="11" s="1"/>
  <c r="AW177" i="11"/>
  <c r="P177" i="11" s="1"/>
  <c r="BA281" i="11"/>
  <c r="AA217" i="11"/>
  <c r="AT163" i="11"/>
  <c r="M163" i="11" s="1"/>
  <c r="AT461" i="11"/>
  <c r="M461" i="11" s="1"/>
  <c r="L92" i="11"/>
  <c r="AA381" i="11"/>
  <c r="AS312" i="11"/>
  <c r="L312" i="11" s="1"/>
  <c r="V469" i="11"/>
  <c r="BB10" i="11"/>
  <c r="BB9" i="11" s="1"/>
  <c r="C10" i="17" s="1"/>
  <c r="C10" i="22" s="1"/>
  <c r="V434" i="11"/>
  <c r="AY52" i="11"/>
  <c r="J17" i="22" s="1"/>
  <c r="AS90" i="11"/>
  <c r="AA369" i="11"/>
  <c r="BJ390" i="11"/>
  <c r="BC390" i="11"/>
  <c r="BH351" i="11"/>
  <c r="AT310" i="11"/>
  <c r="M310" i="11" s="1"/>
  <c r="AS140" i="11"/>
  <c r="L140" i="11" s="1"/>
  <c r="V486" i="11"/>
  <c r="X52" i="11"/>
  <c r="AC30" i="11"/>
  <c r="AC47" i="11"/>
  <c r="AP199" i="11"/>
  <c r="Z494" i="11"/>
  <c r="AT38" i="11"/>
  <c r="Y38" i="11"/>
  <c r="M38" i="11"/>
  <c r="M10" i="11"/>
  <c r="M9" i="11" s="1"/>
  <c r="BV9" i="11"/>
  <c r="Y10" i="11"/>
  <c r="Y9" i="11" s="1"/>
  <c r="N38" i="11"/>
  <c r="AB38" i="11"/>
  <c r="AP41" i="11"/>
  <c r="AU38" i="11"/>
  <c r="D16" i="17" s="1"/>
  <c r="D16" i="22" s="1"/>
  <c r="AP370" i="11"/>
  <c r="T47" i="11"/>
  <c r="Y47" i="11"/>
  <c r="K51" i="11"/>
  <c r="K50" i="11" s="1"/>
  <c r="W497" i="11"/>
  <c r="AP393" i="11"/>
  <c r="AP267" i="11"/>
  <c r="AP497" i="11"/>
  <c r="AP491" i="11" s="1"/>
  <c r="AP392" i="11"/>
  <c r="AP437" i="11"/>
  <c r="S386" i="11"/>
  <c r="M497" i="11"/>
  <c r="M491" i="11" s="1"/>
  <c r="BW497" i="11"/>
  <c r="BW491" i="11" s="1"/>
  <c r="H38" i="22" s="1"/>
  <c r="AP472" i="11"/>
  <c r="AP401" i="11"/>
  <c r="AP387" i="11"/>
  <c r="AZ386" i="11"/>
  <c r="L497" i="11"/>
  <c r="L491" i="11" s="1"/>
  <c r="AP422" i="11"/>
  <c r="BW346" i="11"/>
  <c r="H34" i="22" s="1"/>
  <c r="AN386" i="11"/>
  <c r="AP476" i="11"/>
  <c r="AP438" i="11"/>
  <c r="K404" i="11"/>
  <c r="AP490" i="11"/>
  <c r="AP434" i="11"/>
  <c r="Y346" i="11"/>
  <c r="AQ346" i="11"/>
  <c r="R497" i="11"/>
  <c r="R491" i="11" s="1"/>
  <c r="Y386" i="11"/>
  <c r="AQ386" i="11"/>
  <c r="W346" i="11"/>
  <c r="T346" i="11"/>
  <c r="T386" i="11"/>
  <c r="AP444" i="11"/>
  <c r="J387" i="11"/>
  <c r="J386" i="11" s="1"/>
  <c r="X494" i="11"/>
  <c r="T497" i="11"/>
  <c r="S497" i="11"/>
  <c r="S491" i="11" s="1"/>
  <c r="Z346" i="11"/>
  <c r="M346" i="11"/>
  <c r="AE386" i="11"/>
  <c r="AP429" i="11"/>
  <c r="AP480" i="11"/>
  <c r="K386" i="11"/>
  <c r="AN497" i="11"/>
  <c r="AE346" i="11"/>
  <c r="U386" i="11"/>
  <c r="AP482" i="11"/>
  <c r="AP446" i="11"/>
  <c r="AR386" i="11"/>
  <c r="B33" i="17" s="1"/>
  <c r="B33" i="22" s="1"/>
  <c r="AQ491" i="11"/>
  <c r="T351" i="11"/>
  <c r="AP423" i="11"/>
  <c r="AP411" i="11"/>
  <c r="AP416" i="11"/>
  <c r="AP448" i="11"/>
  <c r="AP413" i="11"/>
  <c r="AY491" i="11"/>
  <c r="J38" i="22" s="1"/>
  <c r="AP421" i="11"/>
  <c r="AP418" i="11"/>
  <c r="AP402" i="11"/>
  <c r="AP467" i="11"/>
  <c r="AB494" i="11"/>
  <c r="AP428" i="11"/>
  <c r="AT346" i="11"/>
  <c r="AP463" i="11"/>
  <c r="J497" i="11"/>
  <c r="S351" i="11"/>
  <c r="U346" i="11"/>
  <c r="AP410" i="11"/>
  <c r="AP415" i="11"/>
  <c r="AP466" i="11"/>
  <c r="X346" i="11"/>
  <c r="AP364" i="11"/>
  <c r="AZ390" i="11"/>
  <c r="AP420" i="11"/>
  <c r="AP478" i="11"/>
  <c r="AP460" i="11"/>
  <c r="AP166" i="11"/>
  <c r="AP408" i="11"/>
  <c r="AP436" i="11"/>
  <c r="AP471" i="11"/>
  <c r="AP442" i="11"/>
  <c r="AP430" i="11"/>
  <c r="AP395" i="11"/>
  <c r="AP398" i="11"/>
  <c r="AP451" i="11"/>
  <c r="AP305" i="11"/>
  <c r="AP347" i="11"/>
  <c r="AP359" i="11"/>
  <c r="U497" i="11"/>
  <c r="AP424" i="11"/>
  <c r="AP403" i="11"/>
  <c r="AP439" i="11"/>
  <c r="AP433" i="11"/>
  <c r="AP151" i="11"/>
  <c r="AP464" i="11"/>
  <c r="S390" i="11"/>
  <c r="AP210" i="11"/>
  <c r="V346" i="11"/>
  <c r="AP361" i="11"/>
  <c r="AP432" i="11"/>
  <c r="AP405" i="11"/>
  <c r="AP486" i="11"/>
  <c r="AP447" i="11"/>
  <c r="AY346" i="11"/>
  <c r="J34" i="22" s="1"/>
  <c r="T494" i="11"/>
  <c r="AE494" i="11"/>
  <c r="J494" i="11"/>
  <c r="AS491" i="11"/>
  <c r="AP205" i="11"/>
  <c r="AP473" i="11"/>
  <c r="AP487" i="11"/>
  <c r="AP459" i="11"/>
  <c r="AP391" i="11"/>
  <c r="AP406" i="11"/>
  <c r="AP371" i="11"/>
  <c r="AW491" i="11"/>
  <c r="AB346" i="11"/>
  <c r="AB351" i="11"/>
  <c r="X351" i="11"/>
  <c r="AE351" i="11"/>
  <c r="Y351" i="11"/>
  <c r="AB386" i="11"/>
  <c r="AE390" i="11"/>
  <c r="Y390" i="11"/>
  <c r="AB390" i="11"/>
  <c r="AP477" i="11"/>
  <c r="AP409" i="11"/>
  <c r="AP400" i="11"/>
  <c r="AP479" i="11"/>
  <c r="AP425" i="11"/>
  <c r="AP191" i="11"/>
  <c r="AP407" i="11"/>
  <c r="AP470" i="11"/>
  <c r="AP396" i="11"/>
  <c r="AP275" i="11"/>
  <c r="AP296" i="11"/>
  <c r="X497" i="11"/>
  <c r="Y494" i="11"/>
  <c r="AP488" i="11"/>
  <c r="AP449" i="11"/>
  <c r="AP461" i="11"/>
  <c r="AP450" i="11"/>
  <c r="AP441" i="11"/>
  <c r="AP426" i="11"/>
  <c r="AP474" i="11"/>
  <c r="AA494" i="11"/>
  <c r="AC346" i="11"/>
  <c r="AP417" i="11"/>
  <c r="AP414" i="11"/>
  <c r="AP412" i="11"/>
  <c r="AP458" i="11"/>
  <c r="AP440" i="11"/>
  <c r="AP399" i="11"/>
  <c r="AP427" i="11"/>
  <c r="AP483" i="11"/>
  <c r="AR491" i="11"/>
  <c r="B38" i="17" s="1"/>
  <c r="B38" i="22" s="1"/>
  <c r="AR346" i="11"/>
  <c r="B34" i="17" s="1"/>
  <c r="B34" i="22" s="1"/>
  <c r="Y497" i="11"/>
  <c r="AN346" i="11"/>
  <c r="N133" i="11"/>
  <c r="AP145" i="11"/>
  <c r="W494" i="11"/>
  <c r="V494" i="11"/>
  <c r="AN494" i="11"/>
  <c r="BB491" i="11"/>
  <c r="C38" i="17" s="1"/>
  <c r="C38" i="22" s="1"/>
  <c r="AT491" i="11"/>
  <c r="J351" i="11"/>
  <c r="AP465" i="11"/>
  <c r="AP445" i="11"/>
  <c r="AY386" i="11"/>
  <c r="J33" i="22" s="1"/>
  <c r="K49" i="11"/>
  <c r="K47" i="11" s="1"/>
  <c r="AR47" i="11"/>
  <c r="B19" i="17" s="1"/>
  <c r="B19" i="22" s="1"/>
  <c r="S348" i="11"/>
  <c r="S346" i="11" s="1"/>
  <c r="AZ346" i="11"/>
  <c r="AP348" i="11"/>
  <c r="AW30" i="11"/>
  <c r="AY390" i="11"/>
  <c r="AP53" i="11"/>
  <c r="K44" i="11"/>
  <c r="K43" i="11" s="1"/>
  <c r="AY351" i="11"/>
  <c r="J37" i="22" s="1"/>
  <c r="N31" i="11"/>
  <c r="N30" i="11" s="1"/>
  <c r="AU30" i="11"/>
  <c r="D15" i="17" s="1"/>
  <c r="D15" i="22" s="1"/>
  <c r="AN390" i="11"/>
  <c r="AW52" i="11"/>
  <c r="AE30" i="11"/>
  <c r="U351" i="11"/>
  <c r="AN351" i="11"/>
  <c r="K55" i="11"/>
  <c r="K52" i="11" s="1"/>
  <c r="AP55" i="11"/>
  <c r="AR52" i="11"/>
  <c r="B17" i="17" s="1"/>
  <c r="B17" i="22" s="1"/>
  <c r="AP40" i="11"/>
  <c r="AP397" i="11"/>
  <c r="AP385" i="11"/>
  <c r="AP481" i="11"/>
  <c r="AP462" i="11"/>
  <c r="AY47" i="11"/>
  <c r="J19" i="22" s="1"/>
  <c r="BC78" i="11"/>
  <c r="J346" i="11"/>
  <c r="BU9" i="11"/>
  <c r="S47" i="11"/>
  <c r="L350" i="11"/>
  <c r="L346" i="11" s="1"/>
  <c r="AS346" i="11"/>
  <c r="AT9" i="11"/>
  <c r="AP49" i="11"/>
  <c r="AW47" i="11"/>
  <c r="AP443" i="11"/>
  <c r="AP31" i="11"/>
  <c r="AQ50" i="11"/>
  <c r="BF80" i="11"/>
  <c r="Y81" i="11"/>
  <c r="Y80" i="11" s="1"/>
  <c r="AW56" i="11"/>
  <c r="K360" i="11"/>
  <c r="K351" i="11" s="1"/>
  <c r="AR351" i="11"/>
  <c r="B37" i="17" s="1"/>
  <c r="B37" i="22" s="1"/>
  <c r="AQ47" i="11"/>
  <c r="AP360" i="11"/>
  <c r="W47" i="11"/>
  <c r="K346" i="11"/>
  <c r="K325" i="11"/>
  <c r="K316" i="11" s="1"/>
  <c r="AP325" i="11"/>
  <c r="N347" i="11"/>
  <c r="N346" i="11" s="1"/>
  <c r="AP168" i="11"/>
  <c r="AR9" i="11"/>
  <c r="B10" i="17" s="1"/>
  <c r="B10" i="22" s="1"/>
  <c r="U30" i="11"/>
  <c r="AC386" i="11"/>
  <c r="X38" i="11"/>
  <c r="W386" i="11"/>
  <c r="AQ351" i="11"/>
  <c r="T90" i="11"/>
  <c r="AN90" i="11"/>
  <c r="BA491" i="11"/>
  <c r="V497" i="11"/>
  <c r="BU491" i="11"/>
  <c r="AC95" i="11"/>
  <c r="BH497" i="11"/>
  <c r="BH491" i="11" s="1"/>
  <c r="AA500" i="11"/>
  <c r="AA497" i="11" s="1"/>
  <c r="K419" i="11"/>
  <c r="AP419" i="11"/>
  <c r="AR390" i="11"/>
  <c r="U83" i="11"/>
  <c r="U82" i="11" s="1"/>
  <c r="BB82" i="11"/>
  <c r="C25" i="17" s="1"/>
  <c r="C25" i="22" s="1"/>
  <c r="T12" i="11"/>
  <c r="T10" i="11" s="1"/>
  <c r="T9" i="11" s="1"/>
  <c r="BA10" i="11"/>
  <c r="BA9" i="11" s="1"/>
  <c r="T460" i="11"/>
  <c r="BA390" i="11"/>
  <c r="AQ460" i="11"/>
  <c r="J460" i="11" s="1"/>
  <c r="X390" i="11"/>
  <c r="BH10" i="11"/>
  <c r="AY9" i="11"/>
  <c r="BH108" i="11"/>
  <c r="BC351" i="11"/>
  <c r="AS199" i="11"/>
  <c r="L199" i="11" s="1"/>
  <c r="AP226" i="11"/>
  <c r="AA10" i="11"/>
  <c r="AA9" i="11" s="1"/>
  <c r="BH390" i="11"/>
  <c r="AZ351" i="11"/>
  <c r="AW9" i="11"/>
  <c r="BI390" i="11"/>
  <c r="BK10" i="11"/>
  <c r="AT380" i="11"/>
  <c r="M380" i="11" s="1"/>
  <c r="T122" i="11"/>
  <c r="T108" i="11" s="1"/>
  <c r="AZ9" i="11"/>
  <c r="BA29" i="11"/>
  <c r="AP217" i="11"/>
  <c r="S217" i="11"/>
  <c r="S108" i="11" s="1"/>
  <c r="AP337" i="11"/>
  <c r="AS380" i="11"/>
  <c r="AP363" i="11"/>
  <c r="BA108" i="11"/>
  <c r="BC108" i="11"/>
  <c r="BC386" i="11"/>
  <c r="BU29" i="11"/>
  <c r="BI10" i="11"/>
  <c r="BI9" i="11" s="1"/>
  <c r="AS69" i="11"/>
  <c r="L69" i="11" s="1"/>
  <c r="BV390" i="11"/>
  <c r="BK108" i="11"/>
  <c r="K219" i="11"/>
  <c r="AP330" i="11"/>
  <c r="BF390" i="11"/>
  <c r="BF107" i="11" s="1"/>
  <c r="BF10" i="11"/>
  <c r="BF9" i="11" s="1"/>
  <c r="AT387" i="11"/>
  <c r="AQ9" i="11"/>
  <c r="AP143" i="11"/>
  <c r="AB95" i="11"/>
  <c r="AP141" i="11"/>
  <c r="AP469" i="11"/>
  <c r="BI77" i="11"/>
  <c r="Y108" i="11"/>
  <c r="W90" i="11"/>
  <c r="U494" i="11"/>
  <c r="W390" i="11"/>
  <c r="BW390" i="11"/>
  <c r="AP220" i="11"/>
  <c r="AP195" i="11"/>
  <c r="AP157" i="11"/>
  <c r="AW489" i="11"/>
  <c r="P489" i="11" s="1"/>
  <c r="AA489" i="11"/>
  <c r="BJ108" i="11"/>
  <c r="AC174" i="11"/>
  <c r="AC108" i="11" s="1"/>
  <c r="AU312" i="11"/>
  <c r="N312" i="11" s="1"/>
  <c r="Z312" i="11"/>
  <c r="BI491" i="11"/>
  <c r="X386" i="11"/>
  <c r="BI29" i="11"/>
  <c r="AP213" i="11"/>
  <c r="X263" i="11"/>
  <c r="T281" i="11"/>
  <c r="BK29" i="11"/>
  <c r="BW351" i="11"/>
  <c r="H37" i="22" s="1"/>
  <c r="AP225" i="11"/>
  <c r="K225" i="11"/>
  <c r="AC15" i="11"/>
  <c r="AC10" i="11" s="1"/>
  <c r="AC9" i="11" s="1"/>
  <c r="BJ10" i="11"/>
  <c r="BJ9" i="11" s="1"/>
  <c r="AS228" i="11"/>
  <c r="L228" i="11" s="1"/>
  <c r="V228" i="11"/>
  <c r="AT228" i="11"/>
  <c r="M228" i="11" s="1"/>
  <c r="AP167" i="11"/>
  <c r="AC38" i="11"/>
  <c r="AP221" i="11"/>
  <c r="AC351" i="11"/>
  <c r="BV491" i="11"/>
  <c r="I38" i="22" s="1"/>
  <c r="BW90" i="11"/>
  <c r="AP453" i="11"/>
  <c r="AP218" i="11"/>
  <c r="AA90" i="11"/>
  <c r="AE90" i="11"/>
  <c r="AW90" i="11"/>
  <c r="AW77" i="11" s="1"/>
  <c r="X90" i="11"/>
  <c r="AQ90" i="11"/>
  <c r="AQ77" i="11" s="1"/>
  <c r="T316" i="11"/>
  <c r="AP328" i="11"/>
  <c r="AB316" i="11"/>
  <c r="AE316" i="11"/>
  <c r="AP336" i="11"/>
  <c r="AN316" i="11"/>
  <c r="AP345" i="11"/>
  <c r="AP335" i="11"/>
  <c r="U316" i="11"/>
  <c r="AP321" i="11"/>
  <c r="W316" i="11"/>
  <c r="AP339" i="11"/>
  <c r="X316" i="11"/>
  <c r="AY316" i="11"/>
  <c r="J35" i="22" s="1"/>
  <c r="AP329" i="11"/>
  <c r="AN281" i="11"/>
  <c r="AP315" i="11"/>
  <c r="U281" i="11"/>
  <c r="AP292" i="11"/>
  <c r="Y281" i="11"/>
  <c r="BW281" i="11"/>
  <c r="H36" i="22" s="1"/>
  <c r="AE281" i="11"/>
  <c r="X281" i="11"/>
  <c r="W281" i="11"/>
  <c r="AP299" i="11"/>
  <c r="AP291" i="11"/>
  <c r="AY281" i="11"/>
  <c r="J36" i="22" s="1"/>
  <c r="AP283" i="11"/>
  <c r="BO107" i="11"/>
  <c r="AP301" i="11"/>
  <c r="AP311" i="11"/>
  <c r="AP303" i="11"/>
  <c r="AP289" i="11"/>
  <c r="AP297" i="11"/>
  <c r="AZ281" i="11"/>
  <c r="AP290" i="11"/>
  <c r="AP307" i="11"/>
  <c r="AP282" i="11"/>
  <c r="BU107" i="11"/>
  <c r="AP310" i="11"/>
  <c r="AP287" i="11"/>
  <c r="AP284" i="11"/>
  <c r="AR281" i="11"/>
  <c r="B36" i="17" s="1"/>
  <c r="B36" i="22" s="1"/>
  <c r="AP302" i="11"/>
  <c r="AP298" i="11"/>
  <c r="AP286" i="11"/>
  <c r="AP170" i="11"/>
  <c r="AP150" i="11"/>
  <c r="AP165" i="11"/>
  <c r="AP182" i="11"/>
  <c r="AP227" i="11"/>
  <c r="AP158" i="11"/>
  <c r="AP146" i="11"/>
  <c r="AP152" i="11"/>
  <c r="AP203" i="11"/>
  <c r="AP161" i="11"/>
  <c r="AP135" i="11"/>
  <c r="AP208" i="11"/>
  <c r="AP149" i="11"/>
  <c r="U108" i="11"/>
  <c r="AP223" i="11"/>
  <c r="AP188" i="11"/>
  <c r="X108" i="11"/>
  <c r="W108" i="11"/>
  <c r="AN108" i="11"/>
  <c r="BW108" i="11"/>
  <c r="H31" i="22" s="1"/>
  <c r="AP204" i="11"/>
  <c r="AP163" i="11"/>
  <c r="AP154" i="11"/>
  <c r="AQ108" i="11"/>
  <c r="AP140" i="11"/>
  <c r="AP186" i="11"/>
  <c r="AP162" i="11"/>
  <c r="AE108" i="11"/>
  <c r="AP209" i="11"/>
  <c r="AP184" i="11"/>
  <c r="K167" i="11"/>
  <c r="K157" i="11"/>
  <c r="AP129" i="11"/>
  <c r="AP212" i="11"/>
  <c r="AP180" i="11"/>
  <c r="AY108" i="11"/>
  <c r="J31" i="22" s="1"/>
  <c r="AP147" i="11"/>
  <c r="AP192" i="11"/>
  <c r="AP229" i="11"/>
  <c r="AP224" i="11"/>
  <c r="AP206" i="11"/>
  <c r="AP169" i="11"/>
  <c r="AP211" i="11"/>
  <c r="AP202" i="11"/>
  <c r="AP197" i="11"/>
  <c r="AP134" i="11"/>
  <c r="AP139" i="11"/>
  <c r="AP131" i="11"/>
  <c r="AP164" i="11"/>
  <c r="AP155" i="11"/>
  <c r="AP138" i="11"/>
  <c r="AP148" i="11"/>
  <c r="AP185" i="11"/>
  <c r="AP142" i="11"/>
  <c r="AP194" i="11"/>
  <c r="J108" i="11"/>
  <c r="AP156" i="11"/>
  <c r="AP160" i="11"/>
  <c r="AP193" i="11"/>
  <c r="AZ108" i="11"/>
  <c r="AP144" i="11"/>
  <c r="AP187" i="11"/>
  <c r="AP222" i="11"/>
  <c r="AP130" i="11"/>
  <c r="AP112" i="11"/>
  <c r="AP196" i="11"/>
  <c r="AP171" i="11"/>
  <c r="AP200" i="11"/>
  <c r="AP198" i="11"/>
  <c r="AP189" i="11"/>
  <c r="AP183" i="11"/>
  <c r="AP190" i="11"/>
  <c r="AP136" i="11"/>
  <c r="N227" i="11"/>
  <c r="AP228" i="11"/>
  <c r="D38" i="17"/>
  <c r="D38" i="22" s="1"/>
  <c r="AZ491" i="11"/>
  <c r="BG491" i="11"/>
  <c r="E38" i="17" s="1"/>
  <c r="E38" i="22" s="1"/>
  <c r="I39" i="22"/>
  <c r="S90" i="11"/>
  <c r="Y90" i="11"/>
  <c r="AB90" i="11"/>
  <c r="BD77" i="11"/>
  <c r="AC90" i="11"/>
  <c r="AR90" i="11"/>
  <c r="V90" i="11"/>
  <c r="AZ90" i="11"/>
  <c r="BA77" i="11"/>
  <c r="AP322" i="11"/>
  <c r="AP323" i="11"/>
  <c r="AP319" i="11"/>
  <c r="AP320" i="11"/>
  <c r="AW316" i="11"/>
  <c r="AP326" i="11"/>
  <c r="AP324" i="11"/>
  <c r="AP332" i="11"/>
  <c r="AP334" i="11"/>
  <c r="AP327" i="11"/>
  <c r="AZ316" i="11"/>
  <c r="AR316" i="11"/>
  <c r="B35" i="17" s="1"/>
  <c r="B35" i="22" s="1"/>
  <c r="AP331" i="11"/>
  <c r="S316" i="11"/>
  <c r="J316" i="11"/>
  <c r="BW316" i="11"/>
  <c r="H35" i="22" s="1"/>
  <c r="K281" i="11"/>
  <c r="K263" i="11"/>
  <c r="AP280" i="11"/>
  <c r="AP268" i="11"/>
  <c r="AP269" i="11"/>
  <c r="AA263" i="11"/>
  <c r="Y263" i="11"/>
  <c r="AB263" i="11"/>
  <c r="BW263" i="11"/>
  <c r="H32" i="22" s="1"/>
  <c r="AN263" i="11"/>
  <c r="AR263" i="11"/>
  <c r="B32" i="17" s="1"/>
  <c r="B32" i="22" s="1"/>
  <c r="AQ263" i="11"/>
  <c r="AP274" i="11"/>
  <c r="W263" i="11"/>
  <c r="T263" i="11"/>
  <c r="AE263" i="11"/>
  <c r="AP278" i="11"/>
  <c r="J263" i="11"/>
  <c r="S278" i="11"/>
  <c r="S263" i="11" s="1"/>
  <c r="AP266" i="11"/>
  <c r="AU263" i="11"/>
  <c r="D32" i="17" s="1"/>
  <c r="D32" i="22" s="1"/>
  <c r="AP277" i="11"/>
  <c r="AP272" i="11"/>
  <c r="AP264" i="11"/>
  <c r="AP276" i="11"/>
  <c r="AC263" i="11"/>
  <c r="AZ263" i="11"/>
  <c r="AW263" i="11"/>
  <c r="AP273" i="11"/>
  <c r="AP271" i="11"/>
  <c r="AY263" i="11"/>
  <c r="J32" i="22" s="1"/>
  <c r="U263" i="11"/>
  <c r="AP76" i="11"/>
  <c r="AP63" i="11"/>
  <c r="AP70" i="11"/>
  <c r="AP64" i="11"/>
  <c r="AZ59" i="11"/>
  <c r="BW59" i="11"/>
  <c r="AP67" i="11"/>
  <c r="AP72" i="11"/>
  <c r="AP71" i="11"/>
  <c r="S59" i="11"/>
  <c r="AP75" i="11"/>
  <c r="W59" i="11"/>
  <c r="Y59" i="11"/>
  <c r="AE59" i="11"/>
  <c r="AN59" i="11"/>
  <c r="K64" i="11"/>
  <c r="K59" i="11" s="1"/>
  <c r="AP68" i="11"/>
  <c r="AY59" i="11"/>
  <c r="AR59" i="11"/>
  <c r="X59" i="11"/>
  <c r="BJ29" i="11"/>
  <c r="AE95" i="11"/>
  <c r="X96" i="11"/>
  <c r="X95" i="11" s="1"/>
  <c r="AP394" i="11"/>
  <c r="AP93" i="11"/>
  <c r="AP265" i="11"/>
  <c r="AB59" i="11"/>
  <c r="AY90" i="11"/>
  <c r="J53" i="11"/>
  <c r="J52" i="11" s="1"/>
  <c r="AQ52" i="11"/>
  <c r="AQ316" i="11"/>
  <c r="AP300" i="11"/>
  <c r="U92" i="11"/>
  <c r="U90" i="11" s="1"/>
  <c r="BB90" i="11"/>
  <c r="BO29" i="11"/>
  <c r="AP37" i="11"/>
  <c r="BK77" i="11"/>
  <c r="S312" i="11"/>
  <c r="S281" i="11" s="1"/>
  <c r="X10" i="11"/>
  <c r="X9" i="11" s="1"/>
  <c r="AB10" i="11"/>
  <c r="AB9" i="11" s="1"/>
  <c r="AE10" i="11"/>
  <c r="AE9" i="11" s="1"/>
  <c r="BO77" i="11"/>
  <c r="V10" i="11"/>
  <c r="V9" i="11" s="1"/>
  <c r="BU77" i="11"/>
  <c r="U10" i="11"/>
  <c r="U9" i="11" s="1"/>
  <c r="W10" i="11"/>
  <c r="W9" i="11" s="1"/>
  <c r="BJ77" i="11"/>
  <c r="K230" i="11"/>
  <c r="AP230" i="11"/>
  <c r="AP452" i="11"/>
  <c r="AC316" i="11"/>
  <c r="AC390" i="11"/>
  <c r="BG9" i="11"/>
  <c r="E10" i="17" s="1"/>
  <c r="E10" i="22" s="1"/>
  <c r="J10" i="11"/>
  <c r="J9" i="11" s="1"/>
  <c r="N10" i="11"/>
  <c r="N9" i="11" s="1"/>
  <c r="AN10" i="11"/>
  <c r="AN9" i="11" s="1"/>
  <c r="Z10" i="11"/>
  <c r="Z9" i="11" s="1"/>
  <c r="E11" i="17"/>
  <c r="E11" i="22" s="1"/>
  <c r="AZ86" i="11"/>
  <c r="BB86" i="11"/>
  <c r="AP87" i="11"/>
  <c r="AP86" i="11" s="1"/>
  <c r="H10" i="17" l="1"/>
  <c r="I10" i="22"/>
  <c r="K10" i="17"/>
  <c r="K10" i="22" s="1"/>
  <c r="H10" i="22"/>
  <c r="J10" i="17"/>
  <c r="J10" i="22" s="1"/>
  <c r="I23" i="22"/>
  <c r="K23" i="17"/>
  <c r="K23" i="22" s="1"/>
  <c r="R346" i="11"/>
  <c r="AX390" i="11"/>
  <c r="Q468" i="11"/>
  <c r="Q390" i="11" s="1"/>
  <c r="AX281" i="11"/>
  <c r="Q304" i="11"/>
  <c r="Q281" i="11" s="1"/>
  <c r="R52" i="11"/>
  <c r="AB108" i="11"/>
  <c r="AB107" i="11" s="1"/>
  <c r="Q52" i="11"/>
  <c r="R47" i="11"/>
  <c r="R263" i="11"/>
  <c r="AX108" i="11"/>
  <c r="R281" i="11"/>
  <c r="R59" i="11"/>
  <c r="R30" i="11"/>
  <c r="R90" i="11"/>
  <c r="R77" i="11" s="1"/>
  <c r="R38" i="11"/>
  <c r="R316" i="11"/>
  <c r="R351" i="11"/>
  <c r="AP90" i="11"/>
  <c r="R386" i="11"/>
  <c r="Q316" i="11"/>
  <c r="Q263" i="11"/>
  <c r="Q108" i="11"/>
  <c r="Q351" i="11"/>
  <c r="Q386" i="11"/>
  <c r="Q90" i="11"/>
  <c r="Q77" i="11" s="1"/>
  <c r="Q47" i="11"/>
  <c r="Q38" i="11"/>
  <c r="Q59" i="11"/>
  <c r="Q30" i="11"/>
  <c r="AP201" i="11"/>
  <c r="AH10" i="11"/>
  <c r="AH9" i="11" s="1"/>
  <c r="AH7" i="11" s="1"/>
  <c r="AC491" i="11"/>
  <c r="AF10" i="11"/>
  <c r="AF9" i="11" s="1"/>
  <c r="AF7" i="11" s="1"/>
  <c r="AP338" i="11"/>
  <c r="AD7" i="11"/>
  <c r="AP178" i="11"/>
  <c r="AP369" i="11"/>
  <c r="P350" i="11"/>
  <c r="P346" i="11" s="1"/>
  <c r="P42" i="11"/>
  <c r="P38" i="11" s="1"/>
  <c r="P51" i="11"/>
  <c r="P50" i="11" s="1"/>
  <c r="AP375" i="11"/>
  <c r="P60" i="11"/>
  <c r="P59" i="11" s="1"/>
  <c r="P388" i="11"/>
  <c r="P386" i="11" s="1"/>
  <c r="O386" i="11"/>
  <c r="P390" i="11"/>
  <c r="P281" i="11"/>
  <c r="P108" i="11"/>
  <c r="AA281" i="11"/>
  <c r="AP475" i="11"/>
  <c r="O351" i="11"/>
  <c r="AV281" i="11"/>
  <c r="F36" i="22" s="1"/>
  <c r="O304" i="11"/>
  <c r="O281" i="11" s="1"/>
  <c r="AV50" i="11"/>
  <c r="F22" i="22" s="1"/>
  <c r="O51" i="11"/>
  <c r="O50" i="11" s="1"/>
  <c r="AA386" i="11"/>
  <c r="AP357" i="11"/>
  <c r="AP216" i="11"/>
  <c r="AP381" i="11"/>
  <c r="AP368" i="11"/>
  <c r="P351" i="11"/>
  <c r="AP356" i="11"/>
  <c r="AV59" i="11"/>
  <c r="O60" i="11"/>
  <c r="O59" i="11" s="1"/>
  <c r="AP367" i="11"/>
  <c r="O108" i="11"/>
  <c r="O390" i="11"/>
  <c r="AV38" i="11"/>
  <c r="F16" i="22" s="1"/>
  <c r="O42" i="11"/>
  <c r="O38" i="11" s="1"/>
  <c r="AP366" i="11"/>
  <c r="AP304" i="11"/>
  <c r="AP175" i="11"/>
  <c r="AP176" i="11"/>
  <c r="AP173" i="11"/>
  <c r="AW50" i="11"/>
  <c r="AP353" i="11"/>
  <c r="AP378" i="11"/>
  <c r="AP219" i="11"/>
  <c r="AP377" i="11"/>
  <c r="AP215" i="11"/>
  <c r="AP379" i="11"/>
  <c r="AP373" i="11"/>
  <c r="AV351" i="11"/>
  <c r="F37" i="22" s="1"/>
  <c r="AV108" i="11"/>
  <c r="F31" i="22" s="1"/>
  <c r="AV390" i="11"/>
  <c r="AV386" i="11"/>
  <c r="F33" i="22" s="1"/>
  <c r="AU45" i="11"/>
  <c r="D21" i="17" s="1"/>
  <c r="D21" i="22" s="1"/>
  <c r="AP46" i="11"/>
  <c r="AP45" i="11" s="1"/>
  <c r="AP62" i="11"/>
  <c r="BH77" i="11"/>
  <c r="AP288" i="11"/>
  <c r="AP113" i="11"/>
  <c r="AY77" i="11"/>
  <c r="AP69" i="11"/>
  <c r="N59" i="11"/>
  <c r="AU95" i="11"/>
  <c r="AU77" i="11" s="1"/>
  <c r="D23" i="17" s="1"/>
  <c r="D23" i="22" s="1"/>
  <c r="AP73" i="11"/>
  <c r="Z59" i="11"/>
  <c r="Z29" i="11" s="1"/>
  <c r="AU59" i="11"/>
  <c r="N95" i="11"/>
  <c r="N77" i="11" s="1"/>
  <c r="AP97" i="11"/>
  <c r="AP95" i="11" s="1"/>
  <c r="L97" i="11"/>
  <c r="L95" i="11" s="1"/>
  <c r="L386" i="11"/>
  <c r="AU351" i="11"/>
  <c r="D37" i="17" s="1"/>
  <c r="D37" i="22" s="1"/>
  <c r="AR77" i="11"/>
  <c r="B23" i="17" s="1"/>
  <c r="B23" i="22" s="1"/>
  <c r="N351" i="11"/>
  <c r="AU386" i="11"/>
  <c r="D33" i="17" s="1"/>
  <c r="D33" i="22" s="1"/>
  <c r="N386" i="11"/>
  <c r="BB77" i="11"/>
  <c r="N316" i="11"/>
  <c r="N281" i="11"/>
  <c r="AU390" i="11"/>
  <c r="N390" i="11"/>
  <c r="Z108" i="11"/>
  <c r="M97" i="11"/>
  <c r="M95" i="11" s="1"/>
  <c r="M77" i="11" s="1"/>
  <c r="AT95" i="11"/>
  <c r="AT77" i="11" s="1"/>
  <c r="Z77" i="11"/>
  <c r="AN29" i="11"/>
  <c r="AU50" i="11"/>
  <c r="D22" i="17" s="1"/>
  <c r="D22" i="22" s="1"/>
  <c r="M68" i="10"/>
  <c r="U7" i="10"/>
  <c r="T7" i="10"/>
  <c r="Y7" i="10"/>
  <c r="Q7" i="10"/>
  <c r="AD7" i="10"/>
  <c r="J111" i="10"/>
  <c r="J68" i="10" s="1"/>
  <c r="R7" i="10"/>
  <c r="S68" i="10"/>
  <c r="K68" i="10"/>
  <c r="AP340" i="11"/>
  <c r="M316" i="11"/>
  <c r="AP51" i="11"/>
  <c r="AP50" i="11" s="1"/>
  <c r="AP285" i="11"/>
  <c r="AP468" i="11"/>
  <c r="AT316" i="11"/>
  <c r="AP60" i="11"/>
  <c r="AP354" i="11"/>
  <c r="AW59" i="11"/>
  <c r="F7" i="10"/>
  <c r="J218" i="10"/>
  <c r="H218" i="10"/>
  <c r="H68" i="10" s="1"/>
  <c r="I68" i="10"/>
  <c r="I7" i="10" s="1"/>
  <c r="V7" i="10"/>
  <c r="M23" i="10"/>
  <c r="M7" i="10" s="1"/>
  <c r="V59" i="11"/>
  <c r="V29" i="11" s="1"/>
  <c r="AP372" i="11"/>
  <c r="AS50" i="11"/>
  <c r="AQ38" i="11"/>
  <c r="L59" i="11"/>
  <c r="AT59" i="11"/>
  <c r="N7" i="10"/>
  <c r="X7" i="10"/>
  <c r="G68" i="10"/>
  <c r="AP362" i="11"/>
  <c r="V386" i="11"/>
  <c r="AT50" i="11"/>
  <c r="BH9" i="11"/>
  <c r="AP30" i="11"/>
  <c r="BW77" i="11"/>
  <c r="AT30" i="11"/>
  <c r="M351" i="11"/>
  <c r="AP317" i="11"/>
  <c r="AP376" i="11"/>
  <c r="T77" i="11"/>
  <c r="AE29" i="11"/>
  <c r="AS386" i="11"/>
  <c r="L90" i="11"/>
  <c r="AU316" i="11"/>
  <c r="D35" i="17" s="1"/>
  <c r="D35" i="22" s="1"/>
  <c r="AP333" i="11"/>
  <c r="N57" i="11"/>
  <c r="N56" i="11" s="1"/>
  <c r="AP57" i="11"/>
  <c r="AP56" i="11" s="1"/>
  <c r="BG29" i="11"/>
  <c r="E14" i="17" s="1"/>
  <c r="E14" i="22" s="1"/>
  <c r="L57" i="11"/>
  <c r="L56" i="11" s="1"/>
  <c r="BB29" i="11"/>
  <c r="C14" i="17" s="1"/>
  <c r="C14" i="22" s="1"/>
  <c r="AP352" i="11"/>
  <c r="AP179" i="11"/>
  <c r="AP172" i="11"/>
  <c r="AW108" i="11"/>
  <c r="AP214" i="11"/>
  <c r="AP309" i="11"/>
  <c r="K7" i="10"/>
  <c r="AP306" i="11"/>
  <c r="Z7" i="10"/>
  <c r="AW281" i="11"/>
  <c r="H23" i="10"/>
  <c r="W29" i="11"/>
  <c r="AT43" i="11"/>
  <c r="S7" i="10"/>
  <c r="AP374" i="11"/>
  <c r="L316" i="11"/>
  <c r="G47" i="10"/>
  <c r="G23" i="10" s="1"/>
  <c r="J47" i="10"/>
  <c r="J23" i="10" s="1"/>
  <c r="L23" i="10"/>
  <c r="L7" i="10" s="1"/>
  <c r="AP174" i="11"/>
  <c r="AP389" i="11"/>
  <c r="AW38" i="11"/>
  <c r="AB29" i="11"/>
  <c r="AP435" i="11"/>
  <c r="BV107" i="11"/>
  <c r="N159" i="11"/>
  <c r="N108" i="11" s="1"/>
  <c r="AP177" i="11"/>
  <c r="AE77" i="11"/>
  <c r="V281" i="11"/>
  <c r="V316" i="11"/>
  <c r="BD29" i="11"/>
  <c r="AP42" i="11"/>
  <c r="M263" i="11"/>
  <c r="L44" i="11"/>
  <c r="L43" i="11" s="1"/>
  <c r="AP355" i="11"/>
  <c r="AU108" i="11"/>
  <c r="D31" i="17" s="1"/>
  <c r="D31" i="22" s="1"/>
  <c r="BC29" i="11"/>
  <c r="AA351" i="11"/>
  <c r="Z316" i="11"/>
  <c r="Z351" i="11"/>
  <c r="L281" i="11"/>
  <c r="BF77" i="11"/>
  <c r="AA390" i="11"/>
  <c r="AP380" i="11"/>
  <c r="AW386" i="11"/>
  <c r="Y29" i="11"/>
  <c r="AP388" i="11"/>
  <c r="AA108" i="11"/>
  <c r="V351" i="11"/>
  <c r="AA77" i="11"/>
  <c r="BF29" i="11"/>
  <c r="BH29" i="11"/>
  <c r="AP365" i="11"/>
  <c r="U59" i="11"/>
  <c r="U29" i="11" s="1"/>
  <c r="AS316" i="11"/>
  <c r="BJ107" i="11"/>
  <c r="BJ7" i="11" s="1"/>
  <c r="BJ8" i="11" s="1"/>
  <c r="BC77" i="11"/>
  <c r="AP382" i="11"/>
  <c r="AZ29" i="11"/>
  <c r="T390" i="11"/>
  <c r="T107" i="11" s="1"/>
  <c r="AS77" i="11"/>
  <c r="V77" i="11"/>
  <c r="Z390" i="11"/>
  <c r="BG77" i="11"/>
  <c r="E23" i="17" s="1"/>
  <c r="E23" i="22" s="1"/>
  <c r="AW346" i="11"/>
  <c r="BB107" i="11"/>
  <c r="C30" i="17" s="1"/>
  <c r="C30" i="22" s="1"/>
  <c r="AS38" i="11"/>
  <c r="AP350" i="11"/>
  <c r="AP346" i="11" s="1"/>
  <c r="AS59" i="11"/>
  <c r="AQ59" i="11"/>
  <c r="AS263" i="11"/>
  <c r="AQ281" i="11"/>
  <c r="J390" i="11"/>
  <c r="J107" i="11" s="1"/>
  <c r="AP39" i="11"/>
  <c r="BW29" i="11"/>
  <c r="H14" i="22" s="1"/>
  <c r="V108" i="11"/>
  <c r="AP358" i="11"/>
  <c r="AR38" i="11"/>
  <c r="B16" i="17" s="1"/>
  <c r="B16" i="22" s="1"/>
  <c r="AS281" i="11"/>
  <c r="AT263" i="11"/>
  <c r="AW351" i="11"/>
  <c r="BG107" i="11"/>
  <c r="E30" i="17" s="1"/>
  <c r="E30" i="22" s="1"/>
  <c r="AW390" i="11"/>
  <c r="Z281" i="11"/>
  <c r="AS351" i="11"/>
  <c r="AP47" i="11"/>
  <c r="AP115" i="11"/>
  <c r="Z491" i="11"/>
  <c r="M281" i="11"/>
  <c r="J37" i="11"/>
  <c r="J30" i="11" s="1"/>
  <c r="J29" i="11" s="1"/>
  <c r="AQ30" i="11"/>
  <c r="AN77" i="11"/>
  <c r="AR108" i="11"/>
  <c r="B31" i="17" s="1"/>
  <c r="B31" i="22" s="1"/>
  <c r="BD107" i="11"/>
  <c r="AA491" i="11"/>
  <c r="AT390" i="11"/>
  <c r="V390" i="11"/>
  <c r="L390" i="11"/>
  <c r="T29" i="11"/>
  <c r="C11" i="17"/>
  <c r="C11" i="22" s="1"/>
  <c r="M53" i="11"/>
  <c r="M52" i="11" s="1"/>
  <c r="M29" i="11" s="1"/>
  <c r="AT52" i="11"/>
  <c r="L53" i="11"/>
  <c r="L52" i="11" s="1"/>
  <c r="AS52" i="11"/>
  <c r="AT281" i="11"/>
  <c r="AS390" i="11"/>
  <c r="M108" i="11"/>
  <c r="AP52" i="11"/>
  <c r="AS45" i="11"/>
  <c r="L46" i="11"/>
  <c r="L45" i="11" s="1"/>
  <c r="U77" i="11"/>
  <c r="M390" i="11"/>
  <c r="BI107" i="11"/>
  <c r="BI7" i="11" s="1"/>
  <c r="BI8" i="11" s="1"/>
  <c r="AB77" i="11"/>
  <c r="AA29" i="11"/>
  <c r="X29" i="11"/>
  <c r="S29" i="11"/>
  <c r="W491" i="11"/>
  <c r="AB491" i="11"/>
  <c r="AC29" i="11"/>
  <c r="AU281" i="11"/>
  <c r="D36" i="17" s="1"/>
  <c r="D36" i="22" s="1"/>
  <c r="AP312" i="11"/>
  <c r="AN491" i="11"/>
  <c r="AE491" i="11"/>
  <c r="K390" i="11"/>
  <c r="X491" i="11"/>
  <c r="V491" i="11"/>
  <c r="T491" i="11"/>
  <c r="R390" i="11"/>
  <c r="U491" i="11"/>
  <c r="R108" i="11"/>
  <c r="L380" i="11"/>
  <c r="L351" i="11" s="1"/>
  <c r="AP489" i="11"/>
  <c r="Y491" i="11"/>
  <c r="J491" i="11"/>
  <c r="BC107" i="11"/>
  <c r="BA107" i="11"/>
  <c r="BA7" i="11" s="1"/>
  <c r="BA8" i="11" s="1"/>
  <c r="BU7" i="11"/>
  <c r="BU8" i="11" s="1"/>
  <c r="S107" i="11"/>
  <c r="AC77" i="11"/>
  <c r="K77" i="11"/>
  <c r="BE7" i="11"/>
  <c r="BE8" i="11" s="1"/>
  <c r="K29" i="11"/>
  <c r="AQ390" i="11"/>
  <c r="X77" i="11"/>
  <c r="AT108" i="11"/>
  <c r="S77" i="11"/>
  <c r="AY29" i="11"/>
  <c r="J14" i="22" s="1"/>
  <c r="BH107" i="11"/>
  <c r="AT351" i="11"/>
  <c r="W77" i="11"/>
  <c r="L108" i="11"/>
  <c r="M387" i="11"/>
  <c r="M386" i="11" s="1"/>
  <c r="AT386" i="11"/>
  <c r="BK9" i="11"/>
  <c r="U107" i="11"/>
  <c r="Y77" i="11"/>
  <c r="AS108" i="11"/>
  <c r="AN107" i="11"/>
  <c r="AE107" i="11"/>
  <c r="BK107" i="11"/>
  <c r="X107" i="11"/>
  <c r="Y107" i="11"/>
  <c r="W107" i="11"/>
  <c r="K108" i="11"/>
  <c r="AZ107" i="11"/>
  <c r="BW107" i="11"/>
  <c r="H30" i="22" s="1"/>
  <c r="AY107" i="11"/>
  <c r="J30" i="22" s="1"/>
  <c r="BO7" i="11"/>
  <c r="BO8" i="11" s="1"/>
  <c r="H29" i="22"/>
  <c r="AZ77" i="11"/>
  <c r="AC107" i="11"/>
  <c r="H23" i="17" l="1"/>
  <c r="H23" i="22" s="1"/>
  <c r="J23" i="17"/>
  <c r="J23" i="22" s="1"/>
  <c r="AX107" i="11"/>
  <c r="AX7" i="11" s="1"/>
  <c r="R29" i="11"/>
  <c r="Q29" i="11"/>
  <c r="Q107" i="11"/>
  <c r="I30" i="22"/>
  <c r="BV7" i="11"/>
  <c r="U7" i="11"/>
  <c r="AV29" i="11"/>
  <c r="F14" i="22" s="1"/>
  <c r="P29" i="11"/>
  <c r="O29" i="11"/>
  <c r="P107" i="11"/>
  <c r="O107" i="11"/>
  <c r="AV107" i="11"/>
  <c r="F30" i="22" s="1"/>
  <c r="AU29" i="11"/>
  <c r="D14" i="17" s="1"/>
  <c r="D14" i="22" s="1"/>
  <c r="D29" i="17"/>
  <c r="D29" i="22" s="1"/>
  <c r="N29" i="11"/>
  <c r="AP59" i="11"/>
  <c r="L77" i="11"/>
  <c r="AP77" i="11"/>
  <c r="Z107" i="11"/>
  <c r="Z7" i="11" s="1"/>
  <c r="G7" i="10"/>
  <c r="H7" i="10"/>
  <c r="J7" i="10"/>
  <c r="AP316" i="11"/>
  <c r="AW29" i="11"/>
  <c r="AP386" i="11"/>
  <c r="AQ107" i="11"/>
  <c r="BF7" i="11"/>
  <c r="BF8" i="11" s="1"/>
  <c r="AT29" i="11"/>
  <c r="BD7" i="11"/>
  <c r="BD8" i="11" s="1"/>
  <c r="N107" i="11"/>
  <c r="AP281" i="11"/>
  <c r="AP38" i="11"/>
  <c r="AQ29" i="11"/>
  <c r="AP390" i="11"/>
  <c r="AP351" i="11"/>
  <c r="AA107" i="11"/>
  <c r="AA7" i="11" s="1"/>
  <c r="AR107" i="11"/>
  <c r="B30" i="17" s="1"/>
  <c r="B30" i="22" s="1"/>
  <c r="BC7" i="11"/>
  <c r="BC8" i="11" s="1"/>
  <c r="AR29" i="11"/>
  <c r="B14" i="17" s="1"/>
  <c r="B14" i="22" s="1"/>
  <c r="BG7" i="11"/>
  <c r="BG8" i="11" s="1"/>
  <c r="L29" i="11"/>
  <c r="V107" i="11"/>
  <c r="V7" i="11" s="1"/>
  <c r="AW107" i="11"/>
  <c r="AS29" i="11"/>
  <c r="M107" i="11"/>
  <c r="M7" i="11" s="1"/>
  <c r="AS107" i="11"/>
  <c r="AE7" i="11"/>
  <c r="AB7" i="11"/>
  <c r="AU107" i="11"/>
  <c r="AN7" i="11"/>
  <c r="K107" i="11"/>
  <c r="K7" i="11" s="1"/>
  <c r="R107" i="11"/>
  <c r="T7" i="11"/>
  <c r="L107" i="11"/>
  <c r="S7" i="11"/>
  <c r="BK7" i="11"/>
  <c r="BK8" i="11" s="1"/>
  <c r="AT107" i="11"/>
  <c r="Y7" i="11"/>
  <c r="J7" i="11"/>
  <c r="BH7" i="11"/>
  <c r="BH8" i="11" s="1"/>
  <c r="AC7" i="11"/>
  <c r="W7" i="11"/>
  <c r="X7" i="11"/>
  <c r="AZ7" i="11"/>
  <c r="AZ8" i="11" s="1"/>
  <c r="BW7" i="11"/>
  <c r="AY7" i="11"/>
  <c r="C23" i="17"/>
  <c r="C23" i="22" s="1"/>
  <c r="BB7" i="11"/>
  <c r="AY8" i="11" l="1"/>
  <c r="H7" i="17"/>
  <c r="H8" i="17" s="1"/>
  <c r="H8" i="22" s="1"/>
  <c r="AX8" i="11"/>
  <c r="F7" i="17"/>
  <c r="BV8" i="11"/>
  <c r="K7" i="17"/>
  <c r="BW8" i="11"/>
  <c r="J7" i="17"/>
  <c r="J8" i="17" s="1"/>
  <c r="J8" i="22" s="1"/>
  <c r="R7" i="11"/>
  <c r="Q7" i="11"/>
  <c r="BB8" i="11"/>
  <c r="P7" i="11"/>
  <c r="AV7" i="11"/>
  <c r="AV8" i="11" s="1"/>
  <c r="L7" i="11"/>
  <c r="O7" i="11"/>
  <c r="AP29" i="11"/>
  <c r="AU7" i="11"/>
  <c r="N7" i="11"/>
  <c r="AW7" i="11"/>
  <c r="AW8" i="11" s="1"/>
  <c r="AT7" i="11"/>
  <c r="AT8" i="11" s="1"/>
  <c r="AQ7" i="11"/>
  <c r="AQ8" i="11" s="1"/>
  <c r="AS7" i="11"/>
  <c r="AS8" i="11" s="1"/>
  <c r="I8" i="17"/>
  <c r="I8" i="22" s="1"/>
  <c r="AR7" i="11"/>
  <c r="AR8" i="11" s="1"/>
  <c r="E7" i="17"/>
  <c r="E8" i="17" s="1"/>
  <c r="E8" i="22" s="1"/>
  <c r="D30" i="17"/>
  <c r="D30" i="22" s="1"/>
  <c r="C7" i="17"/>
  <c r="C8" i="17" s="1"/>
  <c r="K8" i="17" l="1"/>
  <c r="K8" i="22" s="1"/>
  <c r="K7" i="22"/>
  <c r="N6" i="18"/>
  <c r="C8" i="22"/>
  <c r="AU8" i="11"/>
  <c r="M6" i="18"/>
  <c r="M12" i="18" s="1"/>
  <c r="M13" i="18" s="1"/>
  <c r="I7" i="22"/>
  <c r="F8" i="17"/>
  <c r="F8" i="22" s="1"/>
  <c r="H7" i="22"/>
  <c r="F6" i="18"/>
  <c r="C7" i="22"/>
  <c r="J6" i="18"/>
  <c r="E7" i="22"/>
  <c r="K6" i="18"/>
  <c r="J7" i="22"/>
  <c r="G6" i="18"/>
  <c r="G12" i="18" s="1"/>
  <c r="D7" i="17"/>
  <c r="D8" i="17" s="1"/>
  <c r="B7" i="17"/>
  <c r="B8" i="17" s="1"/>
  <c r="B8" i="22" s="1"/>
  <c r="N12" i="18" l="1"/>
  <c r="N13" i="18" s="1"/>
  <c r="N5" i="16"/>
  <c r="N7" i="18"/>
  <c r="D8" i="22"/>
  <c r="B7" i="22"/>
  <c r="C6" i="18"/>
  <c r="J5" i="16"/>
  <c r="J7" i="18"/>
  <c r="J12" i="18"/>
  <c r="J13" i="18" s="1"/>
  <c r="G5" i="16"/>
  <c r="G7" i="18"/>
  <c r="G13" i="18"/>
  <c r="F7" i="22"/>
  <c r="E6" i="18"/>
  <c r="K5" i="16"/>
  <c r="K7" i="18"/>
  <c r="K12" i="18"/>
  <c r="K13" i="18" s="1"/>
  <c r="F5" i="16"/>
  <c r="F7" i="18"/>
  <c r="F12" i="18"/>
  <c r="F13" i="18" s="1"/>
  <c r="D7" i="22"/>
  <c r="D6" i="18"/>
  <c r="M5" i="16"/>
  <c r="AP108" i="11"/>
  <c r="N6" i="16" l="1"/>
  <c r="N11" i="16"/>
  <c r="N12" i="16" s="1"/>
  <c r="M6" i="16"/>
  <c r="M11" i="16"/>
  <c r="M12" i="16" s="1"/>
  <c r="K6" i="16"/>
  <c r="K11" i="16"/>
  <c r="K12" i="16" s="1"/>
  <c r="J11" i="16"/>
  <c r="J12" i="16" s="1"/>
  <c r="J6" i="16"/>
  <c r="D5" i="16"/>
  <c r="D7" i="18"/>
  <c r="D12" i="18"/>
  <c r="D13" i="18" s="1"/>
  <c r="E5" i="16"/>
  <c r="E7" i="18"/>
  <c r="E12" i="18"/>
  <c r="E13" i="18" s="1"/>
  <c r="G6" i="16"/>
  <c r="G11" i="16"/>
  <c r="G12" i="16" s="1"/>
  <c r="C5" i="16"/>
  <c r="C6" i="16" s="1"/>
  <c r="C12" i="18"/>
  <c r="C13" i="18" s="1"/>
  <c r="C7" i="18"/>
  <c r="F6" i="16"/>
  <c r="F11" i="16"/>
  <c r="F12" i="16" s="1"/>
  <c r="C11" i="16" l="1"/>
  <c r="C12" i="16" s="1"/>
  <c r="D6" i="16"/>
  <c r="D11" i="16"/>
  <c r="D12" i="16" s="1"/>
  <c r="E6" i="16"/>
  <c r="E11" i="16"/>
  <c r="E12" i="16" s="1"/>
  <c r="M7" i="18"/>
  <c r="M11" i="18"/>
  <c r="M9" i="18"/>
  <c r="AP270" i="11"/>
  <c r="AP270" i="11" a="1"/>
  <c r="AP263" i="11"/>
  <c r="AP107" i="11"/>
  <c r="AP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tc={448C6BBB-2BAA-497D-B83E-F4ECF730FA41}</author>
  </authors>
  <commentList>
    <comment ref="A10" authorId="0" shapeId="0" xr:uid="{DF63C5A9-EB04-4532-A35D-4C8D4667A456}">
      <text>
        <r>
          <rPr>
            <sz val="9"/>
            <color indexed="81"/>
            <rFont val="Tahoma"/>
            <family val="2"/>
            <charset val="186"/>
          </rPr>
          <t>MK Noteikumi 895 2021.g. 21.decembrī "Grozījumi Ministru kabineta 2014. gada 21. janvāra noteikumos Nr. 50 "Elektroenerģijas tirdzniecības un lietošanas noteikumi"" (valsts 01.12.2021.-30.04.2022. kompensēs 50% no elektroenerģijas sistēmas pakalpojuma izmaksām elektroenerģijas galalietotājiem - 77,9 milj. eiro) https://tapportals.mk.gov.lv/annotation/c1d88e11-9b04-4d51-ba5f-3aae8ffdecfe
MK Noteikumi 74 2022.g. 25.janvārī "Grozījumi Ministru kabineta 2014. gada 21. janvāra noteikumos Nr. 50 "Elektroenerģijas tirdzniecības un lietošanas noteikumi"" (valsts 01.01.2022.-30.04.2022. kompensēs 100% no elektroenerģijas sistēmas pakalpojuma izmaksām elektroenerģijas galalietotājiem - 63,5 milj. eiro) https://tapportals.mk.gov.lv/annotation/0c8456cc-81e7-4420-97da-45cd306cf760
29.01.2022 "Energoresursu cenu ārkārtēja pieauguma samazinājuma pasākumu likums" https://titania.saeima.lv/LIVS13/SaeimaLIVS13.nsf/0/2C90BD745B1FF02BC22587D7002DD3D3?OpenDocument</t>
        </r>
      </text>
    </comment>
    <comment ref="A11" authorId="0" shapeId="0" xr:uid="{A6D3BCE9-FEBD-4BE5-AF37-5CF87B3CFE84}">
      <text>
        <r>
          <rPr>
            <sz val="9"/>
            <color indexed="81"/>
            <rFont val="Tahoma"/>
            <family val="2"/>
            <charset val="186"/>
          </rPr>
          <t xml:space="preserve">MK Noteikumi Nr.690 2021.g. 19.oktobrī "Grozījumi Ministru kabineta 2021. gada 1. jūnija noteikumos Nr. 345 "Aizsargātā lietotāja tirdzniecības pakalpojuma noteikumi"" https://tapportals.mk.gov.lv/annotation/c7795a6d-50c9-495f-acd4-974aca833e3c </t>
        </r>
      </text>
    </comment>
    <comment ref="A12" authorId="0" shapeId="0" xr:uid="{8654CDF5-7D78-4744-AED4-8B1B4F404527}">
      <text>
        <r>
          <rPr>
            <sz val="9"/>
            <color indexed="81"/>
            <rFont val="Tahoma"/>
            <family val="2"/>
            <charset val="186"/>
          </rPr>
          <t>MK 30.11.2021 lemtais par OIK samazināšanu, ietekme 2022.g. 18,4 milj. eiro
Atbilstoši MK 30.08.2022 atbalstītajā kon.c ziņojumā ietvertajam risinājumam, no 2022. gada 1. septembra līdz 2025. gada 31. decembrim samazināta elektroenerģijas OIK vidējā likme uz 0 eiro/MWh (līdz šim bija 7,55 eiro/MWh), obligātā iepirkuma atbalsta izmaksas sedzot no AS “Latvenergo” dividenžu ieņēmumiem.</t>
        </r>
      </text>
    </comment>
    <comment ref="F12" authorId="0" shapeId="0" xr:uid="{7B12890E-087D-4820-9E95-E53DE3655DCE}">
      <text>
        <r>
          <rPr>
            <sz val="9"/>
            <color indexed="81"/>
            <rFont val="Tahoma"/>
            <family val="2"/>
            <charset val="186"/>
          </rPr>
          <t>FM aprēķini no EPT saimnieciskās darbības pārskata</t>
        </r>
      </text>
    </comment>
    <comment ref="A13" authorId="0" shapeId="0" xr:uid="{21542E6A-0C3C-4564-84F8-615705D73864}">
      <text>
        <r>
          <rPr>
            <sz val="9"/>
            <color indexed="81"/>
            <rFont val="Tahoma"/>
            <family val="2"/>
            <charset val="186"/>
          </rPr>
          <t>29.01.2022 "Energoresursu cenu ārkārtēja pieauguma samazinājuma pasākumu likums" https://titania.saeima.lv/LIVS13/SaeimaLIVS13.nsf/0/2C90BD745B1FF02BC22587D7002DD3D3?OpenDocument</t>
        </r>
      </text>
    </comment>
    <comment ref="A14" authorId="0" shapeId="0" xr:uid="{76801EE2-5D57-4D45-A80C-1DA33B78EE20}">
      <text>
        <r>
          <rPr>
            <sz val="9"/>
            <color indexed="81"/>
            <rFont val="Tahoma"/>
            <family val="2"/>
            <charset val="186"/>
          </rPr>
          <t>29.01.2022 "Energoresursu cenu ārkārtēja pieauguma samazinājuma pasākumu likums" https://titania.saeima.lv/LIVS13/SaeimaLIVS13.nsf/0/2C90BD745B1FF02BC22587D7002DD3D3?OpenDocument</t>
        </r>
      </text>
    </comment>
    <comment ref="A15" authorId="0" shapeId="0" xr:uid="{D9C2724B-29A2-48CC-BF66-CD65F80335F7}">
      <text>
        <r>
          <rPr>
            <sz val="9"/>
            <color indexed="81"/>
            <rFont val="Tahoma"/>
            <family val="2"/>
            <charset val="186"/>
          </rPr>
          <t>MK Noteikumi 74 2022.g. 25.decembrī "Grozījumi Ministru kabineta 2014. gada 21. janvāra noteikumos Nr. 50 "Elektroenerģijas tirdzniecības un lietošanas noteikumi"" (valsts 01.01.2022.-30.04.2022. kompensēs daļējo OIK galalietotājiem - 21,2 milj. eiro) https://tapportals.mk.gov.lv/annotation/0c8456cc-81e7-4420-97da-45cd306cf760
29.01.2022 "Energoresursu cenu ārkārtēja pieauguma samazinājuma pasākumu likums" https://titania.saeima.lv/LIVS13/SaeimaLIVS13.nsf/0/2C90BD745B1FF02BC22587D7002DD3D3?OpenDocument</t>
        </r>
      </text>
    </comment>
    <comment ref="F15" authorId="0" shapeId="0" xr:uid="{3706DE24-D156-4B28-8875-EA39F0360A79}">
      <text>
        <r>
          <rPr>
            <sz val="9"/>
            <color indexed="81"/>
            <rFont val="Tahoma"/>
            <family val="2"/>
            <charset val="186"/>
          </rPr>
          <t>saņemtā valsts kompensācija par negūtajiem OIK ieņēmumiem (01.01. – 30.04.2022. valsts atbalsta periodā, bez PVN - EM sniegtā informācija 21.02.2023</t>
        </r>
      </text>
    </comment>
    <comment ref="A17" authorId="0" shapeId="0" xr:uid="{27BDED37-A193-429B-9AE3-3317C7BB99DC}">
      <text>
        <r>
          <rPr>
            <sz val="9"/>
            <color indexed="81"/>
            <rFont val="Tahoma"/>
            <family val="2"/>
            <charset val="186"/>
          </rPr>
          <t>09.08.2022. MK Grozījumi Energoresursu cenu ārkārtēja pieauguma samazinājuma pasākumu likumā https://titania.saeima.lv/LIVS13/SaeimaLIVS13.nsf/0/DE6523C51F191DE9C225889A001E7122?OpenDocument
Atbalsts caur pašvaldību</t>
        </r>
      </text>
    </comment>
    <comment ref="A18" authorId="0" shapeId="0" xr:uid="{97BB8BC0-B5B0-4F2D-8AE0-ABA0E4035B90}">
      <text>
        <r>
          <rPr>
            <sz val="9"/>
            <color indexed="81"/>
            <rFont val="Tahoma"/>
            <family val="2"/>
            <charset val="186"/>
          </rPr>
          <t>09.08.2022. MK Grozījumi Energoresursu cenu ārkārtēja pieauguma samazinājuma pasākumu likumā https://titania.saeima.lv/LIVS13/SaeimaLIVS13.nsf/0/DE6523C51F191DE9C225889A001E7122?OpenDocument</t>
        </r>
      </text>
    </comment>
    <comment ref="A19" authorId="0" shapeId="0" xr:uid="{B836A843-515F-4583-8A39-1C88A22934F3}">
      <text>
        <r>
          <rPr>
            <sz val="9"/>
            <color indexed="81"/>
            <rFont val="Tahoma"/>
            <family val="2"/>
            <charset val="186"/>
          </rPr>
          <t>09.08.2022. MK Grozījumi Energoresursu cenu ārkārtēja pieauguma samazinājuma pasākumu likumā https://titania.saeima.lv/LIVS13/SaeimaLIVS13.nsf/0/DE6523C51F191DE9C225889A001E7122?OpenDocument</t>
        </r>
      </text>
    </comment>
    <comment ref="A20" authorId="0" shapeId="0" xr:uid="{AA8F6E47-2D5B-4E36-BC7E-B0A701C90762}">
      <text>
        <r>
          <rPr>
            <sz val="9"/>
            <color indexed="81"/>
            <rFont val="Tahoma"/>
            <family val="2"/>
            <charset val="186"/>
          </rPr>
          <t>09.08.2022. MK Grozījumi Energoresursu cenu ārkārtēja pieauguma samazinājuma pasākumu likumā https://titania.saeima.lv/LIVS13/SaeimaLIVS13.nsf/0/DE6523C51F191DE9C225889A001E7122?OpenDocument
Atbalsts caur pašvaldību</t>
        </r>
      </text>
    </comment>
    <comment ref="A21" authorId="0" shapeId="0" xr:uid="{A12A7CAB-B116-42C1-AB8D-5B94BFCAA7E7}">
      <text>
        <r>
          <rPr>
            <sz val="9"/>
            <color indexed="81"/>
            <rFont val="Tahoma"/>
            <family val="2"/>
            <charset val="186"/>
          </rPr>
          <t>09.08.2022. MK Grozījumi Energoresursu cenu ārkārtēja pieauguma samazinājuma pasākumu likumā https://titania.saeima.lv/LIVS13/SaeimaLIVS13.nsf/0/DE6523C51F191DE9C225889A001E7122?OpenDocument
Atbalsts caur pašvaldību</t>
        </r>
      </text>
    </comment>
    <comment ref="A22" authorId="0" shapeId="0" xr:uid="{CCE2487D-7497-4C0A-B5C7-EA6CF6109B11}">
      <text>
        <r>
          <rPr>
            <sz val="9"/>
            <color indexed="81"/>
            <rFont val="Tahoma"/>
            <family val="2"/>
            <charset val="186"/>
          </rPr>
          <t>09.08.2022. MK Grozījumi Energoresursu cenu ārkārtēja pieauguma samazinājuma pasākumu likumā https://titania.saeima.lv/LIVS13/SaeimaLIVS13.nsf/0/DE6523C51F191DE9C225889A001E7122?OpenDocument
Atbalsts caur pašvaldību</t>
        </r>
      </text>
    </comment>
    <comment ref="A23" authorId="0" shapeId="0" xr:uid="{9AB805B8-7A1A-41EC-84F9-B2236B320622}">
      <text>
        <r>
          <rPr>
            <sz val="9"/>
            <color indexed="81"/>
            <rFont val="Tahoma"/>
            <family val="2"/>
            <charset val="186"/>
          </rPr>
          <t>09.08.2022. MK Grozījumi Energoresursu cenu ārkārtēja pieauguma samazinājuma pasākumu likumā https://titania.saeima.lv/LIVS13/SaeimaLIVS13.nsf/0/DE6523C51F191DE9C225889A001E7122?OpenDocument
Atbalsts caur pašvaldību</t>
        </r>
      </text>
    </comment>
    <comment ref="A26" authorId="0" shapeId="0" xr:uid="{965DB355-50CD-42E8-B4BD-316528002615}">
      <text>
        <r>
          <rPr>
            <sz val="9"/>
            <color indexed="81"/>
            <rFont val="Tahoma"/>
            <family val="2"/>
            <charset val="186"/>
          </rPr>
          <t>23.08.2022. MK Grozījumi Energoresursu cenu ārkārtēja pieauguma samazinājuma pasākumu likumā https://titania.saeima.lv/LIVS13/SaeimaLIVS13.nsf/0/8BFCD3FF41A2A008C22588A8002C4B86?OpenDocument</t>
        </r>
      </text>
    </comment>
    <comment ref="A27" authorId="0" shapeId="0" xr:uid="{8B415CE0-152C-41CD-B7FC-2EEA3F511E41}">
      <text>
        <r>
          <rPr>
            <sz val="9"/>
            <color indexed="81"/>
            <rFont val="Tahoma"/>
            <family val="2"/>
            <charset val="186"/>
          </rPr>
          <t>27.09.2022. MK Grozījumi Energoresursu cenu ārkārtēja pieauguma samazinājuma pasākumu likumā https://titania.saeima.lv/LIVS13/SaeimaLIVS13.nsf/0/8F91340EEA8C42C8C22588CB004E056B?OpenDocument</t>
        </r>
      </text>
    </comment>
    <comment ref="A28" authorId="0" shapeId="0" xr:uid="{996CBB7F-67E3-4C08-BB83-33A235EA9D9C}">
      <text>
        <r>
          <rPr>
            <sz val="9"/>
            <color indexed="81"/>
            <rFont val="Tahoma"/>
            <family val="2"/>
            <charset val="186"/>
          </rPr>
          <t>Saeimas 08.12.2022 lēmums https://titania.saeima.lv/LIVS14/SaeimaLIVS14.nsf/webSasaiste?OpenView&amp;restricttocategory=58/Lp14</t>
        </r>
      </text>
    </comment>
    <comment ref="A29" authorId="0" shapeId="0" xr:uid="{9FF77A82-E501-4604-8581-C6A51140876F}">
      <text>
        <r>
          <rPr>
            <sz val="9"/>
            <color indexed="81"/>
            <rFont val="Tahoma"/>
            <family val="2"/>
            <charset val="186"/>
          </rPr>
          <t>27.09.2022. MK Grozījumi Energoresursu cenu ārkārtēja pieauguma samazinājuma pasākumu likumā https://titania.saeima.lv/LIVS13/SaeimaLIVS13.nsf/0/8F91340EEA8C42C8C22588CB004E056B?OpenDocument</t>
        </r>
      </text>
    </comment>
    <comment ref="A30" authorId="0" shapeId="0" xr:uid="{A077B1F3-9E3E-43A9-9B69-C28C6973305D}">
      <text>
        <r>
          <rPr>
            <sz val="9"/>
            <color indexed="81"/>
            <rFont val="Tahoma"/>
            <family val="2"/>
            <charset val="186"/>
          </rPr>
          <t>27.09.2022. MK Grozījumi Energoresursu cenu ārkārtēja pieauguma samazinājuma pasākumu likumā https://titania.saeima.lv/LIVS13/SaeimaLIVS13.nsf/0/8F91340EEA8C42C8C22588CB004E056B?OpenDocument</t>
        </r>
      </text>
    </comment>
    <comment ref="A31" authorId="0" shapeId="0" xr:uid="{F85CD434-D8A6-4AD7-87CE-DFB1A1A8E3EF}">
      <text>
        <r>
          <rPr>
            <sz val="9"/>
            <color indexed="81"/>
            <rFont val="Tahoma"/>
            <family val="2"/>
            <charset val="186"/>
          </rPr>
          <t>27.09.2022. MK Grozījumi Energoresursu cenu ārkārtēja pieauguma samazinājuma pasākumu likumā https://titania.saeima.lv/LIVS13/SaeimaLIVS13.nsf/0/8F91340EEA8C42C8C22588CB004E056B?OpenDocument</t>
        </r>
      </text>
    </comment>
    <comment ref="D34" authorId="1" shapeId="0" xr:uid="{448C6BBB-2BAA-497D-B83E-F4ECF730FA41}">
      <text>
        <t>[Threaded comment]
Your version of Excel allows you to read this threaded comment; however, any edits to it will get removed if the file is opened in a newer version of Excel. Learn more: https://go.microsoft.com/fwlink/?linkid=870924
Comment:
    pabalsta fin. līdzekļi 2022.g. 20,6 mln euro sadalās šādi:  covid19 atbasta mērķim 6,5 mln euro un energo atbalsta mērķa grupām 14,1 mln euro</t>
      </text>
    </comment>
    <comment ref="A35" authorId="0" shapeId="0" xr:uid="{B31D9E79-1D14-4349-B163-3C5DDE61E4D6}">
      <text>
        <r>
          <rPr>
            <sz val="9"/>
            <color indexed="81"/>
            <rFont val="Tahoma"/>
            <family val="2"/>
            <charset val="186"/>
          </rPr>
          <t>29.01.2022 "Energoresursu cenu ārkārtēja pieauguma samazinājuma pasākumu likums" https://titania.saeima.lv/LIVS13/SaeimaLIVS13.nsf/0/2C90BD745B1FF02BC22587D7002DD3D3?OpenDocument</t>
        </r>
      </text>
    </comment>
    <comment ref="A36" authorId="0" shapeId="0" xr:uid="{CCFCB0E3-FA42-4FF7-8995-AC70501674AF}">
      <text>
        <r>
          <rPr>
            <sz val="9"/>
            <color indexed="81"/>
            <rFont val="Tahoma"/>
            <family val="2"/>
            <charset val="186"/>
          </rPr>
          <t>29.01.2022 "Energoresursu cenu ārkārtēja pieauguma samazinājuma pasākumu likums" https://titania.saeima.lv/LIVS13/SaeimaLIVS13.nsf/0/2C90BD745B1FF02BC22587D7002DD3D3?OpenDocument
https://tapportals.mk.gov.lv/structuralizer/data/nodes/dec978c7-fdac-4d31-a48b-69a32d7acd26/preview</t>
        </r>
      </text>
    </comment>
    <comment ref="A37" authorId="0" shapeId="0" xr:uid="{89D40165-5386-4D4C-937F-6970EEE34138}">
      <text>
        <r>
          <rPr>
            <sz val="9"/>
            <color indexed="81"/>
            <rFont val="Tahoma"/>
            <family val="2"/>
            <charset val="186"/>
          </rPr>
          <t>29.01.2022 "Energoresursu cenu ārkārtēja pieauguma samazinājuma pasākumu likums" https://titania.saeima.lv/LIVS13/SaeimaLIVS13.nsf/0/2C90BD745B1FF02BC22587D7002DD3D3?OpenDocument</t>
        </r>
      </text>
    </comment>
    <comment ref="H39" authorId="0" shapeId="0" xr:uid="{E55E8AFA-799F-4CEB-B6D4-C8199BBFED7D}">
      <text>
        <r>
          <rPr>
            <sz val="9"/>
            <color indexed="81"/>
            <rFont val="Tahoma"/>
            <family val="2"/>
            <charset val="186"/>
          </rPr>
          <t>LM dati līdz 26.02.2023</t>
        </r>
      </text>
    </comment>
    <comment ref="A42" authorId="0" shapeId="0" xr:uid="{29760D6C-772D-4C76-A100-757259985F63}">
      <text>
        <r>
          <rPr>
            <sz val="9"/>
            <color indexed="81"/>
            <rFont val="Tahoma"/>
            <family val="2"/>
            <charset val="186"/>
          </rPr>
          <t>09.08.2022. MK Grozījumi Energoresursu cenu ārkārtēja pieauguma samazinājuma pasākumu likumā https://titania.saeima.lv/LIVS13/SaeimaLIVS13.nsf/0/DE6523C51F191DE9C225889A001E7122?OpenDocument</t>
        </r>
      </text>
    </comment>
    <comment ref="H42" authorId="0" shapeId="0" xr:uid="{51A6274C-8B32-4E90-ADB7-613224B8925F}">
      <text>
        <r>
          <rPr>
            <sz val="9"/>
            <color indexed="81"/>
            <rFont val="Tahoma"/>
            <family val="2"/>
            <charset val="186"/>
          </rPr>
          <t>LM dati līdz 26.02.2023</t>
        </r>
      </text>
    </comment>
    <comment ref="A43" authorId="0" shapeId="0" xr:uid="{40B009EF-FA09-4486-BFBF-455243D45C96}">
      <text>
        <r>
          <rPr>
            <sz val="9"/>
            <color indexed="81"/>
            <rFont val="Tahoma"/>
            <family val="2"/>
            <charset val="186"/>
          </rPr>
          <t>09.08.2022. MK Grozījumi Energoresursu cenu ārkārtēja pieauguma samazinājuma pasākumu likumā https://titania.saeima.lv/LIVS13/SaeimaLIVS13.nsf/0/DE6523C51F191DE9C225889A001E7122?OpenDocument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tc={E8216232-E468-4F7C-9C9B-74358EE11FB4}</author>
  </authors>
  <commentList>
    <comment ref="D34" authorId="0" shapeId="0" xr:uid="{E8216232-E468-4F7C-9C9B-74358EE11FB4}">
      <text>
        <t>[Threaded comment]
Your version of Excel allows you to read this threaded comment; however, any edits to it will get removed if the file is opened in a newer version of Excel. Learn more: https://go.microsoft.com/fwlink/?linkid=870924
Comment:
    this benefit in 2022 amount 20,6 mln euro and is split to covid19 support (6,5 mln) and energo support targets 14,1 mln)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tc={1AB57D22-1B3B-4654-9EFF-A660B440E049}</author>
  </authors>
  <commentList>
    <comment ref="BN28" authorId="0" shapeId="0" xr:uid="{5221EB37-9856-4D04-98A1-7804D063BA48}">
      <text>
        <r>
          <rPr>
            <b/>
            <sz val="9"/>
            <color indexed="81"/>
            <rFont val="Tahoma"/>
            <family val="2"/>
            <charset val="186"/>
          </rPr>
          <t>Author:</t>
        </r>
        <r>
          <rPr>
            <sz val="9"/>
            <color indexed="81"/>
            <rFont val="Tahoma"/>
            <family val="2"/>
            <charset val="186"/>
          </rPr>
          <t xml:space="preserve">
Saglabāts plānotajā apmērā. NAD pēc fakta novērtēt nevar.</t>
        </r>
      </text>
    </comment>
    <comment ref="BD41" authorId="0" shapeId="0" xr:uid="{00000000-0006-0000-0000-000001000000}">
      <text>
        <r>
          <rPr>
            <b/>
            <sz val="9"/>
            <color indexed="81"/>
            <rFont val="Tahoma"/>
            <family val="2"/>
            <charset val="186"/>
          </rPr>
          <t>Author:</t>
        </r>
        <r>
          <rPr>
            <sz val="9"/>
            <color indexed="81"/>
            <rFont val="Tahoma"/>
            <family val="2"/>
            <charset val="186"/>
          </rPr>
          <t xml:space="preserve">
Vērtējums par iespējamo izpildi, ņemot vērā VID datus līdz 14.03.2021</t>
        </r>
      </text>
    </comment>
    <comment ref="BC49" authorId="0" shapeId="0" xr:uid="{00000000-0006-0000-0000-000002000000}">
      <text>
        <r>
          <rPr>
            <b/>
            <sz val="9"/>
            <color indexed="81"/>
            <rFont val="Tahoma"/>
            <family val="2"/>
            <charset val="186"/>
          </rPr>
          <t>Author:</t>
        </r>
        <r>
          <rPr>
            <sz val="9"/>
            <color indexed="81"/>
            <rFont val="Tahoma"/>
            <family val="2"/>
            <charset val="186"/>
          </rPr>
          <t xml:space="preserve">
SB izdevumu daļa, kas no LNG vēl nav piešķirta</t>
        </r>
      </text>
    </comment>
    <comment ref="BD49" authorId="0" shapeId="0" xr:uid="{00000000-0006-0000-0000-000003000000}">
      <text>
        <r>
          <rPr>
            <b/>
            <sz val="9"/>
            <color indexed="81"/>
            <rFont val="Tahoma"/>
            <family val="2"/>
            <charset val="186"/>
          </rPr>
          <t>Author:</t>
        </r>
        <r>
          <rPr>
            <sz val="9"/>
            <color indexed="81"/>
            <rFont val="Tahoma"/>
            <family val="2"/>
            <charset val="186"/>
          </rPr>
          <t xml:space="preserve">
SB izdevumu daļa, kas no LNG vēl nav piešķirta</t>
        </r>
      </text>
    </comment>
    <comment ref="BD53" authorId="0" shapeId="0" xr:uid="{00000000-0006-0000-0000-000004000000}">
      <text>
        <r>
          <rPr>
            <b/>
            <sz val="9"/>
            <color indexed="81"/>
            <rFont val="Tahoma"/>
            <family val="2"/>
            <charset val="186"/>
          </rPr>
          <t>Author:</t>
        </r>
        <r>
          <rPr>
            <sz val="9"/>
            <color indexed="81"/>
            <rFont val="Tahoma"/>
            <family val="2"/>
            <charset val="186"/>
          </rPr>
          <t xml:space="preserve">
No LNG pārdalītā daļa</t>
        </r>
      </text>
    </comment>
    <comment ref="BH75" authorId="1" shapeId="0" xr:uid="{1AB57D22-1B3B-4654-9EFF-A660B440E049}">
      <text>
        <t>[Threaded comment]
Your version of Excel allows you to read this threaded comment; however, any edits to it will get removed if the file is opened in a newer version of Excel. Learn more: https://go.microsoft.com/fwlink/?linkid=870924
Comment:
    precizēts plāns, jo šis pabalsts sadalās starp c19 mērķi (6,19milj.) un energo (14,06 milj.)</t>
      </text>
    </comment>
    <comment ref="AV79" authorId="0" shapeId="0" xr:uid="{5EB5114D-0484-4A7A-AD7E-75617A0F7D50}">
      <text>
        <r>
          <rPr>
            <b/>
            <sz val="9"/>
            <color indexed="81"/>
            <rFont val="Tahoma"/>
            <family val="2"/>
            <charset val="186"/>
          </rPr>
          <t>Author:</t>
        </r>
        <r>
          <rPr>
            <sz val="9"/>
            <color indexed="81"/>
            <rFont val="Tahoma"/>
            <family val="2"/>
            <charset val="186"/>
          </rPr>
          <t xml:space="preserve">
ALTUM prognoze 2022.gadam</t>
        </r>
      </text>
    </comment>
    <comment ref="AW79" authorId="0" shapeId="0" xr:uid="{00000000-0006-0000-0000-000005000000}">
      <text>
        <r>
          <rPr>
            <b/>
            <sz val="9"/>
            <color indexed="81"/>
            <rFont val="Tahoma"/>
            <family val="2"/>
            <charset val="186"/>
          </rPr>
          <t>Author:</t>
        </r>
        <r>
          <rPr>
            <sz val="9"/>
            <color indexed="81"/>
            <rFont val="Tahoma"/>
            <family val="2"/>
            <charset val="186"/>
          </rPr>
          <t xml:space="preserve">
ALTUM prognoze 2022.gadam</t>
        </r>
      </text>
    </comment>
    <comment ref="AV81" authorId="0" shapeId="0" xr:uid="{345CB3CB-80F3-45CF-97C0-758CE669D8B1}">
      <text>
        <r>
          <rPr>
            <b/>
            <sz val="9"/>
            <color indexed="81"/>
            <rFont val="Tahoma"/>
            <family val="2"/>
            <charset val="186"/>
          </rPr>
          <t>Author:</t>
        </r>
        <r>
          <rPr>
            <sz val="9"/>
            <color indexed="81"/>
            <rFont val="Tahoma"/>
            <family val="2"/>
            <charset val="186"/>
          </rPr>
          <t xml:space="preserve">
ALTUM prognoze 2022.gadam</t>
        </r>
      </text>
    </comment>
    <comment ref="AW81" authorId="0" shapeId="0" xr:uid="{00000000-0006-0000-0000-000006000000}">
      <text>
        <r>
          <rPr>
            <b/>
            <sz val="9"/>
            <color indexed="81"/>
            <rFont val="Tahoma"/>
            <family val="2"/>
            <charset val="186"/>
          </rPr>
          <t>Author:</t>
        </r>
        <r>
          <rPr>
            <sz val="9"/>
            <color indexed="81"/>
            <rFont val="Tahoma"/>
            <family val="2"/>
            <charset val="186"/>
          </rPr>
          <t xml:space="preserve">
ALTUM prognoze 2022.gadam</t>
        </r>
      </text>
    </comment>
    <comment ref="AX81" authorId="0" shapeId="0" xr:uid="{8D319AEB-8208-4F30-9844-AC61D3AC3403}">
      <text>
        <r>
          <rPr>
            <b/>
            <sz val="9"/>
            <color indexed="81"/>
            <rFont val="Tahoma"/>
            <family val="2"/>
            <charset val="186"/>
          </rPr>
          <t>Author:</t>
        </r>
        <r>
          <rPr>
            <sz val="9"/>
            <color indexed="81"/>
            <rFont val="Tahoma"/>
            <family val="2"/>
            <charset val="186"/>
          </rPr>
          <t xml:space="preserve">
ALTUM prognoze 2022.gadam</t>
        </r>
      </text>
    </comment>
    <comment ref="AV85" authorId="0" shapeId="0" xr:uid="{383BFD65-158F-4679-B808-56783E4BCAA6}">
      <text>
        <r>
          <rPr>
            <b/>
            <sz val="9"/>
            <color indexed="81"/>
            <rFont val="Tahoma"/>
            <family val="2"/>
            <charset val="186"/>
          </rPr>
          <t>Author:</t>
        </r>
        <r>
          <rPr>
            <sz val="9"/>
            <color indexed="81"/>
            <rFont val="Tahoma"/>
            <family val="2"/>
            <charset val="186"/>
          </rPr>
          <t xml:space="preserve">
ALTUM prognoze 2022.gadam</t>
        </r>
      </text>
    </comment>
    <comment ref="AW85" authorId="0" shapeId="0" xr:uid="{00000000-0006-0000-0000-000007000000}">
      <text>
        <r>
          <rPr>
            <b/>
            <sz val="9"/>
            <color indexed="81"/>
            <rFont val="Tahoma"/>
            <family val="2"/>
            <charset val="186"/>
          </rPr>
          <t>Author:</t>
        </r>
        <r>
          <rPr>
            <sz val="9"/>
            <color indexed="81"/>
            <rFont val="Tahoma"/>
            <family val="2"/>
            <charset val="186"/>
          </rPr>
          <t xml:space="preserve">
ALTUM prognoze 2022.gadam</t>
        </r>
      </text>
    </comment>
    <comment ref="AS87" authorId="0" shapeId="0" xr:uid="{00000000-0006-0000-0000-000008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ALTUM prognoze 7,5 milj. eiro 2021.gadam</t>
        </r>
      </text>
    </comment>
    <comment ref="AV89" authorId="0" shapeId="0" xr:uid="{1C36BE13-03C5-4ACF-92FA-2ECF66E3EB64}">
      <text>
        <r>
          <rPr>
            <b/>
            <sz val="9"/>
            <color indexed="81"/>
            <rFont val="Tahoma"/>
            <family val="2"/>
            <charset val="186"/>
          </rPr>
          <t>Author:</t>
        </r>
        <r>
          <rPr>
            <sz val="9"/>
            <color indexed="81"/>
            <rFont val="Tahoma"/>
            <family val="2"/>
            <charset val="186"/>
          </rPr>
          <t xml:space="preserve">
ALTUM prognoze 2022.gadam</t>
        </r>
      </text>
    </comment>
    <comment ref="AW89" authorId="0" shapeId="0" xr:uid="{00000000-0006-0000-0000-000009000000}">
      <text>
        <r>
          <rPr>
            <b/>
            <sz val="9"/>
            <color indexed="81"/>
            <rFont val="Tahoma"/>
            <family val="2"/>
            <charset val="186"/>
          </rPr>
          <t>Author:</t>
        </r>
        <r>
          <rPr>
            <sz val="9"/>
            <color indexed="81"/>
            <rFont val="Tahoma"/>
            <family val="2"/>
            <charset val="186"/>
          </rPr>
          <t xml:space="preserve">
ALTUM prognoze 2022.gadam</t>
        </r>
      </text>
    </comment>
    <comment ref="AX89" authorId="0" shapeId="0" xr:uid="{692787F5-3286-42DD-B36D-CD48195CC15E}">
      <text>
        <r>
          <rPr>
            <b/>
            <sz val="9"/>
            <color indexed="81"/>
            <rFont val="Tahoma"/>
            <family val="2"/>
            <charset val="186"/>
          </rPr>
          <t>Author:</t>
        </r>
        <r>
          <rPr>
            <sz val="9"/>
            <color indexed="81"/>
            <rFont val="Tahoma"/>
            <family val="2"/>
            <charset val="186"/>
          </rPr>
          <t xml:space="preserve">
ALTUM prognoze 2022.gadam</t>
        </r>
      </text>
    </comment>
    <comment ref="BC129" authorId="0" shapeId="0" xr:uid="{00000000-0006-0000-0000-00000A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BC135" authorId="0" shapeId="0" xr:uid="{00000000-0006-0000-0000-00000B000000}">
      <text>
        <r>
          <rPr>
            <b/>
            <sz val="9"/>
            <color indexed="81"/>
            <rFont val="Tahoma"/>
            <family val="2"/>
            <charset val="186"/>
          </rPr>
          <t>Author:</t>
        </r>
        <r>
          <rPr>
            <sz val="9"/>
            <color indexed="81"/>
            <rFont val="Tahoma"/>
            <family val="2"/>
            <charset val="186"/>
          </rPr>
          <t xml:space="preserve">
7,905455 citā lēmumā</t>
        </r>
      </text>
    </comment>
    <comment ref="BC139" authorId="0" shapeId="0" xr:uid="{00000000-0006-0000-0000-00000C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BC141" authorId="0" shapeId="0" xr:uid="{00000000-0006-0000-0000-00000D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BC145" authorId="0" shapeId="0" xr:uid="{00000000-0006-0000-0000-00000E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BC146" authorId="0" shapeId="0" xr:uid="{00000000-0006-0000-0000-00000F000000}">
      <text>
        <r>
          <rPr>
            <b/>
            <sz val="9"/>
            <color indexed="81"/>
            <rFont val="Tahoma"/>
            <family val="2"/>
            <charset val="186"/>
          </rPr>
          <t>Author:</t>
        </r>
        <r>
          <rPr>
            <sz val="9"/>
            <color indexed="81"/>
            <rFont val="Tahoma"/>
            <family val="2"/>
            <charset val="186"/>
          </rPr>
          <t xml:space="preserve">
Daļa neizlietota</t>
        </r>
      </text>
    </comment>
    <comment ref="BC148" authorId="0" shapeId="0" xr:uid="{00000000-0006-0000-0000-000010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BC149" authorId="0" shapeId="0" xr:uid="{00000000-0006-0000-0000-000011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BC151" authorId="0" shapeId="0" xr:uid="{00000000-0006-0000-0000-000012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BC154" authorId="0" shapeId="0" xr:uid="{00000000-0006-0000-0000-000013000000}">
      <text>
        <r>
          <rPr>
            <b/>
            <sz val="9"/>
            <color indexed="81"/>
            <rFont val="Tahoma"/>
            <family val="2"/>
            <charset val="186"/>
          </rPr>
          <t>Author:</t>
        </r>
        <r>
          <rPr>
            <sz val="9"/>
            <color indexed="81"/>
            <rFont val="Tahoma"/>
            <family val="2"/>
            <charset val="186"/>
          </rPr>
          <t xml:space="preserve">
Finansējums pārcelts atsevišķā vakcīnu finansējuma pasākumā</t>
        </r>
      </text>
    </comment>
    <comment ref="BC165" authorId="0" shapeId="0" xr:uid="{00000000-0006-0000-0000-00001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Ņemot vērā BD sniegto informāciju precizēts uz 69,6 milj. eiro</t>
        </r>
      </text>
    </comment>
    <comment ref="BH187" authorId="0" shapeId="0" xr:uid="{00000000-0006-0000-0000-000015000000}">
      <text>
        <r>
          <rPr>
            <b/>
            <sz val="9"/>
            <color indexed="81"/>
            <rFont val="Tahoma"/>
            <family val="2"/>
            <charset val="186"/>
          </rPr>
          <t>Author:</t>
        </r>
        <r>
          <rPr>
            <sz val="9"/>
            <color indexed="81"/>
            <rFont val="Tahoma"/>
            <family val="2"/>
            <charset val="186"/>
          </rPr>
          <t xml:space="preserve">
Daļa pārdalīta ar rīkojumu</t>
        </r>
      </text>
    </comment>
    <comment ref="BM190" authorId="0" shapeId="0" xr:uid="{50722EE9-CDD0-4200-A24E-B263A6BE84A6}">
      <text>
        <r>
          <rPr>
            <b/>
            <sz val="9"/>
            <color indexed="81"/>
            <rFont val="Tahoma"/>
            <family val="2"/>
            <charset val="186"/>
          </rPr>
          <t>Author:</t>
        </r>
        <r>
          <rPr>
            <sz val="9"/>
            <color indexed="81"/>
            <rFont val="Tahoma"/>
            <family val="2"/>
            <charset val="186"/>
          </rPr>
          <t xml:space="preserve">
15,4 milj. eiro ietaupījums, ņemot vērā VM sniegto informāciju</t>
        </r>
      </text>
    </comment>
    <comment ref="BN250" authorId="0" shapeId="0" xr:uid="{D5AF2FF4-555F-4B72-8010-D4DB28C4071C}">
      <text>
        <r>
          <rPr>
            <b/>
            <sz val="9"/>
            <color indexed="81"/>
            <rFont val="Tahoma"/>
            <family val="2"/>
            <charset val="186"/>
          </rPr>
          <t>Author:</t>
        </r>
        <r>
          <rPr>
            <sz val="9"/>
            <color indexed="81"/>
            <rFont val="Tahoma"/>
            <family val="2"/>
            <charset val="186"/>
          </rPr>
          <t xml:space="preserve">
Izpilde rindu augstāk</t>
        </r>
      </text>
    </comment>
    <comment ref="BV250" authorId="0" shapeId="0" xr:uid="{521FD59D-B5AA-4376-ADCA-598E69369F2B}">
      <text>
        <r>
          <rPr>
            <b/>
            <sz val="9"/>
            <color indexed="81"/>
            <rFont val="Tahoma"/>
            <family val="2"/>
            <charset val="186"/>
          </rPr>
          <t>Author:</t>
        </r>
        <r>
          <rPr>
            <sz val="9"/>
            <color indexed="81"/>
            <rFont val="Tahoma"/>
            <family val="2"/>
            <charset val="186"/>
          </rPr>
          <t xml:space="preserve">
Izpilde rindu augstāk</t>
        </r>
      </text>
    </comment>
    <comment ref="BD267" authorId="0" shapeId="0" xr:uid="{00000000-0006-0000-0000-000016000000}">
      <text>
        <r>
          <rPr>
            <b/>
            <sz val="9"/>
            <color indexed="81"/>
            <rFont val="Tahoma"/>
            <family val="2"/>
            <charset val="186"/>
          </rPr>
          <t>Author:</t>
        </r>
        <r>
          <rPr>
            <sz val="9"/>
            <color indexed="81"/>
            <rFont val="Tahoma"/>
            <family val="2"/>
            <charset val="186"/>
          </rPr>
          <t xml:space="preserve">
Atbilsto'si EK l'emumam</t>
        </r>
      </text>
    </comment>
    <comment ref="BC352" authorId="0" shapeId="0" xr:uid="{00000000-0006-0000-0000-000017000000}">
      <text>
        <r>
          <rPr>
            <b/>
            <sz val="9"/>
            <color indexed="81"/>
            <rFont val="Tahoma"/>
            <family val="2"/>
            <charset val="186"/>
          </rPr>
          <t>Author:</t>
        </r>
        <r>
          <rPr>
            <sz val="9"/>
            <color indexed="81"/>
            <rFont val="Tahoma"/>
            <family val="2"/>
            <charset val="186"/>
          </rPr>
          <t xml:space="preserve">
SM finansējums izdalīts atsevišķi</t>
        </r>
      </text>
    </comment>
    <comment ref="BD352" authorId="0" shapeId="0" xr:uid="{00000000-0006-0000-0000-000018000000}">
      <text>
        <r>
          <rPr>
            <b/>
            <sz val="9"/>
            <color indexed="81"/>
            <rFont val="Tahoma"/>
            <family val="2"/>
            <charset val="186"/>
          </rPr>
          <t>Author:</t>
        </r>
        <r>
          <rPr>
            <sz val="9"/>
            <color indexed="81"/>
            <rFont val="Tahoma"/>
            <family val="2"/>
            <charset val="186"/>
          </rPr>
          <t xml:space="preserve">
T.sk. SM finansējums</t>
        </r>
      </text>
    </comment>
    <comment ref="BL352" authorId="0" shapeId="0" xr:uid="{5B089750-D41B-4C5B-B681-57756395EE2B}">
      <text>
        <r>
          <rPr>
            <b/>
            <sz val="9"/>
            <color indexed="81"/>
            <rFont val="Tahoma"/>
            <family val="2"/>
            <charset val="186"/>
          </rPr>
          <t>Author:</t>
        </r>
        <r>
          <rPr>
            <sz val="9"/>
            <color indexed="81"/>
            <rFont val="Tahoma"/>
            <family val="2"/>
            <charset val="186"/>
          </rPr>
          <t xml:space="preserve">
Pieņemts, ka Austrumu maģistrāles posma "Ieriķu–Vietalvas iela" 2. kārtas izbūve netiks īstenota 2022.gadā</t>
        </r>
      </text>
    </comment>
    <comment ref="BM352" authorId="0" shapeId="0" xr:uid="{41A1E53E-FA8C-4278-8CD3-0BB3C6ADE174}">
      <text>
        <r>
          <rPr>
            <b/>
            <sz val="9"/>
            <color indexed="81"/>
            <rFont val="Tahoma"/>
            <family val="2"/>
            <charset val="186"/>
          </rPr>
          <t>Author:</t>
        </r>
        <r>
          <rPr>
            <sz val="9"/>
            <color indexed="81"/>
            <rFont val="Tahoma"/>
            <family val="2"/>
            <charset val="186"/>
          </rPr>
          <t xml:space="preserve">
Pieņemts, ka Austrumu maģistrāles posma "Ieriķu–Vietalvas iela" 2. kārtas izbūve netiks īstenota 2022.gadā</t>
        </r>
      </text>
    </comment>
    <comment ref="BN370" authorId="0" shapeId="0" xr:uid="{3F36782B-E878-40A5-8872-F1AE11789DDC}">
      <text>
        <r>
          <rPr>
            <b/>
            <sz val="9"/>
            <color indexed="81"/>
            <rFont val="Tahoma"/>
            <family val="2"/>
            <charset val="186"/>
          </rPr>
          <t>Author:</t>
        </r>
        <r>
          <rPr>
            <sz val="9"/>
            <color indexed="81"/>
            <rFont val="Tahoma"/>
            <family val="2"/>
            <charset val="186"/>
          </rPr>
          <t xml:space="preserve">
Papildus slimnīcu pamatkapitāls no 2021.g.</t>
        </r>
      </text>
    </comment>
    <comment ref="BV370" authorId="0" shapeId="0" xr:uid="{2A1CC08A-6D11-4240-B010-9540EFA00DBF}">
      <text>
        <r>
          <rPr>
            <b/>
            <sz val="9"/>
            <color indexed="81"/>
            <rFont val="Tahoma"/>
            <family val="2"/>
            <charset val="186"/>
          </rPr>
          <t>Author:</t>
        </r>
        <r>
          <rPr>
            <sz val="9"/>
            <color indexed="81"/>
            <rFont val="Tahoma"/>
            <family val="2"/>
            <charset val="186"/>
          </rPr>
          <t xml:space="preserve">
Papildus slimnīcu pamatkapitāls no 2021.g.</t>
        </r>
      </text>
    </comment>
    <comment ref="BN377" authorId="0" shapeId="0" xr:uid="{F9F8B511-4E17-4614-B220-D8200D42AFD8}">
      <text>
        <r>
          <rPr>
            <b/>
            <sz val="9"/>
            <color indexed="81"/>
            <rFont val="Tahoma"/>
            <family val="2"/>
            <charset val="186"/>
          </rPr>
          <t>Author:</t>
        </r>
        <r>
          <rPr>
            <sz val="9"/>
            <color indexed="81"/>
            <rFont val="Tahoma"/>
            <family val="2"/>
            <charset val="186"/>
          </rPr>
          <t xml:space="preserve">
VK datos izdevumi vienā pozīcijā</t>
        </r>
      </text>
    </comment>
    <comment ref="BV377" authorId="0" shapeId="0" xr:uid="{BEAF7A0C-A66B-4D91-B722-3ECC11D252C1}">
      <text>
        <r>
          <rPr>
            <b/>
            <sz val="9"/>
            <color indexed="81"/>
            <rFont val="Tahoma"/>
            <family val="2"/>
            <charset val="186"/>
          </rPr>
          <t>Author:</t>
        </r>
        <r>
          <rPr>
            <sz val="9"/>
            <color indexed="81"/>
            <rFont val="Tahoma"/>
            <family val="2"/>
            <charset val="186"/>
          </rPr>
          <t xml:space="preserve">
VK datos izdevumi vienā pozīcijā</t>
        </r>
      </text>
    </comment>
    <comment ref="BH468" authorId="0" shapeId="0" xr:uid="{00000000-0006-0000-0000-00001B000000}">
      <text>
        <r>
          <rPr>
            <b/>
            <sz val="9"/>
            <color indexed="81"/>
            <rFont val="Tahoma"/>
            <family val="2"/>
            <charset val="186"/>
          </rPr>
          <t xml:space="preserve">Anna Strautiņa
MK rīk.nr.83 palielināts fin. 2022.gadā 148 353 eur 
</t>
        </r>
      </text>
    </comment>
    <comment ref="BI468" authorId="0" shapeId="0" xr:uid="{00000000-0006-0000-0000-00001C000000}">
      <text>
        <r>
          <rPr>
            <b/>
            <sz val="9"/>
            <color indexed="81"/>
            <rFont val="Tahoma"/>
            <family val="2"/>
            <charset val="186"/>
          </rPr>
          <t xml:space="preserve">Anna Strautiņa
MK rīk.nr.83 palielināts fin. 2022.gadā 148 353 eur 
</t>
        </r>
      </text>
    </comment>
    <comment ref="BJ468" authorId="0" shapeId="0" xr:uid="{00000000-0006-0000-0000-00001D000000}">
      <text>
        <r>
          <rPr>
            <b/>
            <sz val="9"/>
            <color indexed="81"/>
            <rFont val="Tahoma"/>
            <family val="2"/>
            <charset val="186"/>
          </rPr>
          <t xml:space="preserve">Anna Strautiņa
MK rīk.nr.83 palielināts fin. 2022.gadā 148 353 eur 
</t>
        </r>
      </text>
    </comment>
    <comment ref="BK468" authorId="0" shapeId="0" xr:uid="{00000000-0006-0000-0000-00001E000000}">
      <text>
        <r>
          <rPr>
            <b/>
            <sz val="9"/>
            <color indexed="81"/>
            <rFont val="Tahoma"/>
            <family val="2"/>
            <charset val="186"/>
          </rPr>
          <t xml:space="preserve">Anna Strautiņa
MK rīk.nr.83 palielināts fin. 2022.gadā 148 353 eur 
</t>
        </r>
      </text>
    </comment>
    <comment ref="BN484" authorId="0" shapeId="0" xr:uid="{EBB6E5F9-0CB7-482A-B36F-CE19E4632642}">
      <text>
        <r>
          <rPr>
            <b/>
            <sz val="9"/>
            <color indexed="81"/>
            <rFont val="Tahoma"/>
            <family val="2"/>
            <charset val="186"/>
          </rPr>
          <t>MK rīkojums Nr.80, 234 un 346</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Y27" authorId="0" shapeId="0" xr:uid="{00000000-0006-0000-0300-000001000000}">
      <text>
        <r>
          <rPr>
            <b/>
            <sz val="9"/>
            <color indexed="81"/>
            <rFont val="Tahoma"/>
            <family val="2"/>
            <charset val="186"/>
          </rPr>
          <t>Author:</t>
        </r>
        <r>
          <rPr>
            <sz val="9"/>
            <color indexed="81"/>
            <rFont val="Tahoma"/>
            <family val="2"/>
            <charset val="186"/>
          </rPr>
          <t xml:space="preserve">
SB izdevumu daļa, kas no LNG vēl nav piešķirta</t>
        </r>
      </text>
    </comment>
    <comment ref="Z27" authorId="0" shapeId="0" xr:uid="{00000000-0006-0000-0300-000002000000}">
      <text>
        <r>
          <rPr>
            <b/>
            <sz val="9"/>
            <color indexed="81"/>
            <rFont val="Tahoma"/>
            <family val="2"/>
            <charset val="186"/>
          </rPr>
          <t>Author:</t>
        </r>
        <r>
          <rPr>
            <sz val="9"/>
            <color indexed="81"/>
            <rFont val="Tahoma"/>
            <family val="2"/>
            <charset val="186"/>
          </rPr>
          <t xml:space="preserve">
SB izdevumu daļa, kas no LNG vēl nav piešķirta</t>
        </r>
      </text>
    </comment>
    <comment ref="Z28" authorId="0" shapeId="0" xr:uid="{00000000-0006-0000-0300-000003000000}">
      <text>
        <r>
          <rPr>
            <b/>
            <sz val="9"/>
            <color indexed="81"/>
            <rFont val="Tahoma"/>
            <family val="2"/>
            <charset val="186"/>
          </rPr>
          <t>Author:</t>
        </r>
        <r>
          <rPr>
            <sz val="9"/>
            <color indexed="81"/>
            <rFont val="Tahoma"/>
            <family val="2"/>
            <charset val="186"/>
          </rPr>
          <t xml:space="preserve">
No LNG pārdalītā daļa</t>
        </r>
      </text>
    </comment>
    <comment ref="Z52" authorId="0" shapeId="0" xr:uid="{00000000-0006-0000-0300-000004000000}">
      <text>
        <r>
          <rPr>
            <b/>
            <sz val="9"/>
            <color indexed="81"/>
            <rFont val="Tahoma"/>
            <family val="2"/>
            <charset val="186"/>
          </rPr>
          <t>Author:</t>
        </r>
        <r>
          <rPr>
            <sz val="9"/>
            <color indexed="81"/>
            <rFont val="Tahoma"/>
            <family val="2"/>
            <charset val="186"/>
          </rPr>
          <t xml:space="preserve">
Vērtējums par iespējamo izpildi, ņemot vērā VID datus līdz 14.03.2021</t>
        </r>
      </text>
    </comment>
    <comment ref="AC61" authorId="0" shapeId="0" xr:uid="{00000000-0006-0000-0300-000005000000}">
      <text>
        <r>
          <rPr>
            <b/>
            <sz val="9"/>
            <color indexed="81"/>
            <rFont val="Tahoma"/>
            <family val="2"/>
            <charset val="186"/>
          </rPr>
          <t>Author:</t>
        </r>
        <r>
          <rPr>
            <sz val="9"/>
            <color indexed="81"/>
            <rFont val="Tahoma"/>
            <family val="2"/>
            <charset val="186"/>
          </rPr>
          <t xml:space="preserve">
Dati uz 12.05.2021</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<sst xmlns="http://schemas.openxmlformats.org/spreadsheetml/2006/main" count="5042" uniqueCount="2404">
  <si>
    <t>N.p.k.</t>
  </si>
  <si>
    <t>Īss apraksts</t>
  </si>
  <si>
    <t>PVN pārmaksas tiek izskatītas un atmaksātas visiem nodokļu maksātajiem 30 dienu laikā, tās neuzkrājot līdz taksācijas gada beigām; normas spēkā stāšanās - 2020.gada 1.aprīlis.</t>
  </si>
  <si>
    <t>Lēmums</t>
  </si>
  <si>
    <t>Kredītu garantijas</t>
  </si>
  <si>
    <t>Portfeļgarantijas </t>
  </si>
  <si>
    <t>Pasākums</t>
  </si>
  <si>
    <t>LM</t>
  </si>
  <si>
    <t xml:space="preserve">Aizdevumi apgrozāmiem līdzekļiem 
</t>
  </si>
  <si>
    <t>MK 19.03.2020. prot. Nr.16 5.§</t>
  </si>
  <si>
    <t>Cabinet of Ministers 19.03.2020. prot. No.16 5.§</t>
  </si>
  <si>
    <t>Portfolio guarantees</t>
  </si>
  <si>
    <t>Credit guarantees</t>
  </si>
  <si>
    <t>VAT overpayments are processed and refunded to all taxpayers within 30 days without accruing until the end of the tax year; norm active from  1 April 2020.</t>
  </si>
  <si>
    <t>Short description</t>
  </si>
  <si>
    <t>Policy measure</t>
  </si>
  <si>
    <t>Covid-19 izraisītās krīzes tautsaimniecības atbalsta pasākumu apkopojums un to fiskālā ietekme</t>
  </si>
  <si>
    <t>Normatīvais akts</t>
  </si>
  <si>
    <t>EKS ieņēmumu/
izdevumu kods</t>
  </si>
  <si>
    <t>Pieņēmumi ietekmes aprēķināšanai</t>
  </si>
  <si>
    <t>Atbildīgā institūcija
(iestāde)</t>
  </si>
  <si>
    <t>Grozījums Bezdarbnieku un darba meklētāju atbalsta likumā</t>
  </si>
  <si>
    <t>Tiesības uz bezdarbnieka statusu patentmaksas un mikrouzņēmuma nodokļa maksātājiem</t>
  </si>
  <si>
    <t>SM</t>
  </si>
  <si>
    <t>VM</t>
  </si>
  <si>
    <t>IZM</t>
  </si>
  <si>
    <t>03.03.2020
20.03.2020</t>
  </si>
  <si>
    <t>IeM</t>
  </si>
  <si>
    <t>Vkanceleja</t>
  </si>
  <si>
    <t>Grozījums likumā "Par maternitātes un slimības apdrošināšanu"</t>
  </si>
  <si>
    <t xml:space="preserve">Līdz 2020.gada 31.decembrim tiesības uz bezdarbnieka statusu, ir arī personai, kura zaudējusi darba ņēmēja statusu un uz darba ņēmēja statusa zaudēšanas dienu ir reģistrēta kā patentmaksas maksātājs, mikrouzņēmuma darbinieks, kas ir mikrouzņēmuma  īpašnieks vai pašnodarbinātais, kurš ir izvēlējies mikrouzņēmuma nodokļa nomaksu, un kuras ienākumi mēnesī šajā darbības jomā nesasniedz Ministru kabineta noteiktās minimālās mēneša darba alga apmēru.  </t>
  </si>
  <si>
    <t>MK not. Nr. 153 "Grozījumi Ministru kabineta 2020.gada 19.marta noteikumos Nr.149 "Noteikumi par apgrozāmo līdzekļu aizdevumiem saimnieciskās darbības veicējiem, kuru darbību ietekmējusi Covid-19 izplatība""</t>
  </si>
  <si>
    <t>MK not. Nr. 154 "Grozījumi Ministru kabineta 2020.gada 19.marta noteikumos Nr.150 "Noteikumi par garantijām saimnieciskās darbības veicējiem, kuru darbību ietekmējusi Covid-19 izplatība""</t>
  </si>
  <si>
    <t>MK not. Nr. 155 "Grozījumi Ministru kabineta 2017.gada 5.septembra noteikumos Nr.537 "Noteikumi par portfeļgarantijām sīko (mikro), mazo un vidējo komersantu kreditēšanas veicināšanai""</t>
  </si>
  <si>
    <t>Kredīta brīvdienu garantija:
– MVU un lielajiem uzņēmumiem, kuriem Covid-19 izplatības dēļ radušās objektīvas grūtības veikt aizdevumu maksājumus bankās, pieejama kredīta garantiju, kas ļaus bankai atlikt pamatsummas maksājumu;
– pieejama saimnieciskās darbības veicējiem, lauksaimniekiem un zivsaimniecības un akvakultūras nozarei.</t>
  </si>
  <si>
    <t>Atbalsts aviopārvadājumu nozarei</t>
  </si>
  <si>
    <t>Pagarināts vecāku pabalstu saņemšanas termiņš</t>
  </si>
  <si>
    <t>Aprēķins: 
- vecāku pabalsta saņēmēju, kuriem provizoriski no 12.marta līdz sakarā ar Covid-19 izsludinātās ārkārtējās situācijas beigām (pieņēmums līdz 14.jūlijam, t.i. četri mēneši), skaits vidēji mēnesī – 3 780;
- par šo periodu vecāku pabalsta turpinājums tiek izmaksāts iepriekš piešķirtā vecāku pabalsta apmērā, bet ne vairāk kā 700 euro mēnesī.</t>
  </si>
  <si>
    <t>FM</t>
  </si>
  <si>
    <t>Iekšējā pārdale</t>
  </si>
  <si>
    <t>ZM</t>
  </si>
  <si>
    <t>Finansiālo grūtību mazināšanai lauksaimniecības, mežsaimniecības, zivsaimniecības un pārtikas ražošanas nozarēm</t>
  </si>
  <si>
    <t>35 500 000 euro, kas izstrādāts ar mērķi sniegtu finansiālu atbalstu ražotājiem un citiem uzņēmumiem lauksaimniecības un pārtikas nozarē saistībā ar COVID-19 izplatības ietekmi uz tautsaimniecību. 5 000 000 euro, lai nodrošinātu lauku saimniecību riska pārvaldību un nepārtrauktu pārreju uz jauno 2021. – 2027.gada plānošanas periodu. 5 000 000 euro, lai nodrošinātu uzņēmumu likviditāti un saglabātu naudas plūsmu, kas ļaus sekmīgi īstenot Latvijas Lauku attīstības programmas 2014. – 2020.gadam uzsāktos investīciju projektus un mazinās finansiālo slogu lauku saimniecībām un uzņēmumiem</t>
  </si>
  <si>
    <t>Atbalsts primārajiem lauksaimniecības ražotājiem, lauksaimniecības un pārtikas pārstrādes uzņēmumiem, kā arī uzņēmumiem un iestādēm, kas sniedz ēdināšanas pakalpojumus izglītības iestādēs.  Atbalsts paredzēts Covid-19 ietekmē radušos finansiālo grūtību mazināšanai, atbalstot apgrozāmo līdzekļu pieejamību, daļēji sedzot ienākumu samazinājumu, gatavo preču krājumu uzglabāšanas izmaksas, apgrozījuma samazinājumu, kā arī kompensējot to iznīcināto vai ziedoto produktu vērtību, kurus ārkārtas situācijas laikā nebija iespējams izlietot ēdināšanas pakalpojuma sniegšanā izglītības iestādēs.</t>
  </si>
  <si>
    <t>Piemaksas ārstniecības personām un nodarbinātajiem par darbu paaugstināta riska un slodzes apstākļos.</t>
  </si>
  <si>
    <t>Lielāko slimnīcu pamatkapitāla palielināšana medicīniskā aprīkojuma iegādei.</t>
  </si>
  <si>
    <t>Vienreizējo individuālo aizsardzības līdzekļu un dezinfekcijas līdzekļu iegādei un transportēšanai.</t>
  </si>
  <si>
    <t>Atbilstoši Valsts ieņēmumu dienesta datiem, papildus jau esošajai fiskālajai ietekmei, kas aprēķināta apstiprinot MK noteikumus Nr. 165, kopumā ir 1760 komersanti, kuros nodarināti 4700 darbinieki, kas dibināti pēc 2019.gada 1.marta, un pēc projekta papildināšanas ar 31 pantu varētu pretendēt uz dīkstāves pabalstu.
Pieņemot, ka pesimistiskākajā scenārijā 70% no visiem komersantiem varētu pieteikties uz atbalstu, tiek pieņemts, ka atbalstu varētu saņemt 3290 darbinieku par vidējo summu 700 euro, t.i. fiskālā ietekme ir 3290 x 700 = 2 303 000 euro</t>
  </si>
  <si>
    <t>Atbalsts dīkstāvē uzņēmumiem, kas jaunāki par vienu gadu. Palielināts pieļaujamā nodokļu parāda apmērs līdz 1000 EUR.</t>
  </si>
  <si>
    <t>I Atbalsts nodokļu jomā</t>
  </si>
  <si>
    <t>II Atbalsts pabalstu jomā</t>
  </si>
  <si>
    <t>III Atbalsts aizdevumu un garantiju jomā</t>
  </si>
  <si>
    <t>IV Atbalsts nozarēm</t>
  </si>
  <si>
    <t>FM
Pašvaldības</t>
  </si>
  <si>
    <t>Darbinieka atlīdzība dīkstāves gadījumā tiek kompensēta no valsts 75% apmērā no darbinieka sešu mēnešu vidējās atlīdzības (līdz 700 EUR). Neapliek ar IIN un soc. Iemaksām.</t>
  </si>
  <si>
    <t>Atbalsts pašnodarbinātām personām (75%, līdz 700 EUR) vai autoratlīdzības saņēmējiem vai mikrouzņēmumu nodokļa maksātājiem (50%, līdz 700 EUR), kuri dīkstāves periodā nav guvušas ienākumus no saimnieciskās darbības.</t>
  </si>
  <si>
    <t>Personai, kurai piešķirtā pabalsta periods beidzas laikā, kad izsludināta ārkārtējā situācija, un kura nevar atgriezties darbā, var pieprasīt piešķirtā pabalsta turpinājuma izmaksu pēc tam, kad bērns sasniedz viena gada vai pusotra gada vecumu. Par periodu no 2020. gada 12. marta līdz dienai, kad persona sāk gūt ienākumus kā darba ņēmējs vai pašnodarbinātais, bet ne ilgāk kā līdz sakarā ar Covid-19 izsludinātās ārkārtējās situācijas beigām (līdz 700 EUR).</t>
  </si>
  <si>
    <t>MK not. Nr. 179 "Noteikumi par dīkstāves pabalstu pašnodarbinātām personām, kuras skārusi Covid-19 izplatība"</t>
  </si>
  <si>
    <t>MK not. Nr.184 "Grozījumi Ministru kabineta 2020.gada 26. marta noteikumos Nr. 165 "Noteikumi par Covid-19 izraisītās krīzes skartiem darba devējiem, kuri kvalificējas dīkstāves pabalstam un nokavēto nodokļu maksājumu samaksas sadalei termiņos vai atlikšanai uz laiku līdz trim gadiem""</t>
  </si>
  <si>
    <t>MK noteikumi Nr. 205 "Grozījumi Ministru kabineta 2020.gada 26. marta noteikumos Nr. 165 "Noteikumi par Covid-19izraisītās krīzes skartiem darba devējiem, kuri kvalificējas dīkstāves pabalstam un nokavēto nodokļu maksājumu samaksas sadalei termiņos vai atlikšanai uz laiku līdz trim gadiem""</t>
  </si>
  <si>
    <t xml:space="preserve">MK rīk. Nr.175 ""Par finanšu līdzekļu piešķiršanu no valsts budžeta programmas "Līdzekļi neparedzētiem gadījumiem"" </t>
  </si>
  <si>
    <t>Krīzes portfeļgarantiju mērķis ir veicināt finansējuma pieejamību uzņēmējiem finanšu pakalpojumiem līdz 500 000 eiro. Garantija tiks sniegta par jauniem vai esošiem apgrozāmo līdzekļu aizdevumiem, ja kredītiestāde atliks pamatsummas maksājumus vismaz par 3 mēnešiem vai pagarinās līgumu darbības termiņu vismaz par 3 mēnešiem. Tāpat garantija tiks sniegta par esošiem investīciju aizdevumiem un finanšu līzingu.</t>
  </si>
  <si>
    <t>MK rīk. Nr.120 "Par valsts akciju sabiedrības "Latvijas gaisa satiksme" pamatkapitāla palielināšanu"</t>
  </si>
  <si>
    <t>MK rīk. Nr.80 "Par apropriācijas palielināšanu Veselības ministrijai"</t>
  </si>
  <si>
    <t>Aizsarglīdzekļi, medikamenti  u.c. medicīniskais aprīkojums.</t>
  </si>
  <si>
    <t>Latvijas Gaisa satiksmes pamatkapitāla palielināšana.</t>
  </si>
  <si>
    <t>MK rīk. Nr.176 "Par apropriācijas palielināšanu Veselības ministrijai"</t>
  </si>
  <si>
    <t>MK rīk Nr.118 "Par finanšu līdzekļu piešķiršanuno valsts budžeta programmas "Līdzekļi neparedzētiemgadījumiem"'</t>
  </si>
  <si>
    <t>Atbalsts attālinātajam mācību procesam</t>
  </si>
  <si>
    <t>Ar veselības aprūpi saistīts atbalsts</t>
  </si>
  <si>
    <t>MK rīk. Nr.117 "Par iekārtu iegādi un dāvinājuma pieņemšanu attālināta mācību procesa nodrošināšanai ārkārtējās situācijas laikā"</t>
  </si>
  <si>
    <t>„Latvijas Radio”,  „Latvijas Televīzija” un komerciālajiem plašsaziņas līdzekļiem, lai nodrošinātu iespējami plašu Latvijas iedzīvotāju apziņošanu un efektīvu sabiedrības informēšanu un izglītošanu par aktualitātēm saistībā ar Covid-19.</t>
  </si>
  <si>
    <t>Atbalsts medijiem un sabiedrības informēšanai</t>
  </si>
  <si>
    <t>Lai nodrošinātu attālināta mācību procesam nepieciešamo iekārtu (viedtālruņu un planšetu) iegādi.</t>
  </si>
  <si>
    <t>Lai segtu SIA "Tet" izmaksas, kas saistītas ar saziņas nodrošināšanu un tīmekļa vietnes izveidi krīzes koordinācijai.</t>
  </si>
  <si>
    <t>MK rīk. Nr.116 "Grozījumi Ministru kabineta 2020. gada 10. marta rīkojumā Nr. 100 "Par finanšu līdzekļu piešķiršanu no valsts budžeta programmas "Līdzekļi neparedzētiem gadījumiem"""</t>
  </si>
  <si>
    <t>MK rīk. Nr.160 "Par finanšu līdzekļu piešķiršanu no valsts budžeta programmas "Līdzekļi neparedzētiem gadījumiem""</t>
  </si>
  <si>
    <t>NEPLP</t>
  </si>
  <si>
    <t>MK noteikumu Nr.180 "Noteikumi par publiskas personas un publiskas personas kontrolētas kapitālsabiedrības mantas nomas maksas atbrīvojuma vai samazinājuma piemērošanu sakarā ar Covid-19 izplatību"</t>
  </si>
  <si>
    <t>Valsts un pašvaldību iestādes, kā arī atvasinātas publiskas personas un publiskas personas kontrolētas kapitālsabiedrības, brīvostas un speciālās ekonomiskās zonas uz krīzes  laiku atbrīvo krīzes skarto nozaru komersantus no publiskas personas mantas un publiskas personas kontrolētas kapitālsabiedrības mantas nomas maksas vai lemj par nomas maksas samazinājumu un par publiskas personas mantas izmantošanu, kā arī nepiemēro kavējuma procentus un līgumsodus samaksas kavējuma gadījumā.</t>
  </si>
  <si>
    <t>FM rīkojums Nr.87 Pārdale no IZM pamatbudžeta apakšprogrammas 01.07.00 „Dotācija brīvpusdienu nodrošināšanai 1., 2., 3. un 4. klases izglītojamiem”</t>
  </si>
  <si>
    <t>Normative act</t>
  </si>
  <si>
    <t>I Support to the field of taxation</t>
  </si>
  <si>
    <t>Businesses affected by the crisis may request to split or defer tax payments for up to 3 years, as well as to grant an extension for overdue taxes already due under the Taxes and Duties Act, if the delay is due to COVID-19</t>
  </si>
  <si>
    <t>Extension of real estate payment terms</t>
  </si>
  <si>
    <t>II Aid in the field of benefits</t>
  </si>
  <si>
    <t>Amendment to the Law "On Maternity and Sickness Insurance"</t>
  </si>
  <si>
    <t>Cabinet of Ministers Rule No. 179 "Regulations on downtime allowance for self-employed persons affected by the spread of Covid-19"</t>
  </si>
  <si>
    <t>Cabinet of Ministers Rule No. 184 "Amendments to Cabinet Regulation No. 165 of 26 March 2020" Regulations on Employers Affected by the Covid-19 Crisis Who Qualify for Downtime Benefit and Allocation of Payment of Overdue Tax Payments for Terms or Deferral for Up to Three Years "</t>
  </si>
  <si>
    <t>Cabinet Regulation No. 205 "Amendments to Cabinet Regulation No. 165 of 26 March 2020" Regulations on Employers Affected by the Covid-19 Crisis Who Qualify for Downtime Benefit and Allocation of Payment of Overdue Taxes for Terms or Deferral for Up to Three Years "</t>
  </si>
  <si>
    <t>The employee's compensation in case of downtime is reimbursed from the state in the amount of 75% of the employee's six-month average compensation (up to 700 EUR). Not subject to PIT and soc. Contributions.</t>
  </si>
  <si>
    <t>Aid for self-employed persons (75%, up to EUR 700) or for royalty recipients or micro-enterprise taxpayers (50%, up to EUR 700) who have not earned any income from economic activity during periods of inactivity.</t>
  </si>
  <si>
    <t>Support for downtime for companies under one year. The amount of allowable tax debt has been increased to 1000 EUR.</t>
  </si>
  <si>
    <t>Until 31 December 2020, a person who has lost the status of an employee and is registered as a payer of patent fees, an employee of a micro-enterprise who is the owner of a micro-enterprise or a self-employed person who has chosen to pay the micro-enterprise tax also has the right to unemployment status , and whose monthly income in this field of activity does not reach the amount of the minimum monthly salary set by the Cabinet.</t>
  </si>
  <si>
    <t>III Aid in the field of loans and guarantees</t>
  </si>
  <si>
    <t>Working capital loans</t>
  </si>
  <si>
    <t>The aim of the crisis portfolio guarantees is to promote the availability of financing for entrepreneurs in financial services up to 500,000 euros. The guarantee will be provided for new or existing working capital loans if the credit institution defers the principal payments for at least 3 months or extends the term of the contracts for at least 3 months. The guarantee will also be provided for existing investment loans and financial leasing.</t>
  </si>
  <si>
    <t>Cabinet of Ministers Rule No. 155 "Amendments to Cabinet Regulation No. 537 of 5 September 2017" Regulations on Portfolio Guarantees for the Promotion of Lending to Small (Micro), Small and Medium-Sized Enterprises "</t>
  </si>
  <si>
    <t>Cabinet of MinMinisters Rule No. 154 "Amendments to Cabinet Regulation No. 150 of 19 March 2020" Regulations Regarding Guarantees for Economic Activities Performed by the Spread of Covid-19 "</t>
  </si>
  <si>
    <t>Cabinet of Ministers Rule. No. 153 "Amendments to Cabinet Regulation No. 149 of 19 March 2020" Regulations Regarding Working Capital Loans to Economic Activities Performed by the Spread of Covid-19 "</t>
  </si>
  <si>
    <t>Cabinet of Ministers No. 80 "On the increase of appropriations for the Ministry of Health"</t>
  </si>
  <si>
    <t>Cabinet of Ministers No. 79 "On the Allocation of Financial Resources from the State Budget Program" Contingency Funds "and No. 118" On the Allocation of Financial Resources from the State Budget Program "Contingency Funds"</t>
  </si>
  <si>
    <t>Cabinet of Ministers No. 118 "On Allocation of Financial Resources to the State Budget Program" Funds for Contingencies "'</t>
  </si>
  <si>
    <t>Cabinet of Ministers No. 176 "On the increase of appropriations for the Ministry of Health"</t>
  </si>
  <si>
    <t>Increasing the share capital of major hospitals for the purchase of medical equipment.</t>
  </si>
  <si>
    <t>Increase of RAKUS share capital.</t>
  </si>
  <si>
    <t>For the purchase and transport of disposable personal protective equipment and disinfectants.</t>
  </si>
  <si>
    <t>Allowances for medical practitioners and employees for work in conditions of increased risk and workload.</t>
  </si>
  <si>
    <t>Support for distance learning</t>
  </si>
  <si>
    <t>Cabinet of Ministers No. 117 "On the purchase of equipment and acceptance of a gift for the provision of a distance learning process during an emergency situation"</t>
  </si>
  <si>
    <t>Ministry of Finance order No.87 Redistribution from the MES basic budget sub-program 01.07.00 “Grant for provision of free lunches for 1st, 2nd, 3rd and 4th grade students”</t>
  </si>
  <si>
    <t>To cover the costs of SIA "Tet" related to the provision of communication and the creation of a website for crisis coordination.</t>
  </si>
  <si>
    <t>"Latvijas Radio", "Latvijas Televīzija" and commercial mass media in order to ensure the widest possible awareness of the Latvian population and effective informing and educating the public about current events related to Covid-19.</t>
  </si>
  <si>
    <t>The National Electronic Media Council to provide the public with the opportunity to receive comprehensive information and opinions on Covid-19 crisis management, as well as to ensure the security of the state information space in commercial electronic media.</t>
  </si>
  <si>
    <t>Cabinet Regulation No. 180 "Regulations Regarding the Application of Exemption or Reduction of the Rent of Property of a Public Person and a Capital Company Controlled by a Public Person Due to the Spread of Covid-19"</t>
  </si>
  <si>
    <t>State and local government institutions, as well as derived public persons and capital companies controlled by a public person, free ports and special economic zones shall temporarily exempt merchants in crisis-affected sectors from public property and public company controlled capital company rents or decide on reduction of rents and public use of personal property, as well as do not apply default interest and contractual penalties in case of late payment.</t>
  </si>
  <si>
    <t>To alleviate financial difficulties in the agricultural, forestry, fisheries and food production sectors</t>
  </si>
  <si>
    <t>Support for primary agricultural producers, agricultural and food processing enterprises, as well as enterprises and institutions providing catering services in educational institutions. The aid is intended to alleviate the financial difficulties caused by Covid-19 by supporting the availability of working capital, partially covering income reductions, storage costs for finished goods, reducing turnover and compensating for the value of products destroyed or donated which could not be used for catering educational institutions.</t>
  </si>
  <si>
    <t>No impact on revenue</t>
  </si>
  <si>
    <t>According to the data of the State Revenue Service, in addition to the already existing fiscal impact, calculated by approving the Cabinet Regulation No. 165, there are a total of 1760 merchants with 4,700 employees who were established after March 1, 2019, and after supplementing the project with Article 31, they could apply for the downtime benefit.
Assuming that in the most pessimistic scenario, 70% of all businesses could apply for aid, it is assumed that 3290 employees could receive aid for an average amount of EUR 700, i.e. the fiscal impact is 3290 x 700 = € 2,303,000</t>
  </si>
  <si>
    <t>Internal redistribution</t>
  </si>
  <si>
    <t>EUR 35 500 000, designed to provide financial support to producers and other businesses in the agri-food sector in connection with the economic impact of the spread of COVID-19. EUR 5 000 000 to ensure farm risk management and a continuous transition to the new 2021-2027 programming period. EUR 5,000,000 to ensure liquidity of enterprises and maintain cash flow, which will allow successful implementation of investment projects launched by the Latvian Rural Development Program for 2014-2020 and reduce the financial burden on farms and enterprises</t>
  </si>
  <si>
    <t>IV Sectoral support</t>
  </si>
  <si>
    <t>D.5</t>
  </si>
  <si>
    <t>D.2</t>
  </si>
  <si>
    <t>D.61</t>
  </si>
  <si>
    <t>D.632+D.62</t>
  </si>
  <si>
    <t>D.7</t>
  </si>
  <si>
    <t>D.9</t>
  </si>
  <si>
    <t>P.2</t>
  </si>
  <si>
    <t>D.1</t>
  </si>
  <si>
    <t>D.3</t>
  </si>
  <si>
    <t>Krīzes skartie uzņēmēji var lūgt sadalīt vai atlikt nodokļu maksājumus uz laiku līdz 3 gadiem, kā arī piešķirt termiņa pagarinājumu tiem nokavētajiem nodokļu maksājumiem, kuru samaksas termiņš jau ir pagarināts saskaņā ar likumu “Par nodokļiem un nodevām”, ja termiņa kavējums radies COVID-19 rezultātā.</t>
  </si>
  <si>
    <t xml:space="preserve">Piemaksas iekšlietu resora amatpersonām </t>
  </si>
  <si>
    <t>Lai nodrošinātu piemaksas Iekšlietu ministrijas padotības iestāžu amatpersonām par darbu (no 12.marta līdz 31.maijam).</t>
  </si>
  <si>
    <t>Support to the air transport industry</t>
  </si>
  <si>
    <t>n/a</t>
  </si>
  <si>
    <t>Atbalsts valdes locekļiem, ja arī darbinieki nestrādā, un strādājošajiem pensionāriem dīkstāvē.</t>
  </si>
  <si>
    <t>SIF</t>
  </si>
  <si>
    <t>MK rīk. Nr.142 01.04.2020. (prot. Nr.20 46.§) Piešķirts no LNG, no apropriācijas palielinājuma LNG par 300 milj. atbilstoši MK rīk. Nr.121 25.03.2020.</t>
  </si>
  <si>
    <t xml:space="preserve">MK rīk. Nr.117 19.03.2020  Tiek finansēts no LNG apropriācijas palielinājuma 300 milj. euro apmērā. </t>
  </si>
  <si>
    <t>MK rīk. 160 07.04.2020. Tiek finansēts no  LNG no apropriācijas palielinājuma par 300 milj. atbilstoši MK rīk. Nr.121 25.03.2020.</t>
  </si>
  <si>
    <t>AiM</t>
  </si>
  <si>
    <t>Darbiniekam, kurš saņem dīkstāves pabalstu, piemaksa 50 euro apmērā par katru apgādībā esošu bērnu vecumā līdz 24 gadiem, par kuru darbiniekam uz dīkstāves pabalsta piešķiršanas dienu tiek piemērots iedzīvotāju ienākuma nodokļa atvieglojums</t>
  </si>
  <si>
    <t xml:space="preserve">MK rīk. Nr.178 ""Par finanšu līdzekļu piešķiršanu no valsts budžeta programmas "Līdzekļi neparedzētiem gadījumiem"" </t>
  </si>
  <si>
    <t>Society Integration Foundation to ensure the operation of the Media Support Fund and the opportunity for the public to receive comprehensive information and opinions on overcoming the Covid-19 crisis, as well as to ensure the security of the state information space in the print press and commercial Internet news portals, provide support in connection with the costs of delivery of subscribed press publications (to the state joint stock company "Latvijas Pasts") and the costs of broadcasting electronic media programs.</t>
  </si>
  <si>
    <t xml:space="preserve">FM rīkojums Nr.128 Pārdale no KM pamatbudžeta apakšprogrammas 26.02.00 “Diasporas pasākumu īstenošana” </t>
  </si>
  <si>
    <t xml:space="preserve"> Centralized precurement of protective equipment of Ministry of Defense</t>
  </si>
  <si>
    <t>Ministry of Finance Order No.128 Redistribution from the Ministry of Culture basic budget sub-program 26.02.00 “Implementation of Diaspora Measures”</t>
  </si>
  <si>
    <t>In order to provide funding for Covid-19 consequence prevention and management measures to increase the transfer of maintenance expenses in the program 27.00.00 "Implementation of Media Policy" to ensure the operation of the Media Support Fund</t>
  </si>
  <si>
    <t>MK rīkojums Nr.200 "Par finanšu līdzekļu piešķiršanu no valsts budžeta programmas "Līdzekļi neparedzētiem gadījumiem""</t>
  </si>
  <si>
    <t>Cabinet of Ministers No. 200 "On Allocation of Financial Funds from the State Budget Program" Contingency Funds "</t>
  </si>
  <si>
    <t>Bezdarbnieku palīdzības pabalsts</t>
  </si>
  <si>
    <t>Atvieglot dīkstāves pabalsta saņemšanas iespējas arī personām, kuras šobrīd nevar saņemt dīkstāves pabalstu kā pašnodarbinātas personas, jo tās vienlaikus uz nepilnu darba laiku ir darba ņēmēji, taču to ienākumi kā darba ņēmējiem tām nevar nodrošināt iztiku.</t>
  </si>
  <si>
    <t>Aprēķins pamatojas uz aplēsi: 25 221 personas (kuras saņemtu dīkstāves pabalstu) x 0,4* (vidējais bērnu skaits ģimenē atbilstoši Centrālās statistikas pārvaldes sniegtajai publiskajai informācijai) x 50 euro (piemaksas apmērs) x 2 mēneši (šobrīd noteiktais dīkstāves pabalsta izmaksas termiņš) = 1 008 840 euro.</t>
  </si>
  <si>
    <t>VAS “Starptautiskā lidosta “Rīga”“  pamatkapitāla palielināšana</t>
  </si>
  <si>
    <t xml:space="preserve">Piešķirt tiesības darba devējam, kurš atbilst Padziļinātās sadarbības programmas dalībniekam noteiktajiem kritērijiem un kuru ir ietekmējusi COVID-19 izraisītā krīze, samazināt darbiniekam Darba likuma 74. pantā noteikto atlīdzību par dīkstāvi no 100 procentiem līdz 70 procentiem no darbiniekam izmaksājamās algas. </t>
  </si>
  <si>
    <t xml:space="preserve">Piešķirts papildus finansējums valsts autoceļu būvniecībai un tiltu remontiem. </t>
  </si>
  <si>
    <t>Valsts autoceļu būvniecībai un tiltu remontiem</t>
  </si>
  <si>
    <t>Jau šobrīd ir pieejama tehniskā dokumentācija par veicamajiem darbiem, kā arī šobrīd ir iespējams veikt papildu darbu apjomus, kas nodrošinātu ceļu būvniecības nozares projektus 75 milj. euro apjomā, lai atjaunotu un pārbūvētu sliktā stāvoklī esošos autoceļu posmus un tiltus un uzlabotu satiksmes drošību, bet kuru īstenošana atlikta nozarei līdz šim nepietiekamā finansējuma dēļ.</t>
  </si>
  <si>
    <t>MK rīkojums Nr.222 "Par finanšu līdzekļu piešķiršanu no valsts budžeta programmas "Līdzekļi neparedzētiem gadījumiem""</t>
  </si>
  <si>
    <t>Persona, kurai piešķirtā bezdarbnieka pabalsta periods beidzas 2020.gada 12.martā vai vēlāk un kura sakarā ar Covid-19 izsludinātās ārkārtējās situācijas radītajām sekām nav atradusi darbu un neveic saimniecisko darbību, var pieprasīt bezdarbnieka palīdzības pabalstu 180 EUR.</t>
  </si>
  <si>
    <t xml:space="preserve">MK rīk. Nr.238 ""Par finanšu līdzekļu piešķiršanu no valsts budžeta programmas "Līdzekļi neparedzētiem gadījumiem"" </t>
  </si>
  <si>
    <t>Dīkstāves palīdzības pabalsts tiem darba ņēmējiem un pašnodarbinātām personām, kuriem dīkstāves pabalsts ir mazāks par 180 eiro mēnesī vai kuras nekvalificējas dīkstāves pabalstam.</t>
  </si>
  <si>
    <t xml:space="preserve">MK rīk. Nr.236 ""Par finanšu līdzekļu piešķiršanu no valsts budžeta programmas "Līdzekļi neparedzētiem gadījumiem"" </t>
  </si>
  <si>
    <t>Pašvaldību aizņēmumu limita palielināšana</t>
  </si>
  <si>
    <t xml:space="preserve">Informatīvais ziņojums "Par pašvaldību aizņēmuma limita palielināšanu Covid-19 ekonomisko seku mazināšanai" </t>
  </si>
  <si>
    <t xml:space="preserve">Finansējuma apmērs valsts pētījumu programmai 5 milj. euro apmērā ir noteikts, balstoties uz nepieciešamību katrā no identificētām jomām – veselības, inženiertehnisko risinājumu, sabiedrības un tautsaimniecības jomās – nodrošināt projektus konkrēto problēmu risināšanai. Kopā īstenojot šo valsts pētījumu programmu (turpmāk – VPP), tā ļautu jau 2020.gadā īstenot vismaz 10 konsorciju pētniecības projektus ar būtisku ietekmi, kuri ir tematiski sadalīti starp 3 jomām. Papildus, ir nepieciešams nodrošināt, ka vismaz 1 projekts horizontāli integrē kopīgā pretpandēmijas stratēģijā visu šīs VPP īstenoto projektu rezultātus, un tiek iegūtas jau agrīnas zinātnē balstītas rekomendācijas virsmērķa sasniegšanai. </t>
  </si>
  <si>
    <t>MK rīkojums Nr.239 "Par finanšu līdzekļu piešķiršanu no valsts budžeta programmas "Līdzekļi neparedzētiem gadījumiem""</t>
  </si>
  <si>
    <t>Finansējumu, kas nepārsniedz 1 323 563 euro, lai nodrošinātu funkciju īstenošanu un veselības aprūpes pakalpojumu sniegšanas nepārtrauktību koronavīrusa “Covid-19” uzliesmojumu laikā.</t>
  </si>
  <si>
    <t>MK rīk. Nr.237 "Par finanšu līdzekļu piešķiršanu no valsts budžeta programmas "Līdzekļi neparedzētiem gadījumiem""</t>
  </si>
  <si>
    <t>P.51</t>
  </si>
  <si>
    <t>Facilitate access to downtime benefits also for those who are currently unable to receive downtime benefits as self-employed, as they are at the same time part-time workers, but their income as workers cannot provide them with a livelihood.</t>
  </si>
  <si>
    <t>To grant the right to an employer who meets the criteria set for a participant in the Advanced Cooperation Program and who has been affected by the crisis caused by COVID-19 to reduce the compensation for downtime specified in Article 74 of the Labor Law from 100 per cent to 70 per cent of the employee's salary.</t>
  </si>
  <si>
    <t>Assumptions for calculating the impact</t>
  </si>
  <si>
    <t>The calculation is based on an estimate: 25,221 persons (who would receive downtime allowance) x 0.4 * (average number of children in the family according to public information provided by the Central Statistical Bureau) x 50 euros (amount of allowance) x 2 months (currently set downtime) = EUR 1 008 840.</t>
  </si>
  <si>
    <t>A person whose unemployment benefit period ends on or after 12 March 2020 and who, due to the consequences of the emergency declared by Covid-19, has not found a job and is not engaged in economic activity, may claim unemployment benefit of 180 EUR.</t>
  </si>
  <si>
    <t>Increasing the local governments borrowing limit</t>
  </si>
  <si>
    <t>Informative report "On increasing the local government borrowing limit to mitigate the economic consequences of Covid-19"</t>
  </si>
  <si>
    <t>Increase of the share capital of SJSC Riga International Airport</t>
  </si>
  <si>
    <t>For construction of state roads and repairs of bridges</t>
  </si>
  <si>
    <t>Additional funding has been provided for the construction of state roads and bridge repairs.</t>
  </si>
  <si>
    <t>Technical documentation on the work to be performed is already available, as well as it is now possible to perform additional work, which would ensure projects in the road construction sector in the amount of 75 million. in order to rehabilitate and rebuild deprived road sections and bridges and improve road safety, but the implementation of which has been postponed due to insufficient funding for the industry so far.</t>
  </si>
  <si>
    <t>Funding of EUR 5 000 000 for the establishment of a national research program to combat the consequences of COVID-19</t>
  </si>
  <si>
    <t>The amount of funding for the national research program in the amount of 5 million euros has been determined based on the need to provide projects to solve specific problems in each of the identified areas - health, engineering solutions, society and economy. By implementing this national research program together, it would allow to implement at least 10 consortium research projects with a significant impact already in 2020, which are thematically divided between 3 areas. In addition, it is necessary to ensure that at least 1 project horizontally integrates the results of all projects implemented in this research program into a common anti-pandemic strategy, and early science-based recommendations for achieving the overarching goal are obtained.</t>
  </si>
  <si>
    <t>Ministry of Finance</t>
  </si>
  <si>
    <t>Ministry of Agriculture</t>
  </si>
  <si>
    <t>Satiksmes ministrijai kā sabiedrības kapitāla daļu turētājai nodrošināt, ka 2019. pārskata gadā gūtās peļņas daļa 20 % apmērā (4 508 299 euro) tiek novirzīta, lai segtu Covid-19 izraisītās krīzes rezultātā radītos zaudējumus.</t>
  </si>
  <si>
    <t>SJSC Riga International Airport abolition of dividend payments in 2020</t>
  </si>
  <si>
    <t>To ensure The Ministry of Transport, as the holder of the company's shares, that a 20% share of the profit earned in the reporting year 2019 (EUR 4,508,299) is used to cover the losses caused by the Covid-19 crisis.</t>
  </si>
  <si>
    <t>Kamēr visā valstī ir izsludināta ārkārtējā situācija sakarā ar Covid-19 izplatību, nodrošināt bērna kopšanas pabalsta izmaksu 171 euro apmērā mēnesī personai, kura kopj bērnu vecumā no pusotra gada līdz diviem gadiem, un piemaksu pie bērna kopšanas pabalsta 171 euro apmērā mēnesī personai, kura kopj dvīņus vai vairākus vienās dzemdībās dzimušus bērnus vecumā no pusotra gada līdz diviem gadiem;
Papildus 33 033 euro, lai segtu sociālās apdrošināšanas informācijas sistēmas (SAIS) funkcionalitātes nodrošināšanas izdevumus.</t>
  </si>
  <si>
    <t>20.03.2020 12.05.2020</t>
  </si>
  <si>
    <t>TM</t>
  </si>
  <si>
    <t>Atbalsts reliģiskām organizācijām</t>
  </si>
  <si>
    <t>Piemaksas Ieslodzījuma vietu pārvaldes darbiniekiem</t>
  </si>
  <si>
    <t>MK rīkojums Nr.261 "Par finanšu līdzekļu piešķiršanu no valsts budžeta programmas "Līdzekļi neparedzētiem gadījumiem""</t>
  </si>
  <si>
    <t xml:space="preserve">Īstermiņa aizdevumi lauksaimniekiem </t>
  </si>
  <si>
    <t>Par laikposmu, kad valstī sakarā ar Covid-19 izplatību ir izsludināta ārkārtējā situācija, VSAA izmaksā pabalstu par bērnu līdz septiņu gadu vecuma sasniegšanai – 161,25 euro mēnesī un par bērnu vecumā no septiņiem gadiem – 193,50 euro mēnesī. VSAA pabalsta apmēru aprēķina par laikposmu no 2020. gada 12. marta un izmaksā to līdz 2020. gada 30. jūnijam.</t>
  </si>
  <si>
    <t>Latvijas Zvērinātu notāru padomei servera iegādei, lai nodrošinātu e-apostille reģistra turpmāku darbību, mazinot ar Covid-19 izplatību radītās grūtības notariātā</t>
  </si>
  <si>
    <t>MK rīkojums Nr.255 "Par finanšu līdzekļu piešķiršanu no valsts budžeta programmas "Līdzekļi neparedzētiem gadījumiem""</t>
  </si>
  <si>
    <t>ES fondu pārdales</t>
  </si>
  <si>
    <t xml:space="preserve">Informatīvais ziņojums "Par Eiropas Savienības struktūrfondu un Kohēzijas fonda finansējuma pārdalēm un risinājumiem COVID-19 seku mazināšanai" </t>
  </si>
  <si>
    <t>Support for religious organizations</t>
  </si>
  <si>
    <t>Allowances for prison administration staff</t>
  </si>
  <si>
    <t>Short - term loans to farmers</t>
  </si>
  <si>
    <t>Redistribution of EU funds</t>
  </si>
  <si>
    <t>Information report "On redistribution of European Union Structural Funds and Cohesion Fund funding and solutions to mitigate the effects of COVID-19"</t>
  </si>
  <si>
    <t>Religious unions (churches) to provide crisis benefits to the clergy and servants of these religious unions (churches) and to reduce the damage caused by the spread of Covid-19</t>
  </si>
  <si>
    <t>Employees of the Prisons Department of the Ministry of Justice who have been directly involved in the prevention of the consequences of Covid-19 by providing allowances from 1 April 2020 to 31 May 2020 for work in high-risk and stressful public health situations related to Covid-19 outbreak and its consequences</t>
  </si>
  <si>
    <t>A person who is issued a certificate of incapacity for work for Covid-19 or quarantined from 22 March 2020 to 31 December 2020 is granted and paid sickness benefit for the period from the second day of incapacity for work (80% of the average insurance contribution salary)</t>
  </si>
  <si>
    <t>Atbalsts kultūras nozarei</t>
  </si>
  <si>
    <t>KM</t>
  </si>
  <si>
    <t>Atbalsts zivsaimniecības nozarei</t>
  </si>
  <si>
    <t>ES fondu virssaistības</t>
  </si>
  <si>
    <t>Lauksaimniecības fondu virssaistības</t>
  </si>
  <si>
    <t xml:space="preserve">Informatīvais ziņojums "Par pasākumiem Covid-19 krīzes pārvarēšanai un ekonomikas atlabšanai" </t>
  </si>
  <si>
    <t>EM</t>
  </si>
  <si>
    <t>ALTUM ieguldījumu fonds modernizācijai</t>
  </si>
  <si>
    <t>Cilvēkkapitāls</t>
  </si>
  <si>
    <t>EM, LM, IZM</t>
  </si>
  <si>
    <t>Kultūras infrastruktūra</t>
  </si>
  <si>
    <t>Atbalsts pasažieru un kravu pārvadātājiem</t>
  </si>
  <si>
    <t>Atbalsts sporta nozarei</t>
  </si>
  <si>
    <t>Kultūra - attīstības plānam</t>
  </si>
  <si>
    <t>Demogrāfija</t>
  </si>
  <si>
    <t>IEM</t>
  </si>
  <si>
    <t>Formastērpu iegāde robežsardzei, ugunsdzēsējiem</t>
  </si>
  <si>
    <t>VAS “Starptautiskā lidosta “Rīga”“ dividenžu maksājumu atcelšana 2020. gadā</t>
  </si>
  <si>
    <t>Attālinātam mācību procesam paredzētā audiovizuālā satura radīšanai un izplatīšanai (tai skaitā izplatīšanai ar bezmaksas televīzijas programmu starpniecību).</t>
  </si>
  <si>
    <t>Platjoslu infrastruktūras (broadband) “vidējā jūdze”, internets skolām, mācību satura digitalizācija.</t>
  </si>
  <si>
    <t>Uzturēšanas izdevumu palielinājums transfertu programmā 27.00.00 "Mediju politikas īstenošana" Mediju atbalsta fonda darbības nodrošināšanai.</t>
  </si>
  <si>
    <t>Latvijas Zvērinātu notāru padomei servera iegādei, lai nodrošinātu e-apostille reģistra turpmāku darbību, mazinot ar Covid-19 izplatību radītās grūtības notariātā.</t>
  </si>
  <si>
    <t>Tieslietu ministrijas Ieslodzījuma vietu pārvaldes nodarbinātajiem, kuri ir bijuši tieši iesaistīti Covid-19 seku novēršanā, nodrošinot piemaksas no 2020. gada 1. aprīļa līdz 2020.  gada 31. maijam par darbu paaugstināta riska un slodzes apstākļos sabiedrības veselības apdraudējuma situācijā saistībā ar Covid-19 uzliesmojumu un tā seku novēršanu.</t>
  </si>
  <si>
    <t xml:space="preserve">Lai stabilizētu naudas plūsmu lauksaimniecības produkcijas ražotājiem, nodrošinot īstermiņa aizdevumu piešķiršanu no vienotam platības maksājumam paredzētā avansa maksājuma summas, vai aprēķinātā gala maksājuma par kārtējā gadā vienotajam platības maksājumam apstiprinātajām platībām. </t>
  </si>
  <si>
    <t xml:space="preserve">Ar mērķi nodrošināt iespēju vieglāk un ātrāk reaģēt, mazinot COVID-19 izraisītās sekas dalībvalstu visvairāk skartajām teritorijām un to iedzīvotājiem, ES fondu regulu grozījumi ļauj dalībvalstīm pārstrukturēt investīcijas, paplašinot izdevumu attiecināmības tvērumu un pieļaujot dalībvalstu ES fondu darbības programmu grozījumus pirms EK oficiāla lēmuma. </t>
  </si>
  <si>
    <t>Papildus ES fondu finansējuma pārdales, lai sniegtu atbalstu zivsaimniecības nozares uzņēmumiem</t>
  </si>
  <si>
    <t>12 221 pašnodarbinātās personas,pieņemot, ka dīkstāves pabalstu pieprasīs visas maksimālajā apjomā 700 euro, kopumā izmaksas mēnesī veidos – 12 221 personas x 700 euro = 8 554 700 euro. Divos mēnešos, kopējie izdevumi  17 109 400 euro.
Mikrouzņēmumu nodokļa maksātāji krīzes skartajās nozarēs ir 13 000 personas. Mēnesī izmaksas veidos – 13 000 personas x 700 euro = 9 100 000 euro. Divos mēnešos 18 200 000 euro.</t>
  </si>
  <si>
    <t xml:space="preserve">MK rīk. Nr.277 ""Par finanšu līdzekļu piešķiršanu no valsts budžeta programmas "Līdzekļi neparedzētiem gadījumiem"" </t>
  </si>
  <si>
    <t>Noteikumi Nr.256 "Grozījums Ministru kabineta 2009.gada 22.decembra noteikumos Nr.1643 "Kārtība, kādā piešķir un izmaksā pabalstu aizbildnībā esoša bērna uzturēšanai""</t>
  </si>
  <si>
    <t>Rīkojums Nr.219 "Par valsts akciju sabiedrības"Starptautiskā lidosta "Rīga"" pamatkapitāla palielināšanu"</t>
  </si>
  <si>
    <t>MK rīk. Nr.271 "Par finanšu līdzekļu piešķiršanu no valsts budžeta programmas "Līdzekļi neparedzētiem gadījumiem""</t>
  </si>
  <si>
    <t>V ES fondu finansējuma atbalsts</t>
  </si>
  <si>
    <t>Iekšlietu ministrijas padotības iestādēm un amatpersonām</t>
  </si>
  <si>
    <t xml:space="preserve">MK noteikumi Nr.234 "Grozījumi Ministru kabineta 2020.gada 31.marta noteikumos Nr.179 "Noteikumi par dīkstāves pabalstu pašnodarbinātām personām, kuras skārusi Covid-19 izplatība"" </t>
  </si>
  <si>
    <t>Cabinet Regulation No. 234 "Amendments to Cabinet Regulation No. 179 of 31 March 2020 "Regulations on Downtime Benefits for Self-Employed Persons Affected by the Spread of Covid-19 ""</t>
  </si>
  <si>
    <t>For education and science</t>
  </si>
  <si>
    <t>V Support related to EU funds</t>
  </si>
  <si>
    <t>Information report on measures to overcome the Covid-19 crisis and economic recovery</t>
  </si>
  <si>
    <t xml:space="preserve">Working capital loan:
- traders, farmers and fishermen affected by Covid-19;
- up to 1 million EUR with a term of up to 3 years.
</t>
  </si>
  <si>
    <t>Credit holiday guarantee:
- SMEs and large companies that have experienced objective difficulties in making loan payments to banks due to the spread of Covid-19 have access to a credit guarantee that will allow the bank to defer payment of the principal amount;
- available to economic operators, farmers and the fisheries and aquaculture sector.</t>
  </si>
  <si>
    <t>ALTUM investment fund for modernization</t>
  </si>
  <si>
    <t>Human capital</t>
  </si>
  <si>
    <t>Support for passenger and freight carriers</t>
  </si>
  <si>
    <t>Support for the sports sector</t>
  </si>
  <si>
    <t>Demography</t>
  </si>
  <si>
    <t>Institutions and officials subordinate to the Ministry of the Interior</t>
  </si>
  <si>
    <t>Support for the cultural sector</t>
  </si>
  <si>
    <t>Support for the fisheries sector</t>
  </si>
  <si>
    <t>Over - commitments for agricultural funds</t>
  </si>
  <si>
    <t>Over - commitments of EU funds</t>
  </si>
  <si>
    <t>Redistribution of EU funding to support companies in the fisheries sector</t>
  </si>
  <si>
    <t>Additional Redistribution of EU funding to support companies in the fisheries sector</t>
  </si>
  <si>
    <t>For the information center of Ministry of Interior</t>
  </si>
  <si>
    <t>Purchase of uniforms for border guards, firefighters</t>
  </si>
  <si>
    <t>Cultural infrastructure</t>
  </si>
  <si>
    <t>Culture - for a development plan</t>
  </si>
  <si>
    <t>Grozījums likumā "Par valsts apdraudējuma un tā seku novēršanas un pārvarēšanas pasākumiem sakarā ar Covid-19 izplatību"</t>
  </si>
  <si>
    <t>MK rīkojums Nr.303 "Par finanšu līdzekļu piešķiršanu no valsts budžeta programmas "Līdzekļi neparedzētiem gadījumiem""</t>
  </si>
  <si>
    <t>MK rīk. Nr.136 "Par finanšu līdzekļu piešķiršanu no valsts budžeta programmas "Līdzekļi neparedzētiem gadījumiem""</t>
  </si>
  <si>
    <t>Atbalsts jaunajiem speciālistiem</t>
  </si>
  <si>
    <t>Subsidētās darba vietas eksportējošiem uzņēmumiem</t>
  </si>
  <si>
    <t>FM
(VID)</t>
  </si>
  <si>
    <t>LM
(VSAA)</t>
  </si>
  <si>
    <t>EM, LM
(VSAA)</t>
  </si>
  <si>
    <t>Lai segtu izdevumus, kas radušies saistībā ar “Covid-19” uzliesmojumu un seku novēršanu - Nacionālajam veselības dienestam 0,67 mEUR, Neatliekamās medicīniskās palīdzības dienestam 0,0 9 mEUR; Nacionālajam veselības dienestam  1,43 mEUR, lai segtu izdevumus RAKUS.</t>
  </si>
  <si>
    <t>SIF, lai nodrošinātu Mediju atbalsta fonda darbību un iespēju sabiedrībai saņemt daudzpusīgu informāciju un viedokļus par Covid-19 krīzes pārvarēšanu, kā arī nodrošinātu valsts informatīvās telpas drošību drukātajā presē un komerciālajos interneta ziņu portālos, sniegtu atbalstu saistībā ar abonēto preses izdevumu piegādes izmaksām (valsts akciju sabiedrībai "Latvijas Pasts") un elektronisko plašsaziņas līdzekļu programmu apraides izmaksām.</t>
  </si>
  <si>
    <t>Atbalsts zinātnei un izglītībai</t>
  </si>
  <si>
    <t>Finansējums 5 000 000 eiro apmērā valsts pētījumu programmas izveidei cīņā ar COVID-19 sekām.</t>
  </si>
  <si>
    <t>Reliģiskajām savienībām (baznīcām), lai nodrošinātu šo reliģisko savienību (baznīcu) garīgajam un kalpojošajam personālam krīzes pabalstu un mazinātu ar Covid-19 izplatību radītos zaudējumus.</t>
  </si>
  <si>
    <t xml:space="preserve">MK rīkojums Nr.260 "Par finanšu līdzekļu piešķiršanu no valsts budžeta programmas "Līdzekļi neparedzētiem gadījumiem" </t>
  </si>
  <si>
    <t>LM 
EM</t>
  </si>
  <si>
    <t>Finansējums, lai PTAC varētu segt repatriācijas izmaksas tūrisma operatoriem, kuru darbību ietekmējusi Covid-19 izplatība.</t>
  </si>
  <si>
    <t>Ambulatorajiem un stacionārajiem veselības aprūpes pakalpojumiem, laboratorisko izmeklējumu organizēšanai un veikšanai - 672 139 euro,
Aanalīžu paņemšanas mobilo punktu izveidei - 91 984 euro, 
RAKUS izdevumu segšanai (reaģentu komplektu iegādei, video intubācijas komplekta iegādei, būvdarbiem,  pacientu asins paraugu paņemšanas, transportēšanas piederumu un ārstniecības preču iegādei) - 1 428 081 euro.</t>
  </si>
  <si>
    <t>MK rīk. Nr 363 Par finanšu līdzekļu piešķiršanu no valsts budžeta programmas "Līdzekļi neparedzētiem gadījumiem"</t>
  </si>
  <si>
    <t>Lai mazinātu Covid-19 krīzes radīto negatīvo seku ietekmi uz sporta nozari, tai skaitā 2,0 milj. eiro LOK, 1,9 milj. eiro Latvijas Sporta federāciju padomei utt.</t>
  </si>
  <si>
    <t xml:space="preserve">MK rīkojums Nr. 334 "Par finanšu līdzekļu piešķiršanu no valsts budžeta programmas "Līdzekļi neparedzētiem gadījumiem"" </t>
  </si>
  <si>
    <t>02.06.2020
18.06.2020</t>
  </si>
  <si>
    <t>Atbalsts KM kapitālsabiedrībām, LNB, Latvijas Nacionālajam arhīvam, muzejiem zaudējumu segšanai. 
Radošo personu nodarbinātības programma.</t>
  </si>
  <si>
    <t>MK noteikumi Nr. 299 "Noteikumi par valsts atbalstu īstermiņa aizdevumiem lauksaimniecībā Covid-19 izplatības negatīvās ietekmes mazināšanai"</t>
  </si>
  <si>
    <t>MK 02.06.2020 noteikumi Nr.347 "Valsts un Eiropas Savienības atbalsta piešķiršanas kārtība pasākumā "Zvejas darbību pagaidu pārtraukšana"";
MK 02.06.2020 noteikumi Nr.348 "Grozījumi Ministru kabineta 2015. gada 11. augusta noteikumos Nr. 458 "Valsts un Eiropas Savienības atbalsta piešķiršanas kārtība pasākumā "Zvejas un akvakultūras produktu apstrāde"";
MK 02.06.2020 noteikumi Nr.349 "Valsts un Eiropas Savienības atbalsta piešķiršanas kārtība pasākumā "Pasākumi sabiedrības veselības jomā" Covid-19 izplatības negatīvās ietekmes mazināšanai";
MK 02.06.2020 noteikumi Nr.350 "Valsts un Eiropas Savienības atbalsta piešķiršanas kārtība pasākumā "Uzglabāšanas atbalsts""</t>
  </si>
  <si>
    <t>Izdevumu segšanai Nacionālajam veselības dienestam, kas radušies  saistībā ar Covid-19 uzliesmojumu un seku novēršanu</t>
  </si>
  <si>
    <t>Ēku siltināšanai</t>
  </si>
  <si>
    <t>Finansējums paaugstinātas energoefektivitātes daudzdzīvokļu dzīvojamo ēku tipveida būvprojektu izstrādei</t>
  </si>
  <si>
    <t>Piešķirt Ekonomikas ministrijai finansējumu, kas nepārsniedz 426 084 euro, paaugstinātas energoefektivitātes daudzdzīvokļu dzīvojamo ēku tipveida būvprojektu izstrādei, izmantojot Latvijā ražotus vai iegūstamus būvizstrādājumus un būvkonstrukcijas, lai mazinātu Covid-19 krīzes radīto negatīvo ietekmi uz tautsaimniecību un stimulētu tautsaimniecības attīstību. Pārdalīts EM resora ietvaros.</t>
  </si>
  <si>
    <t>LM (VSAA)</t>
  </si>
  <si>
    <t>Informatīvais ziņojums "Par COVID-19 pandēmijas ietekmi uz airBaltic darbību" (IP) un MK 08.05.2020. rīk.256 "Par akciju sabiedrības "Air Baltic Corporation" pamatkapitāla palielināšanu"</t>
  </si>
  <si>
    <t>08.05.2020 14.07.2020</t>
  </si>
  <si>
    <t>IEROBEŽOTA PIEJAMĪBA. Informējam, ka atbilstoši Eiropas Parlamenta un Padomes Regulas (ES) Nr. 549/2013 ( 2013. gada 21. maijs) par Eiropas nacionālo un reģionālo kontu sistēmu Eiropas Savienībā  4.165 punkta (b) apakšpunktam paredzēto ieguldījumu kapitālsabiedrības pamatkapitālā 250 milj. euro apmērā kompetentās statistikas iestādes var uzskaitīt, kā vispārējās valdības izdevumus, tādējādi radot negatīvu ietekmi uz vispārējās valdības budžeta bilanci 2020.gadā. 
Apropriācijas palielinājums atbilstoši likuma "Par valsts apdraudējuma un tā seku novēršanas un pārvarēšanas pasākumiem sakarā ar Covid-19 izplatību" 22.pantā noteiktajam.</t>
  </si>
  <si>
    <t>MK rīk. 160 07.04.2020. Tiek finansēts no  LNG no apropriācijas palielinājuma par 300 milj. atbilstoši MK rīk. Nr.121 25.03.2020. Minētajā rīkojumā veikti divi grozījumi.
Nr.177 16.04.2020. (prot. Nr.24 59.§) un Nr.367 30.06.2020 (prot. Nr.42 54.§)</t>
  </si>
  <si>
    <t>14.07.2020.</t>
  </si>
  <si>
    <t>Lai kompensētu zaudējumus, kas radušies reģionālās nozīmes pārvadājumos ar autobusiem un vilcieniem sakarā ar Covid-19 izplatības ierobežošanai noteiktajiem drošības un sociālās distancēšanās pasākumiem sabiedriskajā transportā ārkārtējās situācijas laikā, kā arī ārkārtējās situācijas seku mazināšanai (6 325 393 euro).
Lai kompensētu izdevumus saistībā ar pasažieru pārvadājumu pakalpojuma nodrošināšanu personām, kas ierodas no ārvalstīm ar repatriācijas reisiem (16 365 euro).</t>
  </si>
  <si>
    <t>Lai nodrošinātu normatīvajos aktos noteikto izdevumu kompensēšanu par valsts publiskās lietošanas dzelzceļa infrastruktūras izmantošanu dzelzceļa pasažieru pārvadājumiem, ko sniedz saistībā ar sabiedrisko pakalpojumu līgumu (14 225 226 euro).
Lai nodrošinātu normatīvajos aktos noteikto infrastruktūras pārvaldītāja finanšu līdzsvara avansa maksājumu (13 011 000 euro).</t>
  </si>
  <si>
    <t>VAS "Latvijas dzelzceļš " pamatkapitāla palielināšana, ieguldot tajā finanšu līdzekļus 32 422 016 euro apmērā publiskās lietošanas dzelzceļa infrastruktūras uzturēšanai un attīstībai, ko konvertēt akcijās, lai nodrošinātu finanšu situācijas stabilizēšanu nozarē.</t>
  </si>
  <si>
    <t xml:space="preserve">Informatīvais ziņojums
“Par pasākumiem, kas tiek finansēti no Eiropas Lauksaimniecības fonda lauku attīstībai un Eiropas Jūrlietu un zivsaimniecības fonda virssaistību ietvaros”
</t>
  </si>
  <si>
    <t>ZM virssaistības 2014.–2020. gada plānošanas periodā LAP 2014–2020 pasākumos ar finansējumu 58 000 000 euro apmērā, tajā skaitā četru procentu apmērā M20. pasākumam “Tehniskā palīdzība” jeb 2 320 000 euro, šādos pasākumos: 
2.1. M4. pasākumā “Ieguldījumi materiālajos aktīvos” ar virssaistību finansējumu 47 570 018 euro apmērā;
2.2. M8. pasākumā “Ieguldījumi meža platību paplašināšanā un mežu dzīvotspējas uzlabošanā” ar virssaistību finansējumu 8 109 982 euro apmērā.</t>
  </si>
  <si>
    <t>Increase of the share capital of SJSC Latvijas dzelzceļš by investing financial resources in the amount of EUR 32,422,016 for the maintenance and development of public railway infrastructure, which should be converted into shares in order to ensure stabilization of the financial situation in the sector.</t>
  </si>
  <si>
    <t>TOTAL</t>
  </si>
  <si>
    <t>% of GDP</t>
  </si>
  <si>
    <t>Papildus KP ES fondu virssaistību apjoms</t>
  </si>
  <si>
    <t>KP ES fondu valsts budžeta virssaistības *-  Ēku siltināšana, veselības infrastruktūra, atbalsts uzņēmumiem (ALTUM). * (1) Saskaņā ar ES fondu 2014.–2020.gada plānošanas perioda vadības likuma 1.panta 15.punktu “virssaistības” ir “papildu saistības veikt maksājumus no valsts budžeta attiecināmo izdevumu segšanai, kas pārsniedz ES fonda finansējuma un attiecināmā valsts budžeta līdzfinansējuma summu” – t.i. papildu saistības veikt maksājumus no valsts budžeta attiecināmo izdevumu segšanai ar mērķi plānošanas perioda beigās nodrošināt ES fondu finansējuma pilnīgu izmantošanu, ņemot vērā potenciālos neatbilstoši veiktos izdevumus, pārtrauktos projektus, ietaupījumus, kavējumus un citus riskus, kas var radīt negatīvu ietekmi. Virssaistības ietver ES fondu finansējumu un valsts budžeta līdzfinansējumu, kur nepieciešams. (2) Likumā Par vidēja termiņa budžeta ietvaru 2020., 2021. un 2022. gadam 21. pants. Lai nodrošinātu virssaistību neitrālu ietekmi uz vispārējās valdības budžeta bilanci ES struktūrfondu un Kohēzijas fonda darbības programmas "Izaugsme un nodarbinātība" ietvaros, virssaistības tiek kompensētas no ES fondu finansējuma līdz plānošanas perioda beigām atbilstoši MK lēmumam.</t>
  </si>
  <si>
    <t xml:space="preserve">Pašvaldību aizņēmumu kopējais palielinājums par 150  milj. euro, lai 2020.gadā nodrošinātu aizdevumu pieejamību pašvaldībām ES fondu un pārējās ārvalstu finanšu palīdzības līdzfinansētajos augstas gatavības projektos ar tautsaimniecības nozīmi, Vides aizsardzības un reģionālās attīstības ministrijas  pieteiktajos augstas gatavības attiecīgo jomu investīciju projektos, kā arī jaunas pirmsskolas izglītības iestādes būvniecībai vai esošas pirmsskolas izglītības iestādes paplašināšanai, kas saistīti ar demogrāfijas pasākumu īstenošanu, mazinot rindas pirmsskolas izglītības iestādē, un valstiski nozīmīga investīciju projekta "Mežaparka Lielās estrādes rekonstrukcija" īstenošanai. </t>
  </si>
  <si>
    <t>Noteikumi par kapitāla ieguldījumiem komersantos, kuru darbību ietekmējusi Covid-19 izplatība</t>
  </si>
  <si>
    <t>Noteikumi par garantijām lielajiem komersantiem, kuru darbību ietekmējusi Covid-19 izplatība</t>
  </si>
  <si>
    <t>Pabalsts ģimenēm (personai) krīzes situācijā, t.sk. piemaksa pie pabalsta</t>
  </si>
  <si>
    <t>Benefit for families (person) in a crisis situation, incl. Supplement</t>
  </si>
  <si>
    <t>"Regulations on capital investments in merchants whose activities have been affected by the spread of Covid-19"</t>
  </si>
  <si>
    <t>"Regulations on Guarantees for Large Merchants Affected by the Spread of Covid-19"</t>
  </si>
  <si>
    <t>NEPLP, lai nodrošinātu sabiedrībai iespēju saņemt daudzpusīgu informāciju un viedokļus par Covid-19 krīzespārvarēšanu, kā arī nodrošinātu valsts informatīvās telpasdrošību komerciālajos elektroniskajos plašsaziņas līdzekļos.</t>
  </si>
  <si>
    <t>A total increase of municipal loans by EUR 150 million to ensure the availability of loans to local governments in 2020 in high-readiness projects co-financed by EU funds and other foreign financial assistance with economic significance, high-readiness investment projects applied by the Ministry of Environmental Protection and Regional Development, and new pre-schools for the construction of an educational institution or the expansion of an existing pre-school educational institution, which are related to the implementation of demographic measures by reducing the queues in pre-school educational institutions, and for the implementation of a nationally significant investment project "Reconstruction of Mežaparks Grand Stage".</t>
  </si>
  <si>
    <t>LIMITED ACCESS.
Please be informed that, in accordance with Regulation of the European Parliament and of the Council Commission Regulation (EU) No 549/2013 of 21 May 2013 on the European system of national and regional accounts in the European Union for an investment in share capital of EUR 150,0 million under point 4.165 (b) Competent statistical authorities can account as general government expenditure, thus having a negative impact on the general government budget balance in 2020.
Increase of appropriation according to Article 22 of the Law "On Measures for Prevention and Management of State Threats and Its Consequences due to Proliferation of Covid-19"</t>
  </si>
  <si>
    <t>Allowances for interior sector employees</t>
  </si>
  <si>
    <t>Cabinet of Ministers 160 07.04.2020. It is financed from "Funds for National Emergencies" from the increase of the appropriation by 300 mln. according to the Cabinet of Ministers No.121 25.03.2020. Two amendments have been made to that order.
No.177 16.04.2020. (protocol No. 24 59 §) and No. 367 30.06.2020 (protocol No. 42 54 §)</t>
  </si>
  <si>
    <t>In order to reduce the negative consequences of the Covid-19 crisis on the sports sector, including 2.0 million euros for the Latvian Olympic Committee, 1.9 million euros euro to the Council of Latvian Sports Federations, etc.</t>
  </si>
  <si>
    <t>Support for capital companies of the Ministry of Culture, LNL, Latvian National Archives, museums to cover losses.
Creative persons employment program.</t>
  </si>
  <si>
    <t>20.03.2020 05.06.2020</t>
  </si>
  <si>
    <t>Lai 2020.gadā nodrošinātu Covid-19 izplatības un masveida inficēšanās gadījumu novēršanu un saslimšanas risku mazināšanu Labklājības ministrijas pakļautībā esošajos valsts sociālās aprūpes centros</t>
  </si>
  <si>
    <t>P.2, P.51</t>
  </si>
  <si>
    <t>1.  118 583 euro, lai kompensētu izdevumus saistībā ar īstenotajiem Covid-19 pretepidēmijas pasākumiem, no tiem izdevumiem atlīdzībai 1825 euro (izdevumi saistībā ar piemaksu par darbu īpašos apstākļos un papildu darbu) un izdevumiem precēm un pakalpojumiem 116 758 euro (dezinfekcijas līdzekļu un individuālo aizsardzības līdzekļu iegādes izdevumi);
2.  405 462 euro izdevumiem pamatkapitāla veidošanai, lai veicinātu klientu drošību un mazinātu risku inficēties ar Covid-19, no tiem videonovērošanas sistēmu atjaunošanai (izbūvei) 277 500 euro, automātisko vārtu iegādei un uzstādīšanai 36 365 euro, aktivitāšu laukumu ierīkošanai valsts sociālās aprūpes centra “Rīga” filiālē “Teika” un filiālē “Ezerkrasti” 21 430 euro, automātisko virsmu dezinfekcijas iekārtu iegādei 49 167 euro un dezinfekcijas lampu iegādei 21 000 euro.</t>
  </si>
  <si>
    <t xml:space="preserve">MK rīkojums Nr. 399 "Par finanšu līdzekļu piešķiršanu no valsts budžeta programmas "Līdzekļi neparedzētiem gadījumiem"" </t>
  </si>
  <si>
    <t>MK rīk. Nr.413 "Par finanšu līdzekļu piešķiršanu no valsts budžeta programmas "Līdzekļi neparedzētiem gadījumiem""</t>
  </si>
  <si>
    <t>No valsts budžeta programmas 02.00.00 “Līdzekļi neparedzētiem gadījumiem” piešķirts Veselības ministrijai (Nacionālajam veselības dienestam) finansējums, kas nepārsniedz 2 054 926 euro, lai nodrošinātu zāļu krājumus ārstniecības iestādēm saistībā ar Covid-19 infekcijas izplatību valstī.</t>
  </si>
  <si>
    <t>MK rīkojums Nr.423 "Par finanšu līdzekļu piešķiršanu no valsts budžeta programmas "Līdzekļi neparedzētiem gadījumiem""</t>
  </si>
  <si>
    <t>Ar MK 13.08.2020. rīkojumu Nr.423 veikti grozījumi MK 2020.gada 16.aprīļa rīkojumā Nr.181 “Par finanšu līdzekļu piešķiršanu no valsts budžeta programmas “Līdzekļi neparedzētiem gadījumiem””, precizējot Iekšlietu ministrijai finansējumu 667 103 euro apmērā (bija 2 590 703 euro), lai Iekšlietu ministrijas padotības iestāžu amatpersonām, kas bijušas tieši iesaistītas Covid-19 seku novēršanā nodrošinātu piemaksas.</t>
  </si>
  <si>
    <t>Lai nodrošinātu attālinātā mācību procesu un klātienes studijas un lai nodrošinātu neatliekamu kultūras infrastruktūras sakārtošanas darbu veikšanu</t>
  </si>
  <si>
    <t>Sākotnēji ietekme paredzēta 22,1 milj. eiro, bet precizēta uz 51 milj. eiro, izskatot Noteikumu projektu "Noteikumi par atbalstu eksportējošiem nodokļu maksātājiem Covid-19 krīzes seku pārvarēšanai". Ar MK 11.08.2020. rīkojumu Nr.415 no LNG piešķirts Ekonomikas ministrijai (Latvijas Investīciju un attīstības aģentūrai) finansējums, kas nepārsniedz 70 200 000 euro, tai skaitā:
51 000 000 euro, lai atbalstītu krīzes skartos nodokļu maksātājus – preču un pakalpojumu eksportētājus –, kuru darbību ietekmējusi Covid-19 izplatība. Ietekme atbilstoši MK 02.09.2020. Informatīvajam ziņojumam "Par pasākumiem Covid-19 krīzes pārvarēšanai un ekonomikas atlabšanai 2020. un 2021.gadam" .</t>
  </si>
  <si>
    <t>Attālinātajam mācību procesam nepieciešamo viedtālruņu un planšetu iegādei pašvaldību vispārējās pamata un vidējās izglītības iestāžu izglītojamiem.</t>
  </si>
  <si>
    <t xml:space="preserve">Rīkojums Nr.384 "Par finanšu līdzekļu piešķiršanu no valsts budžeta programmas "Līdzekļi neparedzētiem gadījumiem"" </t>
  </si>
  <si>
    <t>Ar MK 30.06.2020. rīkojumu Nr.363 no programmas 02.00.00 "Līdzekļi neparedzētiem gadījumiem" piešķirti Izglītības un zinātnes ministrijai 5 000 000 euro, lai mazinātu Covid-19 krīzes radīto negatīvo seku ietekmi uz sporta nozari</t>
  </si>
  <si>
    <t>Finansējums pasākumiem rezrvēts ar MK 02.06.2020. sēdē izskatīto informatīvo ziņojumu "Par pasākumiem Covid-19 krīzes pārvarēšanai un ekonomikas atlabšanai" - 66 milj. euro pasākumam "Latvijas Dzelzceļš, u.c.  pārvadātājiem (pasažieru pārvadājumiem, finanšu līdzsvaram, pamatkapitāla palielināšanai, sabiedriskajam transportam dēļ COVID)". Ietekme atbilstoši MK 02.09.2020. Informatīvajam ziņojumam "Par pasākumiem Covid-19 krīzes pārvarēšanai un ekonomikas atlabšanai 2020. un 2021.gadam" .</t>
  </si>
  <si>
    <t>Valsts administrācijas skolai finanšu stabilizēšanai</t>
  </si>
  <si>
    <t>Piešķirt Valsts administrācijas skolai finansējumu  74 992 euro, lai mazinātu Covid-19 krīzes radīto negatīvo ietekmi un stabilizētu finanšu situāciju Valsts administrācijas skolā</t>
  </si>
  <si>
    <t xml:space="preserve">MK rīkojums Nr. 443 "Par finanšu līdzekļu piešķiršanu no valsts budžeta programmas "Līdzekļi neparedzētiem gadījumiem"" </t>
  </si>
  <si>
    <t>666 267 euro, lai nodrošinātu attālinātā mācību procesu un klātienes studijas, ņemot vērā Covid-19 infekcijas izplatības ierobežošanai noteiktos pasākumus</t>
  </si>
  <si>
    <t>Atbilstoši aprēķiniem tiks skarti 52 000 uzņēmumi, kuri nodarbina 465 000 darbiniekus. Pieņemot, ka maksimums pabalsts tiks pieprasīts par visiem nodarbinātajiem vidēji par 700 euro uz atbalstu varētu pretendēt 20% no visiem komersantiem, līdz kopumā minētās izmaksas mēnesī sastāda 93 000 x 700 = 65 100 000 euro 
Izmaksa plānota par 2 mēnešiem, sastādot 130 200 000  euro.‬ Ņemot vērā izpildi, pārrēķināts nepieciešamais finansējums.</t>
  </si>
  <si>
    <t>Rīgas austrumu klīniskās universitātes slimnīcas (RAKUS) pamatkapitāla palielināšana.</t>
  </si>
  <si>
    <t>Aizsardzības ministrijas centralizētais iepirkums aizsardzības līdzekļiem</t>
  </si>
  <si>
    <t>Lai nodrošinātu funkciju īstenošanu un veselības aprūpes pakalpojumu sniegšanas nepārtrauktību - RAKUS 0,66 mEUR un P.Stradiņa klīniskās universitātes slimnīca (PSKUS) 0,66 mEUR</t>
  </si>
  <si>
    <t xml:space="preserve">Piešķirts no LNG, tiek finansēts no LNG apropriācijas palielinājuma 300 milj. euro apmērā. </t>
  </si>
  <si>
    <t>MK 15.07.2020. rīk. Nr.381"Par finanšu līdzekļu piešķiršanu no valsts budžeta programmas 02.00.00 Līdzekļi neparedzētiem gadījumiem"</t>
  </si>
  <si>
    <t>MK 15.07.2020. rīk. Nr.391 "Par finanšu līdzekļu piešķiršanu valsts akciju sabiedrībai "Latvijas dzelzceļš""</t>
  </si>
  <si>
    <t>MK 15.07.2020. rīk. Nr.392 "Par valsts akciju sabiedrības "Latvijas dzelzceļš" pamatkapitāla palielināšanu"</t>
  </si>
  <si>
    <t>Iekšlietu ministrijas Informācijas centram</t>
  </si>
  <si>
    <t>To ensure distance learning and full-time studies and to ensure urgent improvement of cultural infrastructure</t>
  </si>
  <si>
    <t>14.05.2020
20.05.2020</t>
  </si>
  <si>
    <t>Par laikposmu, kamēr valstī ir izsludināta ārkārtējā situācija sakarā ar Covid-19 izplatību, personām, kurām šajā periodā ir tiesības uz šo noteikumu 3.punktā minēto piemaksu pie ģimenes valsts pabalsta par bērnu invalīdu, Valsts sociālās apdrošināšanas aģentūra līdz 2020. gada 30. jūnijam izmaksā vienreizējo piemaksu 150 euro apmērā. T.sk.23 595 EUR sistēmu modernizēšanai.</t>
  </si>
  <si>
    <t xml:space="preserve">MK rīk. Nr.141 "Par finanšu līdzekļu piešķiršanu no valsts budžeta programmas "Līdzekļi neparedzētiem gadījumiem"" </t>
  </si>
  <si>
    <t>Lai kompensētu saistībā ar Covid-19 izplatību radītos zaudējumus, nodrošinātu sabiedrības likviditāti ilgtermiņā un ekonomiskās krīzes pārvarēšanu un stabilizēšanu nozarē, atbalstīt akciju sabiedrības "Air Baltic Corporation" pamatkapitāla palielināšanu, ieguldot tajā finanšu līdzekļus 250 000 000 euro apmērā</t>
  </si>
  <si>
    <t>MK rīkojums Nr.548 "Par finanšu līdzekļu piešķiršanu no valsts budžeta programmas "Līdzekļi neparedzētiem gadījumiem""</t>
  </si>
  <si>
    <t>Covid - 19 krīzes pārvarēšanai un ekonomikas atslabšanai, tai skaitā veselības infrastruktūrai, e-veselības sistēmas pilnveidošanai  un ātrās molekulārās diagnostikas iekārtu iegādei</t>
  </si>
  <si>
    <t>Dīkstāves palīdzības pabalsts un piemaksa par bērnu</t>
  </si>
  <si>
    <t xml:space="preserve">MK rīk. Nr.415 "Par finanšu līdzekļu piešķiršanu no valsts budžeta programmas "Līdzekļi neparedzētiem gadījumiem"" </t>
  </si>
  <si>
    <t>Atbalsts valsts sociālās aprūpes centriem</t>
  </si>
  <si>
    <t xml:space="preserve">ES fondu finansējuma pārdales, lai sniegtu atbalstu zivsaimniecības nozres uzņēmumiem. </t>
  </si>
  <si>
    <t>Atbalsts ārlietu politikas nodrošināšanai</t>
  </si>
  <si>
    <t>Ārlietu ministrijas pasākumi</t>
  </si>
  <si>
    <t>ĀM</t>
  </si>
  <si>
    <t>MK rīk Nr.118 20.03.2020. Tiks finansēts no LNG  apropriācijas palielinājuma 300 milj. euro apmērā. Precizēts atbalsta apmērs uz 258 036 euro ņemot vērā MK 14.07.2020. lēmumu http://tap.mk.gov.lv/doc/2020_07/IEMRik_030620_groz118.1160.doc</t>
  </si>
  <si>
    <t>Continuation of the necessary measures for the treatment and diagnosis of COVID-19 patients until 31 December 2020.</t>
  </si>
  <si>
    <t>Support for foreign policy</t>
  </si>
  <si>
    <t>Activities of the Ministry of Foreign Affairs</t>
  </si>
  <si>
    <t>Impact on the General Government Budget Balance</t>
  </si>
  <si>
    <t>GDP, mln euro</t>
  </si>
  <si>
    <t>Item No.</t>
  </si>
  <si>
    <t>Piešķirt Ārlietu ministrijai finansējumu, kas nepārsniedz 211 000 euro, lai nodrošinātu informācijas un komunikācijas tehnoloģiju funkcionalitāti pieaugošo kiberdraudu apstākļos</t>
  </si>
  <si>
    <t>29.09.2020.</t>
  </si>
  <si>
    <t xml:space="preserve">MK rīkojums Nr. 552 "Par finanšu līdzekļu piešķiršanu no valsts budžeta programmas "Līdzekļi neparedzētiem gadījumiem"" </t>
  </si>
  <si>
    <t>Ekonomikas ministrijai 346 970 euro  Energoresursu informācijas sistēmas izstrādei ar mērķi mazināt administratīvo slogu energoefektivitātes monitoringa sistēmas dalībniekiem nodrošinot datu kvalitāti iesniedzot, kā arī datortehnikas nomaiņai  Ekonomikas ministrijas resorā.</t>
  </si>
  <si>
    <t xml:space="preserve">MK rīkojums Nr. 573 "Par finanšu līdzekļu piešķiršanu no valsts budžeta programmas "Līdzekļi neparedzētiem gadījumiem"" </t>
  </si>
  <si>
    <t xml:space="preserve">Piešķirt Iekšlietu ministrijai (Nodrošinājuma valsts aģentūrai) finansējumu 245 391 euro apmērā, lai segtu izdevumus, kas saistīti ar papildu drošības pasākumiem Covid – 19 izplatības mazināšanai – telpu papildu uzkopšanu ārkārtējās situācijas laikā, kā arī aizsargbarjeru, aizsargstiklu un piekļuves kontroles sistēmu uzstādīšanu.  </t>
  </si>
  <si>
    <t>Piešķirt Iekšlietu ministrijai (Valsts policijai) finansējumu 66 123 euro apmērā, lai segtu izdevumus, kas saistīti ar samaksu par dienesta pienākumu izpildi virs noteiktā dienesta pienākumu izpildes laika (virsstundu darbu) Covid-19 izplatības ierobežošanas pasākumos iesaistītajām amatpersonām ar speciālajām dienesta pakāpēm laika periodā no 2020.gada 1.maija līdz 2020. gada 9.jūnijam</t>
  </si>
  <si>
    <t>FinansējumsNodrošinājuma valsts aģentūrai</t>
  </si>
  <si>
    <t xml:space="preserve">MK rīkojums Nr. 560 "Par finanšu līdzekļu piešķiršanu no valsts budžeta programmas "Līdzekļi neparedzētiem gadījumiem"" </t>
  </si>
  <si>
    <t xml:space="preserve">MK rīkojums Nr. 619 "Par finanšu līdzekļu piešķiršanu no valsts budžeta programmas "Līdzekļi neparedzētiem gadījumiem"" </t>
  </si>
  <si>
    <t>MK rīk. Nr. 136 27.03.2020. Finansēts no LNG no apropriācijas palielinājuma LNG par 300 milj. atbilstoši MK rīk. Nr.121 25.03.2020. Ietekme precizēta.</t>
  </si>
  <si>
    <t>Piešķirt Nacionālajai elektronisko plašsaziņas līdzekļu padomei 30 930  euro, tai skaitā:
1. 13 832 euro, lai kompensētu izdevumus, kas saistīti ar sabiedriskā pasūtījuma komerciālajos medijos izvērtējuma veikšanu;
2. 17 098 euro VSIA „Latvijas Radio”, lai segtu izdevums par papildus satura ražošanu un izplatīšanu vīrusa Covid-19 izplatības dēļ.</t>
  </si>
  <si>
    <t>Piešķirt Nacionālajai elektronisko plašsaziņas līdzekļu padomei, lai kompensētu izdevumus, kas saistīti ar sabiedriskā pasūtījuma komerciālajos medijos izvērtējuma veikšanu;
VSIA „Latvijas Radio”, lai segtu izdevums par papildus satura ražošanu un izplatīšanu vīrusa Covid-19 izplatības dēļ.</t>
  </si>
  <si>
    <t>MK rīk. Nr.607 "Par finanšu līdzekļu piešķiršanu no valsts budžeta programmas "Līdzekļi neparedzētiem gadījumiem""</t>
  </si>
  <si>
    <t>Piešķirt Veselības ministrijai 1 638 064 euro apmērā,  lai veiktu papildu iemaksas Ārkārtas atbalsta instrumentā plašāka Covid-19 vakcīnu portfeļa pieejamības nodrošināšanai</t>
  </si>
  <si>
    <t>Finansējums medikamentu iegādei</t>
  </si>
  <si>
    <t xml:space="preserve">MK rīkojums Nr. 608 "Par finanšu līdzekļu piešķiršanu no valsts budžeta programmas "Līdzekļi neparedzētiem gadījumiem"" </t>
  </si>
  <si>
    <t>Finansējums Valsts policijai</t>
  </si>
  <si>
    <t>To provide funds to the National Electronic Media Council to reimburse the expenses related to the evaluation of public procurement in commercial media;_x000D_
State limited liability company "Latvijas Radio" to cover the publication for the production and distribution of additional content due to the spread of the Covid-19 virus. "</t>
  </si>
  <si>
    <t>Funding for the National Security Agency</t>
  </si>
  <si>
    <t>Funding for the State Police</t>
  </si>
  <si>
    <t>Provide the Ministry of the Interior (National Security Agency) with funding of EUR 245 391 to cover the costs of additional security measures to reduce the spread of Covid - 19 - additional cleaning of the premises during an emergency, as well as the installation of security barriers, safety glazing and access control systems.</t>
  </si>
  <si>
    <t>To provide the Ministry of the Interior (National Police) with funding in the amount of EUR 66 123 to cover expenses related to the payment of duties in excess of the specified duty hours (overtime) to officials involved in Covid-19 containment measures with special grades from May 1, 2020 to June 9, 2020</t>
  </si>
  <si>
    <t>346,970 euros to the Ministry of Economics for the development of the Energy Resources Information System with the aim to reduce the administrative burden for the participants of the energy efficiency monitoring system by ensuring data quality upon submission, as well as for replacing computer equipment in the Ministry of Economics.</t>
  </si>
  <si>
    <t>Ar budžeta finansējumu, kas nepārsniedz 800 000 euro kopumā plānots izsniegt grantus orientējošio 6 tūrisma operatoriem (indikatīvās izmaksas, kas apkopotas, aptaujājot tūrisma operatorus, izmaksas tiks precizētas, saņemot no operatoriem zvērinātu revidentu apliecinātus aprēķinus). Nepieciešamais finansējums samazināts par 160 000 euro, ņemot vērā izpildi.</t>
  </si>
  <si>
    <t>03.11.2020.</t>
  </si>
  <si>
    <t>Finansējums mediķu virsstundu apmaksai</t>
  </si>
  <si>
    <t>Finansējums 1 246 071 euro apmērā, lai nodrošinātu atbildīgo institūciju ārstniecības personām un pārējiem nodarbinātajiem virsstundu darba, kas saistīts ar “Covid-19” jautājumu risināšanu un seku novēršanu, apmaksas kompensēšanu no 2020.gada 1.marta līdz 2020.gada 9.jūnijam</t>
  </si>
  <si>
    <t xml:space="preserve">MK rīkojums Nr. 656 "Par finanšu līdzekļu piešķiršanu no valsts budžeta programmas "Līdzekļi neparedzētiem gadījumiem"" </t>
  </si>
  <si>
    <t>Piemaksas atbildīgo institūciju ārstniecības personām un citiem nodarbinātajiem par darbu paaugstināta riska un slodzes apstākļos.</t>
  </si>
  <si>
    <t xml:space="preserve">Piešķirt Veselības ministrijai finansējumu, kas nepārsniedz 2 926 570 euro, lai nodrošinātu piemaksas no 2020.gada 1.oktobra līdz 2020.gada 30.oktobrim atbildīgo institūciju ārstniecības personām un citiem nodarbinātajiem par darbu paaugstināta riska un slodzes apstākļos ārkārtas sabiedrības veselības apdraudējumā saistībā ar Covid-19 uzliesmojumu un seku novēršanu. </t>
  </si>
  <si>
    <t>02.06.2020 10.11.2020</t>
  </si>
  <si>
    <t>Atbalsts paredz nepilnu darba laiku strādājošo darbinieku atlīdzības kompensēšanai tiek izmaksāts kā atbalsts darba algu subsīdijai darba devējam 50 % apmērā no deklarētās mēneša vidējās bruto darba samaksas par periodu no 2020.gada 1.augusta līdz 31.oktobrim, bet ne vairāk kā 500 euro apmērā par kalendāra mēnesi par darbinieku. Vienlaikus ar Noteikumu projektu noteikts pienākums darba devējam izmaksāt darbiniekam starpību starp saņemtā atbalsta apmēru un darba samaksas apmēru, tādējādi nodrošinot, ka darbinieks saņems 100% atlīdzību.</t>
  </si>
  <si>
    <t>Grants (jeb atbalsta pieejamā summa) uzņēmumam noteikts 30% apmērā no uzņēmuma bruto darba algas, par kuru nomaksāti darba algas nodokļi 2020. gada augustā, septembrī un oktobrī, kopsummas, bet ne vairāk kā 50 000 euro par atbalsta periodu, un ne vairāk kā 800 000 euro saistītai personu grupa</t>
  </si>
  <si>
    <t>Piešķirt Tieslietu ministrijai (Ieslodzījuma vietu pārvaldei) finansējumu, kas nepārsniedz 518 730 euro, lai Tieslietu ministrijas Ieslodzījuma vietu pārvaldes nodarbinātajiem, kuri ir bijuši tieši iesaistīti Covid-19 seku novēršanā, nodrošinātu piemaksas no 2020. gada 1. aprīļa līdz 2020.  gada 31. maijam par darbu paaugstināta riska un slodzes apstākļos sabiedrības veselības apdraudējuma situācijā saistībā ar Covid-19 uzliesmojumu un tā seku novēršanu.</t>
  </si>
  <si>
    <t>Nacionālajam veselības dienestam, lai segtu izdevumus, kas radušies saistībā ar Covid-19 uzliesmojumu un seku novēršanu</t>
  </si>
  <si>
    <t xml:space="preserve">MK rīkojums Nr.640  "Par finanšu līdzekļu piešķiršanu no valsts budžeta programmas "Līdzekļi neparedzētiem gadījumiem"" </t>
  </si>
  <si>
    <t>The aid provides for the compensation of part-time employees to be paid as aid to a wage subsidy to the employer in the amount of 50% of the declared average monthly gross wage for the period from 1 August to 31 October 2020, but not more than EUR 500 per calendar month per employee. Simultaneously with the draft Regulations, the employer is obliged to pay the employee the difference between the amount of support received and the amount of salary, thus ensuring that the employee will receive 100% compensation.</t>
  </si>
  <si>
    <t>Cabinet of Ministers No.383 15.07.2020. (Protocol No. 44 § 19) 3256905 euros, Cabinet of Ministers No. 414 11.08.2020 (Protocol No. 47 § 61) 2946255 euros, Cabinet of Ministers No. 484 04.09.2020 (Protocol No. 51 § 21) 2278397 euros, Cabinet of Ministers No. 613 20.10.2020 (protocol No. 62 § 18) 3009855 euros, Cabinet of Ministers No. 641 03.11.2020 (protocol No. 67 § 6) 16807205 euros. Cabinet of Ministers No.657 06.11.2020 (protocol No. 69 § 6) 3104531 euros</t>
  </si>
  <si>
    <t>Izdevumi, lai kompensētu reģionālās nozīmes pārvadājumos radušos zaudējumus saistībā ar Covid-19 infekcijas izplatības mazināšanu un ierobežojošo pasākumu seku rezultātā pasažieru skaita mazināšanos reģionālās nozīmes pārvadājumos ar autobusiem un vilcieniem.</t>
  </si>
  <si>
    <t>Lai kompensētu reģionālās nozīmes pārvadājumos radušos zaudējumus saistībā ar Covid-19 infekcijas izplatības mazināšanu un ierobežojošo pasākumu seku rezultātā pasažieru skaita mazināšanos reģionālās nozīmes pārvadājumos ar autobusiem un vilcieniem.</t>
  </si>
  <si>
    <t>17.11.2020.</t>
  </si>
  <si>
    <t>Kopā</t>
  </si>
  <si>
    <t>MK rīkojums Nr.697 "Par finanšu līdzekļu piešķiršanu no valsts budžeta programmas "Līdzekļi neparedzētiem gadījumiem""</t>
  </si>
  <si>
    <t>Izdevumu kompensēšana mobilo sakaru operatoriem</t>
  </si>
  <si>
    <t>24.11.2020.</t>
  </si>
  <si>
    <t xml:space="preserve">MK rīkojums Nr. 675 "Par finanšu līdzekļu piešķiršanu no valsts budžeta programmas "Līdzekļi neparedzētiem gadījumiem"" </t>
  </si>
  <si>
    <t>20.03.2020 05.06.2020 24.11.2020</t>
  </si>
  <si>
    <t>IIN maksātājs par 2020. un 2021. taksācijas gadu neveic IIN  avansa maksājumus no saimnieciskās darbības ienākuma. Nosacījums attiecināms uz avansa maksājumiem, sākot ar 2020. gada 1. janvāri un 2021.gada 1.janvāri. IIN  avansa maksājumus par 2020. un 2021. taksācijas gadu var veikt labprātīgi.</t>
  </si>
  <si>
    <t>"Latvijas Nacionālā opera un balets" pamatkapitāla palielināšana</t>
  </si>
  <si>
    <t>MK rīkojums Nr.708 Par apropriācijas palielināšanu Kultūras ministrijai</t>
  </si>
  <si>
    <t>Atbalsts Covid-19 krīzes ietekmētajiem kultūras pasākumu rīkotājiem</t>
  </si>
  <si>
    <t>Informatīvais ziņojums „Par atbalsta pasākumu Covid-19 krīzes ietekmētajiem kultūras pasākumu rīkotājiem”</t>
  </si>
  <si>
    <t>Apzinot biļešu izplatīšanas tīklu sniegto informāciju par to sistēmās iegādātajām biļetēm uz kultūras pasākumiem laikā no 2020.gada 9.novembra līdz 6.decembrim, biļešu kompensēšanai nepieciešamais finansējuma apjoms un atbalsta pasākuma administrēšanas izdevumi veido ap 1 083 481 euro.  Atbalsts tiks sniegts  2021.gadā,  veicot  apropriācijas pārdali no programmas „Latvijas skolas soma” 2021.gada finansējuma, ņemot vērā ietaupītos resursus 2020.gadā.</t>
  </si>
  <si>
    <t>FM (VID)</t>
  </si>
  <si>
    <t>Piemaksas atbildīgo institūciju ārstniecības personām un citiem nodarbinātajiem novembrī-decembrī 100% apmērā par darbu paaugstināta riska un slodzes apstākļos.</t>
  </si>
  <si>
    <t>Piemaksas vispārējās izglītības iestāžu pedagogiem, profesionālās pamatizglītības, arodizglītības un profesionālās vidējās izglītības programmu pedagogiem, kuri īsteno attālināto mācību procesu</t>
  </si>
  <si>
    <t>Par finansējuma sadalījumu atbalsta sniegšanai attālinātā mācību procesa nodrošināšanai vispārējās izglītības un profesionālās izglītības iestāžu pedagogiem</t>
  </si>
  <si>
    <t xml:space="preserve">Noteikumu projekts "Grozījumi Ministru kabineta 2018.gada 28.augusta noteikumos Nr.555 "Veselības aprūpes pakalpojumu organizēšanas un samaksas kārtība"" </t>
  </si>
  <si>
    <t>Nepieciešamo pasākumu COVID-19 pacientu ārstēšanai un diagnostikai turpināšana līdz 2020.gada 31.decembrim.</t>
  </si>
  <si>
    <r>
      <t xml:space="preserve">16,0 milj. eiro - noteikumu 243.5., 243.6.apkšpunkts, 245., 248.punkts un 3.pielikuma 60.punkts - </t>
    </r>
    <r>
      <rPr>
        <b/>
        <sz val="11"/>
        <rFont val="Calibri"/>
        <family val="2"/>
        <charset val="186"/>
        <scheme val="minor"/>
      </rPr>
      <t>VM nodrošinās esošo līdzekļu ietvaros.</t>
    </r>
  </si>
  <si>
    <t>Vakcīnām</t>
  </si>
  <si>
    <t xml:space="preserve">MK rīkojums Nr. 676 "Par finanšu līdzekļu piešķiršanu no valsts budžeta programmas "Līdzekļi neparedzētiem gadījumiem"" </t>
  </si>
  <si>
    <t>94 604 euro, lai nodrošinātu sociālās apdrošināšanas informācijas sistēmas (SAIS) funkcionalitāti.</t>
  </si>
  <si>
    <t>Lai nodrošinātu VSAA sociālās apdrošināšanas informācijas sistēmas (SAIS) funkcionalitāti</t>
  </si>
  <si>
    <t>MK rīkojums Nr. 663 "Par apropriācijas pārdali neatliekamu pasākumu īstenošanai labklājības nozarē"</t>
  </si>
  <si>
    <t>P.2, D.1</t>
  </si>
  <si>
    <t>1 064 652 euro  - valsts sociālās aprūpes centros nodarbināto motivēšanai;
198 958 euro - valsts sociālās aprūpes centriem aizsardzības līdzekļu krājumu papildināšanai Covid-19 masveida infekcijas izplatības novēršanai;
izdevumu kompensēšanai saistībā ar īstenotajiem Covid-19 pretepidēmijas pasākumiem  valsts sociālās aprūpes centros 16 458 euro;
Sociālās integrācijas valsts aģentūrai izdevumu kompensēšanai saistībā ar īstenotajiem Covid-19 pretepidēmijas pasākumiem 7 546 euro apmērā (dezinfekcijas līdzekļu un individuālo aizsardzības līdzekļu iegādes izdevumi).</t>
  </si>
  <si>
    <t>Lai segtu vakcīnas pret Covid-19 iegādes, loģistikas un ievades izdevumus</t>
  </si>
  <si>
    <t>MK 01.12.2020. sēdes prot. Nr.78 3.§, "Informatīvais ziņojums "Par Covid-19 vakcīnu ieviešanas stratēģiju""</t>
  </si>
  <si>
    <t>Piemaksu pie dīkstāves atbalsta  maksā VSAA 50 euro apmērā par katru apgādībā esošu bērnu vecumā līdz 24 gadiem, par kuru darbiniekam uz dīkstāves atbalsta piešķiršanas dienu tiek piemērots iedzīvotāju ienākuma nodokļa atvieglojums</t>
  </si>
  <si>
    <t>Pašvaldībām 2020. un 2021. gadā ir tiesības noteikt no likuma par nekustamā īpašuma nodokli atšķirīgus nekustamā īpašuma nodokļa nomaksas termiņus, tos pārceļot uz vēlāku laiku.</t>
  </si>
  <si>
    <t xml:space="preserve">Dīkstāves palīdzības pabalstu personām nodrošina vismaz 180 euro apmērā – kuriem pabalsts zem 180 euro, piemaksā starpību. Ietekme 3 353 748 EUR. Ietver arī piemaksu pie dīkstāves palīdzības pabalsta 50 euro apmērā par katru apgādībā esošu bērnu vecumā līdz 24 gadiem. Ņemot vērā izpildi, pārrēķināts nepieciešamais finansējums.
Finansējums, atsākoties krīzes situācijai, netiek atjaunots.  </t>
  </si>
  <si>
    <t>The PIT payer for the 2020/2021 taxation year does not make PIT advance payments from economic income. The condition applies to advance payments from 1 January 2020/2021. PIT advance payments for the 2020/2021 taxation year can be made voluntarily.</t>
  </si>
  <si>
    <t>Local governments in years 2020/2021 have the right to set real estate tax payment terms different from the real estate tax law by postponing them to a later time.</t>
  </si>
  <si>
    <t>It is indicatively estimated that the fiscal impact is forecasted: in 2021 - EUR 75 million; In 2022 +7.5 million euros; +15 million euros in 2023 and +30 million euros in 2024. The fiscal impact is forecasted, assuming that the amount of extensions granted in the first half of next year will be 50% of the ~ 150 million euros granted in 2020. Accordingly, a total of 70% of the granted extensions will be reimbursed over the next three years.</t>
  </si>
  <si>
    <t>Of which - 28.0 mln. Euro in the local government budget 2020. Given that the single united account and the accrual principle have not yet been introduced, it is not possible to determine precisely the actual aid.
According to the SRS data, the amount of PIT advance payments to be made in 2019 was 31.81 million. EUR, in 2020 they are only 4.30 mln. EUR. At the same time, the amount of PIT payable after the results of annual income declarations has decreased. If the amount to be paid in the declarations for 2018 was 45.07 million. EUR, then for 2019 it is 42.74 mln. EUR. The support has also been extended to 2021</t>
  </si>
  <si>
    <t>Ministry of Finance
(SSIA)</t>
  </si>
  <si>
    <t>Ministry of Finance,
Local Governments</t>
  </si>
  <si>
    <t>The downtime assistance allowance for individuals is provided in the amount of at least 180 euros - for those the benefit is less than 180 euros, the difference is paid. Impact EUR 3 353 748. Also includes a supplement to the downtime allowance of EUR 50 for each dependent child under the age of 24. Taking into account the execution, the required funding has been recalculated.
Funding is not restored once the crisis resumes.</t>
  </si>
  <si>
    <t>Taking into account the data of the State Social Insurance Agency in April-July 2020, when renewing the continuation of parental benefit, the planned number of recipients of parental benefit continuation is 700 persons per month on average, the average amount to be paid per month is 220 euros (average in August-October). Planned expenditure: EUR 154 000 per month on average. The actual costs for the continuation of parental benefit can also be covered in 2021.</t>
  </si>
  <si>
    <t>Ministry of Welfare</t>
  </si>
  <si>
    <t>Ministry of Welfare (SSIA)</t>
  </si>
  <si>
    <t>Ministry of Economics; Ministry of Finance
(State Revenue Service)</t>
  </si>
  <si>
    <t>Ministry of Culture;
Ministry of Finance
(State Revenue Service)</t>
  </si>
  <si>
    <t>Ministry of Economics; Ministry of Welfare (SSIA)</t>
  </si>
  <si>
    <t>Ministry of Economics</t>
  </si>
  <si>
    <t>Ministry of Finance
(State Revenue Service)</t>
  </si>
  <si>
    <t>Cabinet of Ministers 01.12.2020. sitting prot. No.78 § 3, "Information report" On the implementation strategy of Covid-19 vaccines ""</t>
  </si>
  <si>
    <t>Allowances for medical practitioners and other employees of the responsible institutions in November-December in the amount of 100% for work in conditions of increased risk and workload.</t>
  </si>
  <si>
    <t>For Vaccines</t>
  </si>
  <si>
    <t>On the distribution of funding for the provision of support for the provision of distance learning process for teachers of general education and vocational education institutions</t>
  </si>
  <si>
    <t>To provide allowances from 1 October 2020 to 30 November 2020 to officials of subordinate institutions of the Ministry of the Interior with special service ranks for work in conditions of increased risk and workload in a situation of public health threat related to the Covid-19 outbreak and its consequences</t>
  </si>
  <si>
    <t>To compensate for the losses caused by regional transport due to the reduction of the spread of Covid-19 infection and the reduction of the number of passengers in regional transport by bus and train as a result of the restrictive measures.</t>
  </si>
  <si>
    <t>Expenditure to compensate for regional transport losses due to the reduction of the Covid-19 infection and the reduction in the number of passengers in regional bus and train transport as a result of the restrictive measures.</t>
  </si>
  <si>
    <t>Cabinet Order No. 708 On Increasing the Appropriation for the Ministry of Culture</t>
  </si>
  <si>
    <t>Support for organizers of cultural events affected by the Covid-19 crisis</t>
  </si>
  <si>
    <t>Increase of the share capital of the "Latvian National Opera and Ballet"</t>
  </si>
  <si>
    <t>Cabinet of Ministers Order No. 663 "On the reallocation of appropriations for emergency measures in the welfare sector"</t>
  </si>
  <si>
    <t>It is estimated that 52,000 companies with 465,000 employees will be affected. Assuming a maximum benefit of € 700 for all employees on average, 20% of all businesses could be eligible for support, up to a total of 93,000 x 700 per month = EUR 65 100 000
The disbursement is planned for 2 months, amounting to 130,200,000 euros.
Taking into account the actual performance, the required funding has been recalculated.</t>
  </si>
  <si>
    <t xml:space="preserve">12,221 self-employed persons, assuming that they will all claim a downtime benefit up to a maximum of € 700, the total monthly costs will be 12,221 persons x € 700 = € 8,554,700. In two months, the total expenditure is 17 109 400 euros.
There are 13,000 micro-enterprise taxpayers in the sectors affected by the crisis. The monthly costs will be 13,000 persons x € 700 = € 9,100,000. EUR 18 200 000 in two months.
</t>
  </si>
  <si>
    <t>For the period when a state of emergency has been declared in the country due to the spread of Covid-19, the SSIA pays a benefit for a child under the age of seven - 161.25 euros per month and for a child from the age of seven - 193.50 euros per month. The amount of the SSIA benefit is calculated for the period from March 12, 2020 and is paid until June 30, 2020. Actual estimate according to actual performance. Taking into account the actual performance, the required funding has been recalculated. Funding is not to be restored once the crisis resumes.</t>
  </si>
  <si>
    <t>For the period while a state of emergency has been declared in the country due to the spread of Covid-19, persons who in this period are entitled to the supplement referred to in Paragraph 3 of these Regulations to the state family benefit for a disabled child, the State Social Insurance Agency until 30 June 2020 one additional payment of EUR 150 shall be paid. Including 23 595 EUR for system modernization</t>
  </si>
  <si>
    <t>Initially, the impact is estimated at 22.1 million. euro, but adjusted to 51 mln. euro, considering the draft Regulations "Regulations on support for exporting taxpayers to overcome the consequences of the Covid-19 crisis". By the Cabinet of Ministers 11.08.2020. Order No. 415 from the LNG has granted funding to the Ministry of Economics (Latvian Investment and Development Agency) not exceeding EUR 70,200,000, including:
EUR 51 000 000 to support taxpayers affected by the crisis - exporters of goods and services - affected by the proliferation of Covid-19. Impact according to the Cabinet of Ministers 02.09.2020. For the information report "On measures to overcome the Covid-19 crisis and economic recovery for 2020 and 2021".</t>
  </si>
  <si>
    <t>Cabinet of Ministers No. 120 "On the increase of the share capital of the state joint stock company"Latvian air Traffic "</t>
  </si>
  <si>
    <t>Ministry of Transport</t>
  </si>
  <si>
    <t>Ministry of Health</t>
  </si>
  <si>
    <t>Ministry of Interior</t>
  </si>
  <si>
    <t>Ministry of Defence</t>
  </si>
  <si>
    <t>Ministry of Education and Science</t>
  </si>
  <si>
    <t>State Chancellery</t>
  </si>
  <si>
    <t>National Electronic Mass Media Council</t>
  </si>
  <si>
    <t>Society Integration Foundation</t>
  </si>
  <si>
    <t>Ministry of Justice</t>
  </si>
  <si>
    <t>Ministry of Economics, Ministry of Welfare, Ministry of Education and Science</t>
  </si>
  <si>
    <t>Ministry of Welfare, 
Ministry of Economics</t>
  </si>
  <si>
    <t>Ministry of Foreign Affairs</t>
  </si>
  <si>
    <t>Ministry of Economics,Ministry of Finance (State Revenue Service)</t>
  </si>
  <si>
    <t>Funding for the measures was reserved by the Cabinet of Ministers on 02.06.2020 The informative report "On measures to overcome the Covid-19 crisis and economic recovery" considered at the meeting - 66 mln. euro for the measure "Latvijas Dzelzceļš, etc. for carriers (passenger transport, financial balance, increase of share capital, public transport due to COVID)" Impact according to the Cabinet of Ministers Information Report of 02.09.2020 "On Measures for Overcoming the Covid-19 Crisis and Economic Recovery for 2020 and 2021".</t>
  </si>
  <si>
    <t>11.12.2020.</t>
  </si>
  <si>
    <t xml:space="preserve">MK rīkojums Nr. 756 "Par finanšu līdzekļu piešķiršanu no valsts budžeta programmas "Līdzekļi neparedzētiem gadījumiem"" </t>
  </si>
  <si>
    <t>Piemaksas Valsts probācijas dienesta darbiniekiem</t>
  </si>
  <si>
    <t>Nodrošinot naudas balvas Valsts probācijas dienesta nodarbinātajiem paaugstinātas intensitātes un slodzes  apstākļos Covid-19 infekcijas izplatības ierobežošanai nepieciešamo pasākumu īstenošanas laikā</t>
  </si>
  <si>
    <t>Nepieciešamais papildu finansējums naudas balvu izmaksai 319 nodarbinātajiem un valsts sociālās apdrošināšanas obligāto iemaksu veikšanai valsts budžetā (393 291 euro) normatīvajos aktos noteiktajā kārtībā tiks pārdalīts no budžeta resora 74. programmas 02.00.00 "Līdzekļi neparedzētiem gadījumiem" uz TM pamatbudžeta programmu 99.00.00 "Līdzekļu neparedzētiem gadījumiem izlietojums". Savukārt, finansējums naudas balvu izmaksai 73 nodarbinātajiem (107 522 euro) tiks nodrošināts TM budžeta apakšprogrammā 04.03.00 "Probācijas īstenošana" piešķirto līdzekļu ietvaros, ņemot vērā finanšu līdzekļu atlikumu saistībā ar amata vietu periodiskām vakancēm un nodarbināto pārejošu darba nespēju (B lapas).</t>
  </si>
  <si>
    <t>18.06.2020 03.11.2020 10.12.2020</t>
  </si>
  <si>
    <t>02.04.2020 17.12.2020</t>
  </si>
  <si>
    <t>Atbalsts darbojas līdz 2021. gada 30.jūnijam</t>
  </si>
  <si>
    <t>24.03.2020 17.12.2020</t>
  </si>
  <si>
    <t>14.07.2020 17.12.2020</t>
  </si>
  <si>
    <t>2020.gadā izdevumos tiek uzskaitīti ALTUM rezerves kapitālā ieguldītie līdzekļi 25 milj. euro apmērā. 17.12. MK lēmis 2,5 milj. eiro novirzīt citām programmām, tāpat pagarināt programmas darbību līdz 30.06.2021. Uz 07.12. ALTUM garantiju apjoms veido 93 milj. eiro, kopā plānots programmā 340 milj. eiro (2020.g. martā bija plānoti 415 milj. eiro).</t>
  </si>
  <si>
    <t xml:space="preserve">2020.gadā izdevumos tiek uzskaitīti ALTUM rezerves kapitālā ieguldītie līdzekļi 25 milj. euro apmērā. 17.12. MK lēmis pagarināt programmas darbību līdz 31.12.2021. </t>
  </si>
  <si>
    <t>Pasākumiem, kas ir  radušies saistībā ar Covid - 19 uzliesmojumu un seku novēršanu</t>
  </si>
  <si>
    <t>11 680 957 euro  apmērā  tiks nodrošināti Veselības ministrijai piešķirto budžeta līdzekļa ietvaros</t>
  </si>
  <si>
    <t>Veselības ministrijas pieprasījumu 2 605 241 euro apmērā (2021. gadā), lai  segtu izdevumus saistībā ar vakcīnas pret Covid-19 iegādi.</t>
  </si>
  <si>
    <t>MK 14.07.2020. noteikumi Nr.455 "Covid-19 skarto tūrisma nozares saimnieciskās darbības veicēju atbalsta piešķiršanas kārtība" tūrisma nozares atbalstam paredzēti 19,2 milj. euro. Ietekme atbilstoši MK 02.09.2020. Informatīvajam ziņojumam "Par pasākumiem Covid-19 krīzes pārvarēšanai un ekonomikas atlabšanai 2020. un 2021.gadam" . Precizēta ietekme atbilstoši faktiskai izpildei. 11.12.2020. rīkojums nr.759</t>
  </si>
  <si>
    <t>Garantijas saimnieciskās darbības veicējiem</t>
  </si>
  <si>
    <t>Valsts budžeta finansējums garantiju izmaksai</t>
  </si>
  <si>
    <t>“Grozījumi Ministru kabineta 2020.gada 19.marta noteikumos Nr.150 “Noteikumi par garantijām saimnieciskās darbības veicējiem, kuru darbību ietekmējusi Covid-19 izplatība””, kuri paredz 2,5 milj. euro finansējuma pārdali uz Noteikumiem, lai nodrošinātu garantijas lielajiem saimnieciskās darbības veicējiem.
“Grozījumi Ministru kabineta 2020.gada 14.jūlija noteikumos Nr.454 “Noteikumi par garantijām lielajiem komersantiem, kuru darbību ietekmējusi Covid-19 izplatība”” par 2 milj. euro pārdali uz Noteikumiem garantiju sniegšanai lielajiem saimnieciskās darbības veicējiem.</t>
  </si>
  <si>
    <t>Laikposmā no 2020.gada 30.novembra līdz 2020.gada 31.decembrim tiesības uz vienreizēju slimības palīdzības pabalstu par 14 kalendāra dienām un laikposmā no 2021.gada 1.janvāra līdz 2021.gada 30.jūnijam tiesības uz slimības palīdzības pabalstu ir vienam no bērna vecākiem, vienam no adoptētājiem, aizbildnim vai citai personai. Vienreizējo slimības palīdzības pabalstu izmaksās 60% apmērā no pabalsta pieprasītāja vidējās apdrošināšanas iemaksu algas par iepriekšējiem 12 kalendārajiem mēnešiem.</t>
  </si>
  <si>
    <t>Līdzekļu pārdale LM resorā, lai piešķirtu līdzekļus valsts sociālās aprūpes centriem piemaksu nodrošināšanai un individuālās aizsardzības līdzekļiem</t>
  </si>
  <si>
    <t>Piemaksas līdz 50% apmērā no mēnešalgas paaugstināta riska apstākļos aprūpē iesaistītajam personālam</t>
  </si>
  <si>
    <t>Lai nodrošinātu Ziemassvētku dievkalpojumu translāciju komerciālajos medijos</t>
  </si>
  <si>
    <t>Piešķirt Iekšlietu ministrijai finansējumu ne vairāk kā 36 300 euro informācijas sistēmas "Ieceļotāju uzskaites kontroles informācijas sistēmas (IECIS)" izstrādei 2020. gadā un 30 000 euro 2021. gadā</t>
  </si>
  <si>
    <t>18.08.2020 13.10.2020 10.12.2020.</t>
  </si>
  <si>
    <t xml:space="preserve">Informācijas sistēmas "Ieceļotāju uzskaites kontroles informācijas sistēmas (IECIS)" izstrādei </t>
  </si>
  <si>
    <t>Individuālo aizsardzības līdzekļu un medicīnisko sejas masku testēšanas laboratorijas izveidieun akreditācija uz Rīgas Tehniskās universitātes bāzes 2020.-2021.gadā, lai steidzamības kārtībā sniegtu ieguldījumu Covid-19 krīzes pārvarēšanai un ekonomikas atlabšanai, kā arī nodrošinātu speciālo aizsargtērpu un speciālā apģērba testēšanas vajadzības Latvijā</t>
  </si>
  <si>
    <t>Pagarināts bērnu kopšanas pabalsts un piemaksa</t>
  </si>
  <si>
    <t xml:space="preserve">Pabalsts aizbildnim lielākā apmērā par bērna uzturēšanu </t>
  </si>
  <si>
    <t>Vienreizēja piemaksa pie ģimenes valsts pabalsta par bērnu invalīdu</t>
  </si>
  <si>
    <t>Atbalsts tautsaimniecībai, milj. eiro</t>
  </si>
  <si>
    <t>Atbalsts tautsaimniecībai, % no IKP</t>
  </si>
  <si>
    <t>Plāns</t>
  </si>
  <si>
    <t>Plāns (18.12.2020)</t>
  </si>
  <si>
    <t>Piemaksa pie dīkstāves atbalsta  par bērniem</t>
  </si>
  <si>
    <t>Slimības pabalsta apmaksa no valsts budžeta no 1./2.dienas</t>
  </si>
  <si>
    <t>Personai, kurai tiek izsniegta darbnespējas lapa par Covid-19 vai atrašanos karantīnā no 2020. gada 22. marta līdz 2020. gada 31.decembrim, slimības pabalstu piešķir un izmaksā par laiku no darbnespējas 2. dienas (80% apmērā no vidējās apdrošināšanas iemaksu algas).</t>
  </si>
  <si>
    <t>Atbalsts dīkstāvē esošu darbinieka atlīdzības kompensēšanai tiek izmaksāts darbiniekam 70 % apmērā no deklarētās mēneša vidējās bruto darba samaksas par periodu no 2020. gada 1. augusta līdz 30. oktobrim, vai no to deklarēto mēnešu vidējo bruto darba samaksas pēc 2020. gada 1. augusta, kuros darbinieks faktiski strādājis, bet ne mazāk kā 330 euro apmērā un ne vairāk kā 1000 euro apmērā par kalendāra mēnesi. Atbalsta periods līdz 2021. gada 30.jūnijam.</t>
  </si>
  <si>
    <t>Tiek aplēsts, ka no valdības ārkārtas situācijas lēmumu rezultātā ietekmētajiem nozares uzņēmumiem uz dīkstāves atbalstu pieteiksies 70% uzņēmumi no 1.pielikumā ietvertajās nozarēs kopējā ietekmētā nozaru uzņēmumu skaita (saskaņā ar VID datiem apmēram 43 000 subjektu, 45 000 darba ņēmēju un vidējā mēneša bruto darba samaksa 2020.gada 3.ceturksnī 644,58 euro) un uz algu subsīdiju atbalstu 30% no 2.pielikumā ietvertajās nozarēs kopējā ietekmētā nozaru uzņēmumu skaita (saskaņā ar VID datiem apmēram 112 000 uzņēmumi, 135 000 darba ņēmēju).
Dīkstāves atbalstam: 45 000 (darbinieki) x 70% x 644,58 euro = 20 304 270,00 euro mēnesī. 2021.gadam EM prognozē 97,6 milj. eiro.</t>
  </si>
  <si>
    <t>Pēc CSP datiem pavisam nodarbināti ir 867 tūkstoši darbinieku, no kuriem privātajā sektorā 607 tūkstoši darbinieku. Bez darba ienākumiem ir 63 tūkstoši. Ņemot vērā programmas nosacījumus, ja tiktu pieteikti pilnīgi visi darbinieki (~543 tūkstoši), tad kopējā atbalsta summa pārsniegtu 190 milj eiro. 
Pieņemot ka 30% no darba kolektīva tiks pieteikta darba algu subsīdijai (jo daļa darbinieku tiks pieteikti dīkstāves pabalstam un daļai uzņēmumu nav apgrozījuma krituma) kopējā ietekme uz budžetu veidosies ap 39 milj eiro mēnesī, kopējam  atbalsta sākotnēji veidojot 78 milj. eiro. Ņemot vērā izpildi 2020.g. un nosacījumu maiņu, EM paredz, ka 2021.gadam būs nepieciešami 75,7 milj. eiro</t>
  </si>
  <si>
    <t>10.11.2020 07.01.2021 12.01.2021</t>
  </si>
  <si>
    <t>27.04.2020 07.01.2021</t>
  </si>
  <si>
    <t>Ātrāka PVN pārmaksas atmaksa</t>
  </si>
  <si>
    <t>Nekustamā īpašuma nodokļa termiņa pagarinājums</t>
  </si>
  <si>
    <t>Iespēja nemaksāt IIN avansa maksājumus</t>
  </si>
  <si>
    <t>Nodokļu samaksas termiņa pagarināšana vai sadalīšana termiņos līdz 3 gadiem</t>
  </si>
  <si>
    <t>Atbalsts uzņēmumu nomas maksai</t>
  </si>
  <si>
    <t>Atbalsts algu subsīdijai nepilna laika darbiniekiem</t>
  </si>
  <si>
    <t>Dīkstāves atbalsts uzņēmumu darbiniekiem, patentmaksātājiem, pašnodarbinātajiem</t>
  </si>
  <si>
    <t>Slimības palīdzības pabalsts, bērnu aprūpei</t>
  </si>
  <si>
    <t>Grants apgrozāmajiem līdzekļiem</t>
  </si>
  <si>
    <t>Kapitāla fonds lielajiem komersantiem</t>
  </si>
  <si>
    <t>22.12.2020.</t>
  </si>
  <si>
    <t xml:space="preserve">MK rīkojums Nr. 796 "Par finanšu līdzekļu piešķiršanu no valsts budžeta programmas "Līdzekļi neparedzētiem gadījumiem"" </t>
  </si>
  <si>
    <t>45 (euro) x 14 (dienas) x 1150 (personu skaits) x 3 (mēneši)  = 2 173 500 eiro euro</t>
  </si>
  <si>
    <t>Rik. Nr.1 Par apropriācijas palielināšanu Veselības ministrijai</t>
  </si>
  <si>
    <t>1 793 053 euro apmērā, valsts sabiedrības ar ierobežotu atbildību "Bērnu klīniskā universitātes slimnīca" pamatkapitāla palielināšanu, ieguldot tajā finanšu līdzekļus 4 500 euro apmērā, un sabiedrības ar ierobežotu atbildību "Rīgas Austrumu klīniskā universitātes slimnīca" pamatkapitāla palielināšanu, ieguldot tajā finanšu līdzekļus 2 963 895 euro apmērā, medicīnisko iekārtu un papildaprīkojuma iegādei</t>
  </si>
  <si>
    <t>Ieguldījumi slimīcu pamatkapitālā medicīnisko iekārtu un papildaprīkojuma iegādei</t>
  </si>
  <si>
    <t xml:space="preserve">MK rīkojums Nr. 2 "Par finanšu līdzekļu piešķiršanu no valsts budžeta programmas "Līdzekļi neparedzētiem gadījumiem"" </t>
  </si>
  <si>
    <t>Finansējums papildus Covid-19 gultas vietu izveidei</t>
  </si>
  <si>
    <t>Finansējums slimnīcām, lai palielinātu Covid-19 pacientu aprūpei izmantojamo gultu skaitu.</t>
  </si>
  <si>
    <t>Atbalsts, ko piešķir saimnieciskās darbības veicējam darba samaksas un citu operacionālo izmaksu kompensēšanai Covid-19 krīzes seku pārvarēšanai</t>
  </si>
  <si>
    <t xml:space="preserve">MK rīkojums Nr. 21 "Par finanšu līdzekļu piešķiršanu no valsts budžeta programmas "Līdzekļi neparedzētiem gadījumiem"" </t>
  </si>
  <si>
    <t>Mērķprogrammas īstenošanai plānots finansējums 3 000 000 euro apmērā, paredzot, ka finansējums tiks piešķirts vidēji 110 organizācijām mēnesī sešu mēnešu periodā, vidēji 4 469 euro vienai organizācijai mēnesī. No mērķprogrammas finansējuma tiks apmaksāts arī neatkarīga vērtētāja pakalpojums, kura izmaksas tiks noskaidrotas iepirkuma rezultātā, šobrīd šim mērķim tiek plānoti izdevumi 50 460 euro apmērā (ieskaitot pievienotās vērtības nodokli).</t>
  </si>
  <si>
    <t>14.07.2020 14.01.2021</t>
  </si>
  <si>
    <t>Medikamenta Veclury ar aktīvo vielu remdesivīrs pieejamībai</t>
  </si>
  <si>
    <t xml:space="preserve">MK rīkojums Nr. 22 "Par finanšu līdzekļu piešķiršanu no valsts budžeta programmas "Līdzekļi neparedzētiem gadījumiem"" </t>
  </si>
  <si>
    <t xml:space="preserve">2020.gadā kopējais finansējums īstermiņa aizdevumu izsniegšanai plānots 59 840 000 euro apmērā. Noteikumu projektā ir paredzēta minimālā aizdevuma summa 700 euro un kopējais pretendentu skaits ir apmēram 15 249 ar kopējo vienotam platības maksājumam pieteikto platību 1 496 000 ha. Vienan pretendentam aizdevuma kopējo summu aprēķina ar likmi 40 euro par 1 ha. LAD 2020.gadā ir izmaksājis vienoto platības maksājumu aizdevumu 1533 lauksaimniekiem par kopējo summu 11,06 milj.EUR. </t>
  </si>
  <si>
    <t>Garantijas lielajiem komersantiem</t>
  </si>
  <si>
    <t>Finanšu instruments, garantijas lielo komersantu atbalstam (ALTUM) modernizācijai</t>
  </si>
  <si>
    <t>Aizdevumi un procentu likmju subsīdijas lielajiem komersantiem</t>
  </si>
  <si>
    <t>Noteikumi par aizdevumiem un to procentu likmju subsīdijām komersantiem konkurētspējas veicināšanai</t>
  </si>
  <si>
    <t>Lielo komersantu atbalstam (ALTUM) modernizācijai, aizdevumi un procentu likmju subsīdijas</t>
  </si>
  <si>
    <t>16.06.2020. 17.12.2020</t>
  </si>
  <si>
    <t>Grozījumi Ministru kabineta 2020.gada 16.jūnija noteikumos Nr.383 "Noteikumi par garantijām saimnieciskās darbības veicējiem konkurētspējas uzlabošanai"</t>
  </si>
  <si>
    <r>
      <t xml:space="preserve">"Covid-19 infekcijas izplatības seku pārvarēšanas likums"; </t>
    </r>
    <r>
      <rPr>
        <u/>
        <sz val="11"/>
        <color rgb="FFFF0000"/>
        <rFont val="Calibri"/>
        <family val="2"/>
        <charset val="186"/>
        <scheme val="minor"/>
      </rPr>
      <t>Likums "Par valsts apdraudējuma un tā seku novēršanas un pārvarēšanas pasākumiem sakarā ar Covid-19 izplatību" [zaudējis spēku]</t>
    </r>
  </si>
  <si>
    <t>Valsts budžeta mērķdotācijas pašvaldībām. Sākotnēji kā nepieciešams finansējums noteikts 18 000 personas x 40,00 euro x 3 mēneši = 2,16 milj. euro. 16.04.2020. lēmums par pabalsta izmakstas termiņa pagarināšanu par vienu mēnesi. Ņemot vērā izpildi, pārrēķināts nepieciešamais finansējums.
Pabalsts turpinās  līdz vienam kalendārajam mēnesim pēc ārkārtas situācijas beigām.</t>
  </si>
  <si>
    <t xml:space="preserve">MK rīk. Nr.11 "Par finanšu līdzekļu piešķiršanu no valsts budžeta programmas "Līdzekļi neparedzētiem gadījumiem"" </t>
  </si>
  <si>
    <t>Pagarināta slimības pabalsta izmaksa no valsts budžeta (līdz 2021.gada 30.jūnijam) gadījumos, kad konstatēta saslimšana ar Covid-19 vai noteikta karantīna, kā arī paredzēts terminēt kārtību, kādā tiek izmaksāts slimības pabalsts un izsniegta darbnespējas lapa gadījumā, ja personai ir elpošanas sistēmas saslimšana, motivējot personas pašizolāciju. Izsniedz par laiku no darbnespējas pirmās līdz darbnespējas trešajai dienai un par šo periodu piešķir slimības pabalstu 80 procentu apmērā no pabalsta saņēmēja vidējās apdrošināšanas algas, bet pēc 3.dienas pozitīva Covid-19 testa gadījumā pagarina.</t>
  </si>
  <si>
    <t>MK not. Nr. 165 "Noteikumi par Covid-19 krīzē skartiem uzņēmumiem, kuri kvalificējas dīkstāves pabalstam un nokavēto nodokļu maksājumu samaksas sadalei termiņos vai atlikšanai uz laiku līdz trim gadiem" [zaudējis spēku]</t>
  </si>
  <si>
    <t>MK rīkojums Nr.15 "Par finanšu līdzekļu piešķiršanu no valsts budžeta programmas "Līdzekļi neparedzētiem gadījumiem""</t>
  </si>
  <si>
    <t xml:space="preserve">MK rīk. Nr.12 ""Par finanšu līdzekļu piešķiršanu no valsts budžeta programmas "Līdzekļi neparedzētiem gadījumiem"" </t>
  </si>
  <si>
    <t>Pagarināts par periodu no 2020. gada 9.novembra līdz dienai, kad persona sāk gūt ienākumus kā darba ņēmējs vai pašnodarbinātais, bet ne ilgāk kā līdz sakarā ar Covid-19 izsludinātās ārkārtējās situācijas beigām (līdz 700 EUR).</t>
  </si>
  <si>
    <t xml:space="preserve">MK rīk. Nr.16 ""Par finanšu līdzekļu piešķiršanu no valsts budžeta programmas "Līdzekļi neparedzētiem gadījumiem"" </t>
  </si>
  <si>
    <t xml:space="preserve">MK rīk. Nr.20 "Par finanšu līdzekļu piešķiršanu no valsts budžeta programmas "Līdzekļi neparedzētiem gadījumiem"" </t>
  </si>
  <si>
    <t>MK rīk. Nr.368 "Par finanšu līdzekļu piešķiršanu no valsts budžeta programmas "Līdzekļi neparedzētiem gadījumiem""</t>
  </si>
  <si>
    <t>Pabalstu izmaksā pirmos divus mēnešus 500 euro apmērā, trešajā un ceturtajā mēnesī 375 euro apmērā personām, kuras gada laikā pirms ārkārtējās situācijas izsludināšanas ir beigušas mācības augstskolā vai koledžā, kur ir ieguvušas augstāko izglītību, un ir ieguvušas bezdarbnieka statusu ārkārtējās situācijas laikā vai triju mēnešu laikā pēc tās beigām. Lai segtu izdevumus saistībā ar sociālās apdrošināšanas informācijas sistēmas (SAIS) funkcionalitātes nodrošināšanu.</t>
  </si>
  <si>
    <t>MK rīk. Nr.14 "Par finanšu līdzekļu piešķiršanu no valsts budžeta programmas "Līdzekļi neparedzētiem gadījumiem""</t>
  </si>
  <si>
    <r>
      <t xml:space="preserve">IEROBEŽOTA PIEEJAMĪBA. Rīkojums paredz atbalstīt VAS "Latvijas gaisa satiksme" pamatkapitāla palielināšanu, ieguldot tajā finanšu līdzekļus 6 000 000 </t>
    </r>
    <r>
      <rPr>
        <i/>
        <sz val="11"/>
        <rFont val="Calibri"/>
        <family val="2"/>
        <scheme val="minor"/>
      </rPr>
      <t>euro</t>
    </r>
    <r>
      <rPr>
        <sz val="11"/>
        <rFont val="Calibri"/>
        <family val="2"/>
        <scheme val="minor"/>
      </rPr>
      <t xml:space="preserve"> apmērā, lai nodrošinātu ekonomiskā šoka absorbēšanu, krīzes pārvarēšanu un ekonomiskās situācijas nozarē stabilizēšanu.
Atbilstoši Eiropas Parlamenta un Padomes Regulas (ES) Nr. 549/2013 ( 2013. gada 21. maijs ) par Eiropas nacionālo un reģionālo kontu sistēmu Eiropas Savienībā  4.165 punkta (b) apakšpunktam paredzēto ieguldījumu kapitālsabiedrības pamatkapitālā kompetentās statistikas iestādes var uzskaitīt, kā vispārējās valdības izdevumus, tādējādi radot negatīvu ietekmi uz vispārējās valdības budžeta bilanci 2020.gadā. 
Apropriācijas palielinājums atbilstoši likuma "Par valsts apdraudējuma un tā seku novēršanas un pārvarēšanas pasākumiem sakarā ar Covid-19 izplatību" 22.pantā noteiktajam.</t>
    </r>
  </si>
  <si>
    <t>Lai segtu izdevumus (medicīnisko iekārtu iegādei), kas radušies saistībā ar Covid-19 uzliesmojumu, tai skaitā:  valsts sabiedrībai ar ierobežotu atbildību "Bērnu klīniskā universitātes slimnīca" 3 611 547 euro, valsts sabiedrībai ar ierobežotu atbildību "Paula Stradiņa klīniskā universitātes slimnīca" 3 698 365 euro, sabiedrībai ar ierobežotu atbildību "Rīgas Austrumu klīniskā universitātes slimnīca" 6 798 925 euro.</t>
  </si>
  <si>
    <t>1.1. polimerāzes ķēdes reakcijas (PĶR) reālā laika iekārtu iegādei - nepārsniedzot 110 300 euro;
1.2. ekstrakorporālās membrānu oksigenācijas iekārtu, vidējās ārstēšanas setu (ECMO), mākslīgās plaušu ventilācijas iekārtu un neinvazīvās ventilācijas iekārtu iegādei - nepārsniedzot 775 505 euro.</t>
  </si>
  <si>
    <t>MK rīk. Nr.220 "Par finanšu līdzekļu piešķiršanu no valsts budžeta programmas "Līdzekļi neparedzētiem gadījumiem""</t>
  </si>
  <si>
    <t>MK rīk. Nr.18"Par finanšu līdzekļu piešķiršanu no valsts budžeta programmas "Līdzekļi neparedzētiem gadījumiem""</t>
  </si>
  <si>
    <t>MK rīk. Nr.79  "Par finanšu līdzekļu piešķiršanu no valsts budžeta programmas "Līdzekļi neparedzētiem gadījumiem" un Nr.118  "Par finanšu līdzekļu piešķiršanu no valsts budžeta programmas "Līdzekļi neparedzētiem gadījumiem""</t>
  </si>
  <si>
    <t xml:space="preserve">Piešķirt VM finansējumu, kas nepārsniedz 10 000 000 euro, lai segtu izdevumus, kas radušies saistībā ar Covid-19 uzliesmojumu un tā seku novēršanu. Pilnvarot veselības ministru lemt par finansējuma izlietojumu atbilstoši faktiskajai nepieciešamībai.
Piešķirt Veselības ministrijai finansējumu, kas nepārsniedz 1 742 420 euro, lai segtu izdevumus, kas radušies saistībā ar koronavīrusa "Covid-19" uzliesmojumu. </t>
  </si>
  <si>
    <t>09.06.2020 15.07.2020 11.08.2020 04.09.2020 20.10.2020 03.11.2020 06.11.2020</t>
  </si>
  <si>
    <t>Noteikumi Nr.367 "Grozījumi Ministru kabineta 2018.gada 28.augusta noteikumos Nr.555 "Veselības aprūpes pakalpojumu organizēšanas un samaksas kārtība""</t>
  </si>
  <si>
    <t>Pārdales no LNG ar MK Nr.383 15.07.2020. (prot. Nr. 44 19.§) 3256905 euro, MK Nr.414 11.08.2020 (prot. Nr.47 61.§)  2946255 euro, MK Nr.484 04.09.2020 (prot. Nr.51 21.§) 2278397 euro, MK Nr.613 20.10.2020 (prot. Nr.62 18.§) 3009855 euro, MK Nr.641 03.11.2020 (prot. Nr.67 6.§) 16807205 euro. MK Nr.657 06.11.2020 (prot. Nr.69 6.§) 3104531 euro</t>
  </si>
  <si>
    <t>02.06.2020 02.09.2020 22.09.2020</t>
  </si>
  <si>
    <t>MK rīkojums Nr.508 Par apropriācijas palielināšanu Veselības ministrijai</t>
  </si>
  <si>
    <t xml:space="preserve">MK rīkojums Nr. 509 "Par finanšu līdzekļu piešķiršanu no valsts budžeta programmas "Līdzekļi neparedzētiem gadījumiem"" </t>
  </si>
  <si>
    <t>Informatīvais ziņojums "Par pasākumiem Covid-19 krīzes pārvarēšanai un ekonomikas atlabšanai"</t>
  </si>
  <si>
    <t>FM vērtējumā faktiskā ietekme no šī pasākuma saglabājas iepriekš plānotajā līmenī.</t>
  </si>
  <si>
    <t>MK rīkojums Nr. 614 "Par finanšu līdzekļu piešķiršanu no valsts budžeta programmas "Līdzekļi neparedzētiem gadījumiem""</t>
  </si>
  <si>
    <t>Papildus nepieciešamais finansējums veselības nozares kapacitātes celšanai un noturības stiprināšanai</t>
  </si>
  <si>
    <t>2020.gadā izdevumos tiek uzskaitīti ALTUM rezerves kapitālā ieguldītie līdzekļi 50 milj. euro apmērā. 
Papildu ietekme vidējā termiņā novērtēta, ņemot vērā prognozētos  klientu procentu maksājumus, komisijas ieņēmumus, izdevumus par resursu piesaisti un administratīvos izdevumus. 17.12. MK lēmis par 10 milj. eiro palielināt programmas finansējumu, tāpat pagarināt programmas darbību līdz 30.06.2021. Kopējais programmas finansējums ar MK 17.12. lēmumu palielināts līdz 210 milj. eiro.</t>
  </si>
  <si>
    <t>MK rīk. Nr.498 "Par finanšu līdzekļu piešķiršanu no valsts budžeta programmas "Līdzekļi neparedzētiem gadījumiem""</t>
  </si>
  <si>
    <t>02.06.2020 02.09.2020</t>
  </si>
  <si>
    <t>MK rīkojums Nr.446 "Par finanšu līdzekļu piešķiršanu no valsts budžeta programmas "Līdzekļi neparedzētiem gadījumiem""</t>
  </si>
  <si>
    <t>02.06.2020 19.08.2020 02.09.2020</t>
  </si>
  <si>
    <t>Cilvēkkapitāls - lai organizētu sabiedrības informēšanas kampaņu iedzīvotāju motivēšanai mācīties visas dzīves garumā. Tāpat paredz finansējumu CSP augstskolu absolventu monitorēšanai</t>
  </si>
  <si>
    <r>
      <t xml:space="preserve">Augstskolu un profesionālās izglītības iestāžu absolventu monitorings. Sabiedrības informēšanas kampaņa, iedzīvotāju motivēšana mācīties visas dzīves garumā un uzņēmumiem veikt ieguldījumus cilvēkkapitālā. Ietekme atbilstoši MK 02.09.2020. Informatīvajam ziņojumam "Par pasākumiem Covid-19 krīzes pārvarēšanai un ekonomikas atlabšanai 2020. un 2021.gadam" . </t>
    </r>
    <r>
      <rPr>
        <sz val="11"/>
        <color rgb="FFFF0000"/>
        <rFont val="Calibri"/>
        <family val="2"/>
        <charset val="186"/>
        <scheme val="minor"/>
      </rPr>
      <t>2021.g. finansējums budžeta bāzēs</t>
    </r>
  </si>
  <si>
    <t>Rīkojums Nr.669 "Par finanšu līdzekļu piešķiršanu no valsts budžeta programmas 02.00.00 "Līdzekļi neparedzētiem gadījumiem""</t>
  </si>
  <si>
    <t>Demogrāfijas uzlabošanai atvēlētais finansējums 2021.gadā</t>
  </si>
  <si>
    <r>
      <t xml:space="preserve">16.06.2020. MK lēmis -  Lai nodrošinātu paredzēto mājokļu garantiju programmas paplašināšanu turpmākajos trijos (2021.-2023.) budžeta gados, piešķirt tai nepieciešamo finansējumu (ikgadēji 534 460 euro un kopsummā 1 603 380 euro apmērā). Pārējais finansējums ierezervēts pārdalāmajā finansējumā. </t>
    </r>
    <r>
      <rPr>
        <sz val="11"/>
        <color rgb="FFFF0000"/>
        <rFont val="Calibri"/>
        <family val="2"/>
        <charset val="186"/>
        <scheme val="minor"/>
      </rPr>
      <t>Finansējums budžeta bāzēs</t>
    </r>
  </si>
  <si>
    <r>
      <t>Valsts robežsardzes un Valsts ugunsdzēsības un glābšanas dienesta amatpersonu ar speciālajām dienesta pakāpēm nodrošināšana ar nepieciešamo formas tērpu. Ietekme atbilstoši MK 02.09.2020. Informatīvajam ziņojumam "Par pasākumiem Covid-19 krīzes pārvarēšanai un ekonomikas atlabšanai 2020. un 2021.gadam" .</t>
    </r>
    <r>
      <rPr>
        <sz val="11"/>
        <color rgb="FFFF0000"/>
        <rFont val="Calibri"/>
        <family val="2"/>
        <charset val="186"/>
        <scheme val="minor"/>
      </rPr>
      <t xml:space="preserve"> Finansējums budžeta bāzēs</t>
    </r>
  </si>
  <si>
    <t>Finansējums tūrisma saimnieciskās darbības veicējiem (viesnīcām)</t>
  </si>
  <si>
    <t>Ar tūrisma nozari saistītais atbalsts</t>
  </si>
  <si>
    <t>IT sistēmu nodrošināšanai</t>
  </si>
  <si>
    <r>
      <t xml:space="preserve">Ārlietu ministrijas pasākumi. </t>
    </r>
    <r>
      <rPr>
        <sz val="11"/>
        <color rgb="FFFF0000"/>
        <rFont val="Calibri"/>
        <family val="2"/>
        <charset val="186"/>
        <scheme val="minor"/>
      </rPr>
      <t>Iekļauts budžeta bāzēs</t>
    </r>
  </si>
  <si>
    <t>Rīkojums Nr.17 "Par finanšu līdzekļu piešķiršanu no valsts budžeta programmas "Līdzekļi neparedzētiem gadījumiem"</t>
  </si>
  <si>
    <t xml:space="preserve">Noteikumi "Grozījumi Ministru kabineta 2020.gada 14.jūlija noteikumos Nr.455 "Covid-19 skarto tūrisma nozares saimnieciskās darbības veicēju atbalsta piešķiršanas kārtība"" </t>
  </si>
  <si>
    <t>Valsts kultūrkapitāla fondam mērķprogrammas īstenošanai par periodu no 2021.gada 1.janvāra līdz 2021.gada 30.jūnijam, daļēji kompensējot organizācijām ierobežojumu pastāvēšanas laikā radušos kārtējos izdevumus, lai nodrošinātu to darbības nepārtrauktību</t>
  </si>
  <si>
    <t>Līdzekļi vakcīnu pret Covid-19 iegādei</t>
  </si>
  <si>
    <t>Vakcīnas pret Covid-19 iegādes, loģistikas un ievades izdevumiem</t>
  </si>
  <si>
    <t xml:space="preserve">MK rīkojums Nr. 34 "Par finanšu līdzekļu piešķiršanu no valsts budžeta programmas "Līdzekļi neparedzētiem gadījumiem"" </t>
  </si>
  <si>
    <t>Vakcinācijas projekta biroja darbības nodrošināšanai</t>
  </si>
  <si>
    <t>Lai samazinātu ilglaicīgu negatīvo ietekmi uz sabiedrības psihisko veselību, ko rada COVID-19 pandēmija</t>
  </si>
  <si>
    <t>1.1. Nacionālajam veselības dienestam 7 057 226 euro, tai skaitā:
1.1.1. psiholoģiskās palīdzības un psihiskās veselības aprūpes pakalpojumu pieejamības uzlabošanai Latvijas iedzīvotājiem – 5 332 095 euro;
1.1.2. speciālistu savstarpējās sadarbības uzlabošanai psihiskās veselības aprūpes nozarē, t.sk. ģimenes ārstu prakšu motivēšanai iesaistīties savu pacientu psihiskās veselības novērtēšanā un uzraudzīšanā – 156 156 euro;
1.1.3. esošā medicīniskā personāla psihoemocionālajām atbalstam un tā monitoringam – 1 568 975 euro;
1.2. Neatliekamās medicīniskās palīdzības dienestam psihoemocionālās komandas izveidei – 53 982 euro.</t>
  </si>
  <si>
    <t>Lai nodrošinātu piemaksu par apgādājamiem,VSAA nepieciešams finansējums 2 908 280 euro apmērā.  
72 707 personas (kuras saņemtu dīkstāves pabalstu) x 0,4* (vidējais bērnu skaits ģimenē) x 50 euro (piemaksas apmērs) x 2 mēneši = 2 908 280 euro.  Ņemot vērā izpildi, pārrēķināts nepieciešamais finansējums.</t>
  </si>
  <si>
    <t>Ņemot vērā Valsts sociālās apdrošināšanas aģentūras datus 2020.gada aprīlis – jūlijs, atjaunojot vecāku pabalsta turpinājumu, plānotais vecāku pabalsta turpinājuma saņēmēju skaits – 700 personas vidēji mēnesī, vidējais izmaksājamais apmērs mēnesī – 220 euro (vidējais rādītājs periodā augusts – oktobris). Plānotie izdevumi: 154 000 euro vidēji mēnesī. Faktiskās izmaksas vecāku pabalsta turpinājumam  tiks segtas  2021.gadā.</t>
  </si>
  <si>
    <t>Sākotnēji paredzēts 6 532 750 euro jaunā speciālista pabalstiem un 64 651 euro, lai pielāgotu IT sistēmas. Ietekme precizēta, ņemot vērā faktisko izpildi un pārdalīto finansējumu (FM 02.11.2020. rīkojums Nr.448 ). Atsākoties krīzes situācijai, pabalsta izmaksa pagarināta līdz 2021.gada 30.jūnijam.</t>
  </si>
  <si>
    <t>Atbalsts vaučeru veidā (līdz 45 eiro) par izolēšanos viesnīcās. Atbalsta mērķis ir samazināt inficēšanās risku mājsaimniecībās</t>
  </si>
  <si>
    <t>Pašvaldību aizņēmumu kopējais palielinājums par 150  milj. euro paredzēts, lai 2020.gadā nodrošinātu aizdevumu pieejamību pašvaldībām  ES fondu un pārējās ārvalstu finanšu palīdzības līdzfinansētajos augstas gatavības projektos ar tautsaimniecības nozīmi, lai segtu  attiecināmos izdevumus, vienlaikus pārskatot attiecināmo/neattiecināmo izmaksu sadalījumu, kas nozīmē kopējo izdevumu pašvaldību pusē nepalielināšanos, Vides aizsardzības un reģionālās attīstības ministrijas  pieteiktajos augstas gatavības attiecīgo jomu investīciju projektos atbilstoši Ministru kabienta 14.07.2020. noteikumiem Nr. 456 "Noteikumi par nosacījumiem un kārtību, kādā pašvaldībām izsniedz valsts aizdevumu ārkārtējās situācijas ietekmes mazināšanai un novēršanai saistībā ar Covid-19 izplatību", valstiski nozīmīga investīciju projekta "Mežaparka Lielās estrādes rekonstrukcija" īstenošanai (Ministru kabineta 2020.gada 5.maija sēdes protokollēmuma Nr.30., 37§ “Informatīvais ziņojums “Par valstiski nozīmīga investīciju projekta “Mežaparka Lielās estrādes Ostas prospektā 11, Rīgā, rekonstrukcija” B daļas 2.posma īstenošanu””), kā arī  jaunas pirmsskolas izglītības iestādes būvniecībai vai esošas pirmsskolas izglītības iestādes paplašināšanai saskaņā ar Ministru kabineta 2020.gada 2.jūnija rīkojumu Nr. 299  un 2020.gada 22.septembra rīkojumu Nr.544 “Par atbalstītajiem pašvaldību investīciju projektiem jaunas pirmsskolas izglītības iestādes būvniecībai vai esošas pirmsskolas izglītības iestādes paplašināšanai , kuriem piešķirams valsts budžeta aizdevums" .  Ņemot vērā pašvaldību faktiski izņemto aizņēmumu  dinamiku, tika pieņemts, ka ietekme uz budžetu veidosies divos gados. 50 milj. euro 2020.g. un 72 milj. euro 2021.g. Ietekme precizēta atbilstoši Valsts kases faktiskajiem datiem.</t>
  </si>
  <si>
    <t xml:space="preserve">MK rīk. Nr.707 "Par finanšu līdzekļu piešķiršanu no valsts budžeta programmas "Līdzekļi neparedzētiem gadījumiem"" </t>
  </si>
  <si>
    <t>MK rīkojums Nr.706 "Par finanšu līdzekļu piešķiršanu no valsts budžeta programmas "Līdzekļi neparedzētiem gadījumiem""</t>
  </si>
  <si>
    <t>24.11.2020
01.12.2020 10.12.2020 07.01.2021 11.01.2021</t>
  </si>
  <si>
    <t>05.05.2020 30.06.2020 10.12.2020 21.12.2020 07.01.2021 11.01.2021</t>
  </si>
  <si>
    <t>Par laikposmu, kamēr valstī ir izsludināta ārkārtējā situācija sakarā ar Covid-19 izplatību, personām, kurām šajā periodā ir tiesības uz šo piemaksu pie ģimenes valsts pabalsta par bērnu invalīdu, Valsts sociālās apdrošināšanas aģentūra līdz 2020. gada 30. jūnijam izmaksā vienreizējo piemaksu 150 euro apmērā. T.sk.23 595 EUR sistēmu modernizēšanai. Ņemot vērā izpildi, pārrēkināts nepieciešamais finansējums. Atsākoties krīzes situācijai  netiek plānots atjaunot.</t>
  </si>
  <si>
    <t>Par laikposmu, kad valstī sakarā ar Covid-19 izplatību ir izsludināta ārkārtējā situācija, VSAA izmaksā pabalstu par bērnu līdz septiņu gadu vecuma sasniegšanai – 161,25 euro mēnesī un par bērnu vecumā no septiņiem gadiem – 193,50 euro mēnesī. VSAA pabalsta apmēru aprēķina par laikposmu no 2020. gada 12. marta un izmaksā to līdz 2020. gada 30. jūnijam. Ņemot vērā izpildi, pārrēķināts nepieciešamais finansējums. Atsākoties krīzes situācijai  netiek plānots atjaunot.</t>
  </si>
  <si>
    <t>Plānotais pabalsta saņēmēju skaits vidēji mēnesī – 11 148 (pieņēmums veikts izmaksai 3 mēnešu periodam); 
- pabalsta apmēra palielinājums no 42,69 euro uz 171 euro  – papildus 128,31 euro.
Lai nodrošinātu pabalsta izmaksu 3 mēnešu periodā (periodā 12.marts līdz 9.jūnijs), nepieciešams finansējums no valsts budžeta līdzekļiem 4 291 200 EUR (izdevumi sociāla rakstura maksājumiem un kompensācijām). Ņemot vērā izpildi, pārrēķināts nepieciešamais finansējums. Atsākoties krīzes situācijai  netiek plānots atjaunot.</t>
  </si>
  <si>
    <t>Noteikumi Nr.294 "Grozījums Ministru kabineta 2009.gada 22.decembra noteikumos Nr.1517 "Noteikumi par ģimenes valsts pabalstu un piemaksām pie ģimenes valsts pabalsta"; MK rīk. Nr.276 “Par finanšu līdzekļu piešķiršanu no valsts budžeta programmas “Līdzekļi neparedzētiem gadījumiem””</t>
  </si>
  <si>
    <t>30.06.2020 24.11.2020 07.01.2021 11.01.2021</t>
  </si>
  <si>
    <r>
      <t xml:space="preserve">Veicot izdevumu aprēķinus tika pieņemts, ka Covid-19 scenārijā ar šo infekciju saslimušo skaits sasniegs 50% no sociāli apdrošināto personu kopskaita (papildus izdevumi normas ietekmē 86,3 milj. eiro). Izdevumu izpilde būtiski zemāka. </t>
    </r>
    <r>
      <rPr>
        <sz val="11"/>
        <color rgb="FFFF0000"/>
        <rFont val="Calibri"/>
        <family val="2"/>
        <charset val="186"/>
        <scheme val="minor"/>
      </rPr>
      <t>Netiek iekļauts finansējums finansējums 17 774 131 euro apmērā, ko atbilstoši MK 01.12.2020. rīkojumam Nr.705 “Par finanšu līdzekļu piešķiršanu no valsts budžeta programmas “Līdzekļi neparedzētiem gadījumiem”” (lai segtu izdevumus par slimības pabalstiem saistībā ar Covid-19 izplatības sekām) pārdalīja LM, jo uzskatām to par  stabilizācijas mehānismu ekonomiskai situācijai valstī pasliktinoties, bet tas nav uzskatāms par specifiski Covid-19 atbalsta pasākumu.</t>
    </r>
  </si>
  <si>
    <r>
      <t xml:space="preserve">LM prognozē indikatīvo ietekmi uz speciālā budžeta izdevumiem  1 368 400 euro  ampērā (500 saņēmēji x 342.10 euro x 8 mēneši). Aktualizēts novērtējums atbilstoši izpildei. </t>
    </r>
    <r>
      <rPr>
        <sz val="11"/>
        <color rgb="FFFF0000"/>
        <rFont val="Calibri"/>
        <family val="2"/>
        <charset val="186"/>
        <scheme val="minor"/>
      </rPr>
      <t>Netiek iekļauts  finansējums 20 145 240 euro apmērā, atbilstoši MK 05.05.2020 rīkojumam Nr.238 “Par finanšu līdzekļu piešķiršanu no valsts budžeta programmas “Līdzekļi neparedzētiem gadījumiem”” un MK 30.06.2020 rīkojumam Nr. 366 “Grozījums Ministru kabineta 2020.gada 5.maija rīkojumā Nr.238 “Par finanšu līdzekļu piešķiršanu no valsts budžeta programmas “Līdzekļi neparedzētiem gadījumiem”” (lai nodrošinātu bezdarbnieka pabalsta izdevumu nepārtrauktības risku novēršanu), ko pārdalīja LM, jo uzskatām to par  stabilizācijas mehānismu ekonomiskai situācijai valstī pasliktinoties, bet tas nav uzskatāms par specifiski Covid-19 atbalsta pasākumu.</t>
    </r>
  </si>
  <si>
    <t>Finansējums vakcīnu iegādei</t>
  </si>
  <si>
    <t>Piešķirt Veselības ministrijai (Nacionālajam veselības dienestam) finansējumu, kas nepārsniedz 1 449 387, tai skaitā: 2020.gada 1 101 240 euro apmērā un 2021.gadā  348 147 EUR apmērā, lai nodrošinātu medikamenta Veclury ar aktīvo vielu remdesivīrs pieejamību COVID-19 medikamentozās ārstēšanas procesā. Ņemot vērā MK 14.01.2021. rīkojumā Nr.22 paredzēto, finansējums 0,3 milj. euro apmērā 2021.gadā nav norādāms.</t>
  </si>
  <si>
    <t>MK 20.10.2020. sēdes prot.62 40.§ "Informatīvais ziņojums "Par Latvijas dalību Eiropas Komisijas noslēgtajā Covid-19 vakcīnas iepirkuma līgumā""</t>
  </si>
  <si>
    <t>Noteikumi "Grozījumi Ministru kabineta 2018.gada 28.augusta noteikumos Nr.555 "Veselības aprūpes pakalpojumu organizēšanas un samaksas kārtība""; MK 17.12.2020. sēdes prot. Nr.84 78.§</t>
  </si>
  <si>
    <t xml:space="preserve">MK rīkojums Nr. 35 "Par finanšu līdzekļu piešķiršanu no valsts budžeta programmas "Līdzekļi neparedzētiem gadījumiem"" </t>
  </si>
  <si>
    <t xml:space="preserve">Lai kompensētu mobilo sakaru operatoru izdevumus, kas radušies, nosūtot viesabonentiem,  kuri ir reģistrējušies Latvijas mobilo sakaru operatoru tīklā SMS paziņojumu laika periodā no 2020.gada 28.septembra līdz 2020.gada 31.decembrim. </t>
  </si>
  <si>
    <t>Piešķirts no LNG, tiek finansēts no LNG apropriācijas palielinājuma 300 milj. euro apmērā. MK 19.03.2020. prot. Nr.16 5.§. MK 29.12.2020. prot. Nr.88 5.paragrāfs, kas paredz, ka izdevumus informatīvajam tālrunim ( TET izmaksas) sedz no LNG 2021.gadā nepārsniedzot 85 000 euro</t>
  </si>
  <si>
    <t>MK noteikumi "Noteikumi par atbalstu par dīkstāvi nodokļu maksātājiem to darbības turpināšanai Covid-19 izraisītās krīzes apstākļos"</t>
  </si>
  <si>
    <t>25.11.2020 17.12.2020 21.12.2020</t>
  </si>
  <si>
    <t>MK rīkojums Nr.598 "Par finanšu līdzekļu piešķiršanu no valsts budžeta programmas "Līdzekļi neparedzētiem gadījumiem""</t>
  </si>
  <si>
    <r>
      <t xml:space="preserve">Pasākuma “Inovatīvu tehnoloģiju ilgtspējīga attīstība Iekšlietu ministrijas resorā” īstenošanai. Ietekme atbilstoši MK 02.09.2020. Informatīvajam ziņojumam "Par pasākumiem Covid-19 krīzes pārvarēšanai un ekonomikas atlabšanai 2020. un 2021.gadam". </t>
    </r>
    <r>
      <rPr>
        <sz val="11"/>
        <color rgb="FFFF0000"/>
        <rFont val="Calibri"/>
        <family val="2"/>
        <charset val="186"/>
        <scheme val="minor"/>
      </rPr>
      <t>Finansējums budžeta bāzēs</t>
    </r>
  </si>
  <si>
    <t>12.03.2020 01.04.2020</t>
  </si>
  <si>
    <t>MK rīk. Nr.142 "Par finanšu līdzekļu piešķiršanu no valsts budžeta programmas "Līdzekļi neparedzētiem gadījumiem""</t>
  </si>
  <si>
    <r>
      <t xml:space="preserve">Ietekme atbilstoši MK 02.09.2020. Informatīvajam ziņojumam "Par pasākumiem Covid-19 krīzes pārvarēšanai un ekonomikas atlabšanai 2020. un 2021.gadam" .  lai nodrošinātu platjoslu infrastruktūru (broadband) “vidējā jūdze”, internetu skolām, mācību satura digitalizāciju </t>
    </r>
    <r>
      <rPr>
        <sz val="11"/>
        <color rgb="FFFF0000"/>
        <rFont val="Calibri"/>
        <family val="2"/>
        <charset val="186"/>
        <scheme val="minor"/>
      </rPr>
      <t>2021.gada finansējums 2,8 milj. eiro ir IZM budžetā</t>
    </r>
  </si>
  <si>
    <t>05.06.2020 MK rīk. Nr. 303 ar grozījumiem Nr.394 16.07.2020. (prot. Nr.44 48.§) un Nr.630 30.10.2020 (prot. Nr.65 20.§)  10 613 063 EUR finansējuma piešķiršana 5 980 320 euro, lai stabilizētu finanšu situāciju kapitālsabiedrībās, kurās Kultūras ministrija ir valsts kapitāla daļu turētāja, 2 696 743 euro, lai stabilizētu finanšu situāciju Latvijas Nacionālajā bibliotēkā, Latvijas Nacionālajā arhīvā un Kultūras ministrijas padotībā esošajos muzejos un 1 936 000 euro Valsts kultūrkapitāla fondam mērķprogrammas „Radošo personu nodarbinātības programma” īstenošanai no 2020.gada 1.jūlija līdz 2020.gada 30.septembrim</t>
  </si>
  <si>
    <t>Ieguldījums pamatkapitālā 220 000 euro apmērā tiek novirzīts lokālās tāmes Nr.1-1 paredzētajiem mērķiem – automātiskās ugunsgrēka atklāšanas un trauksmes sistēmas izbūve Vēsturiskajā ēkā.</t>
  </si>
  <si>
    <r>
      <t>Piešķirt Ekonomikas ministrijai 346 970 euro, t.sk.: 
1. 260 000 euro Energoresursu informācijas sistēmas izstrādei ar mērķi mazināt administratīvo slogu energoefektivitātes monitoringa sistēmas dalībniekiem nodrošinot datu kvalitāti iesniedzot dokumentāciju un informāciju attālināti;</t>
    </r>
    <r>
      <rPr>
        <sz val="11"/>
        <rFont val="Calibri"/>
        <family val="2"/>
        <scheme val="minor"/>
      </rPr>
      <t xml:space="preserve">
2. 86 970 euro datortehnikas nomaiņai  Ekonomikas ministrijas resorā.</t>
    </r>
  </si>
  <si>
    <t>MK rīkojums Nr.472 "Par finanšu līdzekļu piešķiršanu no valsts budžeta programmas "Līdzekļi neparedzētiem gadījumiem""</t>
  </si>
  <si>
    <t>MK rīkojums Nr.473 "Par finanšu līdzekļu piešķiršanu no valsts budžeta programmas "Līdzekļi neparedzētiem gadījumiem""</t>
  </si>
  <si>
    <t>Palielinātu stipendiju skaitu un apmēru pirmā līmeņa profesionālās augstākās izglītības (koledžas), bakalaura un maģistra līmeņa studijām valsts augstskolās un koledžās un mazinātu Covid-19 krīzes radīto negatīvo seku ietekmi uz izglītības nozari</t>
  </si>
  <si>
    <t>1.1. 1 440 928 euro Izglītības un zinātnes ministrijai;
1.2. 257 064 euro Veselības ministrijai;
1.3. 202 745 euro Zemkopības ministrijai;
1.4. 137 612 euro Kultūras ministrijai;
1.5. 1 651 euro Labklājības ministrijai.</t>
  </si>
  <si>
    <t>Lai nodrošinātu līdzfinansējumu dalībai Eiropas Savienības pētniecības un tehnoloģiju attīstības programmās, tai skaitā "Apvārsnis 2020", un mazinātu Covid-19 krīzes radīto negatīvo seku ietekmi uz zinātnes nozari</t>
  </si>
  <si>
    <t>MK rīkojums Nr.499 "Par finanšu līdzekļu piešķiršanu no valsts budžeta programmas "Līdzekļi neparedzētiem gadījumiem""</t>
  </si>
  <si>
    <t>MK rīkojums Nr.507 "Par finanšu līdzekļu piešķiršanu no valsts budžeta programmas "Līdzekļi neparedzētiem gadījumiem""</t>
  </si>
  <si>
    <t>Lai uzlabotu tehnoloģisko nodrošinājumu vispārējās izglītības iestādēs un mazinātu Covid-19 krīzes radīto negatīvo seku ietekmi uz izglītības nozari.</t>
  </si>
  <si>
    <t>Lai nodrošinātu zinātnisko institūciju finansējumu pētniecības specializācijas, izcilības un ietekmes stiprināšanai - vienotas akadēmiskās un zinātniskās karjeras sistēmas reformas ieviešanai un zinātnes un inovācijas lomas palielināšanai, īstenojot fundamentālo un lietišķo pētījumu projektus.</t>
  </si>
  <si>
    <t>Zinātnisko institūciju zinātnes izcilības un snieguma finansējuma nodrošinājums pētniecības specializācijas, izcilības un ietekmes stiprināšanai – vienotas akadēmiskās un zinātniskās karjeras sistēmas reformas ieviešanai un zinātnes un inovācijas lomas palielināšanai</t>
  </si>
  <si>
    <t>Stipendiju apmēra un skaita palielinājums pirmā līmeņa profesionālās augstākās izglītības (koledžas), bakalaura un maģistra līmeņa studijām</t>
  </si>
  <si>
    <t>14.07.2020 11.08.2020</t>
  </si>
  <si>
    <r>
      <t xml:space="preserve">Zinātnisko institūciju zinātnes izcilības un snieguma finansējuma nodrošinājums pētniecības specializācijas, izcilības un ietekmes stiprināšanai – vienotas akadēmiskās un zinātniskās karjeras sistēmas reformas ieviešanai un zinātnes un inovācijas lomas palielināšanai. </t>
    </r>
    <r>
      <rPr>
        <sz val="11"/>
        <color rgb="FFFF0000"/>
        <rFont val="Calibri"/>
        <family val="2"/>
        <charset val="186"/>
        <scheme val="minor"/>
      </rPr>
      <t>IZM 2021.g. budžeta bāzē</t>
    </r>
  </si>
  <si>
    <r>
      <t xml:space="preserve">Līdzfinansējuma nodrošinājums dalībai Eiropas Savienības pētniecības un tehnoloģiju attīstības programmās, t.sk. Apvārsnis. </t>
    </r>
    <r>
      <rPr>
        <sz val="11"/>
        <color rgb="FFFF0000"/>
        <rFont val="Calibri"/>
        <family val="2"/>
        <charset val="186"/>
        <scheme val="minor"/>
      </rPr>
      <t>IZM 2021.g. budžeta bāzē</t>
    </r>
  </si>
  <si>
    <r>
      <t xml:space="preserve">Stipendiju apmēra un skaita palielinājums pirmā līmeņa profesionālās augstākās izglītības (koledžas), bakalaura un maģistra līmeņa studijām IZM (2 161 390 eiro), VM (385 596 eiro), ZM (304 118 eiro), LM (2 477 eiro) un KM (206 419 eiro) padotībā esošajām koledžām un augstskolām. </t>
    </r>
    <r>
      <rPr>
        <sz val="11"/>
        <color rgb="FFFF0000"/>
        <rFont val="Calibri"/>
        <family val="2"/>
        <charset val="186"/>
        <scheme val="minor"/>
      </rPr>
      <t>Ministriju  2021.g. budžeta bāzē</t>
    </r>
  </si>
  <si>
    <t>MK 14.07.2020 sēdē izskatīts NP "Noteikumi par garantijām lielajiem komersantiem, kuru darbību ietekmējusi Covid-19 izplatībaa", kur paredzēts ALTUM rezerves kapitālā ieguldīt 40 000 000 euro. Atbalsta apmērsprecizēts uz 20 milj. eiro 17.12. MK sēdē, tāpat pagarināts atbalsta termiņš līdz 30.06.2021. Kopā ar ALTUM piesaistīto līdzfinansējumu kopējais atbalsts var sasniegt 80 milj. eiro (25% prognozētie zaudējumi veido 20 milj. eiro valsts budžeta piešķrto finansējumu).</t>
  </si>
  <si>
    <t>Atbalsts paredzētajam saņēmēju lokam  sastāda orientējoši 200 viesnīcas, kam plānots novirzīt finansējumu 4 746 290 EUR apmērā, jeb vidēji 23 731 EUR vienam pieteicējam.</t>
  </si>
  <si>
    <t>14.07.2020. 11.08.2020 03.11.2020 11.12.2020</t>
  </si>
  <si>
    <t>Atbalsts NVO Covid-19 krīzes radīto negatīvo seku mazināšanai</t>
  </si>
  <si>
    <t xml:space="preserve">MK rīkojums Nr. 43 "Par finanšu līdzekļu piešķiršanu no valsts budžeta programmas "Līdzekļi neparedzētiem gadījumiem"" </t>
  </si>
  <si>
    <t>Programmas mērķis ir sniegt atbalstu NVO darbībai, tostarp tādām aktivitātēm, kas tiek īstenotas papildus valsts un pašvaldību institūciju veiktajām darbībām, lai mazinātu Covid 19 krīzes radītās negatīvās sekas visos Latvijas reģionos. Programmas finansējuma 600 000 euro apmērā sadalījums:
1) Programmā projektu īstenošanai pieejamais finansējums – 564 000 euro;
2) Programmas administrēšanai paredzētais finansējums – 36 000 euro.</t>
  </si>
  <si>
    <t>Lai nodrošinātu piemaksas no 2021. gada 1. janvāra līdz 2021. gada 31. martam atbildīgo institūciju ārstniecības personām un citiem nodarbinātajiem</t>
  </si>
  <si>
    <t xml:space="preserve">MK rīkojums Nr. 37 "Par finanšu līdzekļu piešķiršanu no valsts budžeta programmas "Līdzekļi neparedzētiem gadījumiem"" </t>
  </si>
  <si>
    <t>Papildus vakcīnu pret Covid-19 devu iegāde no vakcīnu ražotāja CUREVAC AG</t>
  </si>
  <si>
    <t xml:space="preserve">Ņemot vērā jau piešķirto finansējumu 300 000 ražotāja “CureVac AG” vakcīnu iegādei, loģistikas izdevumiem un ievades nodrošināšanai papildus nepieciešams finansējums 646 510 (946 510-300 000=646 510 vakcīnu devas) vakcīnu devu iegādei 7 998 120 EUR (11 358 120-3 360 000=7 998 120 EUR), loģistikai 98 211 EUR (143 784-45 573=98 211 EUR) un vakcīnu ievades nodrošināšanai 6 311 156 EUR (8 153 616-1 842 460= 6 311 156 EUR). Ņemot vērā minēto, papildus nepieciešams finansējums 14 407 487 EUR. </t>
  </si>
  <si>
    <t>Lai nodrošinātu piemaksas no 2021. gadā Iekšlietu ministrijas padotības iestāžu amatpersonām ar speciālajām dienesta pakāpēm par darbu paaugstināta riska un slodzes apstākļos sabiedrības veselības apdraudējuma situācijā saistībā ar Covid-19 uzliesmojumu un tā seku novēršanu</t>
  </si>
  <si>
    <t>Covid-19 izraisītās krīzes pārvarēšanai pašvaldībām</t>
  </si>
  <si>
    <t>Lai Covid-19 izraisītās krīzes pārvarēšanas un seku novēršanas pasākumu īstenošanai  nodrošinātu vienreizēju papildu dotācijas piešķiršanu pašvaldībām, kurām izlīdzinātie ieņēmumi ir vismaz par 10% zemāki salīdzinājumā ar vidējiem izlīdzinātiem ieņēmumiem valstī un bezdarba līmenis ir augstāks par vidējo valstī.</t>
  </si>
  <si>
    <t xml:space="preserve">Finansējums tiek piešķirts pašvaldībām, kurām izlīdzinātie ieņēmumi uz vienu izlīdzināmo vienību 2021.gadā ir zemāki par 427 euro un bezdarba līmenis 2020.gada pēdējos piecos mēnešos ir augstāks par 6,0%.
Ņemot vērā minētos nosacījumus, finansējums tiek piešķirts 33 pašvaldībām. </t>
  </si>
  <si>
    <t>Slimību profilakses un kontroles centra kapacitātes stiprināšani</t>
  </si>
  <si>
    <t xml:space="preserve">MK rīkojums Nr. 55 "Par finanšu līdzekļu piešķiršanu no valsts budžeta programmas "Līdzekļi neparedzētiem gadījumiem"" </t>
  </si>
  <si>
    <t>Piemaksas piešķiršanai pirmsskolas izglītības iestāžu  un speciālās izglītības iestāžu pedagogiem, tai skaitā pedagogu palīgiem, par darbu Covid-19 pandēmijas laikā, piemaksas piešķiršanai personām, kuras sniedz aukles pakalpojumus pirmsskolas izglītības iestādēs un speciālās izglītības iestādēs (aukle, auklis, skolotāja palīgs), par darbu Covid-19 pandēmijas laikā, 300,00 EUR</t>
  </si>
  <si>
    <t>MK rīk. Nr.56 "Par finanšu līdzekļu piešķiršanu no valsts budžeta programmas "Līdzekļi neparedzētiem gadījumiem""</t>
  </si>
  <si>
    <r>
      <t xml:space="preserve">18.06.2020 MK rīk. Nr. 340 ar grozījumiem Nr.722 02.12.2020. (prot. Nr.78 14.§) 246 900 EUR finansējuma piešķiršana 204 800 euro Latvijas Etnogrāfiskajam brīvdabas muzejam – apkures sistēmas atjaunošanai un muzeja eksponātēku restaurācijas darbiem un 42 100 euro pārskaitīšanai valsts sabiedrībai ar ierobežotu atbildību "Latvijas Nacionālā opera un balets", lai nodrošinātu tās lietošanā nodotā valsts nekustamā īpašuma Aspazijas bulvārī 3, Rīgā, pirmsavārijas stāvoklī esošās ugunsdzēsības un apziņošanas sistēmas daļēju izbūvi, tai skaitā ārējā zibensnovedēja uzstādīšanu un pievienošanu atbilstoši izstrādātajam projektam. </t>
    </r>
    <r>
      <rPr>
        <b/>
        <sz val="11"/>
        <color rgb="FFFF0000"/>
        <rFont val="Calibri"/>
        <family val="2"/>
        <charset val="186"/>
        <scheme val="minor"/>
      </rPr>
      <t>Finansējums KM budžeta bāzē</t>
    </r>
  </si>
  <si>
    <r>
      <t xml:space="preserve">18.06.2020 MK rīk. Nr. 339  ar grozījumiem Nr.631 30.10.2020. (prot. Nr.65 21.§) un Nr.721 02.12.2020 (prot. Nr.78 13.§)  9 638 089 EUR finansējuma piešķiršanu 4 765 000 euro Valsts kultūrkapitāla fondam kultūras piedāvājuma attīstīšanai un kultūras institūciju ilgtspējas nodrošināšanai; 2 873 089 euro Kultūras ministrijai kultūras piedāvājuma attīstīšanai, tostarp Kultūras ministrijas padotības iestādēs un 2 000 000 euro Nacionālajam kino centram jaunu Latvijas filmu, tai skaitā daudzsēriju filmu, ražošanai un filmu ražošanas vides uzlabojumiem. </t>
    </r>
    <r>
      <rPr>
        <b/>
        <sz val="11"/>
        <color rgb="FFFF0000"/>
        <rFont val="Calibri"/>
        <family val="2"/>
        <charset val="186"/>
        <scheme val="minor"/>
      </rPr>
      <t>Finansējums KM budžeta bāzē</t>
    </r>
  </si>
  <si>
    <r>
      <t xml:space="preserve">Ministru kabineta informatīvi tehnoloģiskās vides renovācija. </t>
    </r>
    <r>
      <rPr>
        <sz val="11"/>
        <color rgb="FFFF0000"/>
        <rFont val="Calibri"/>
        <family val="2"/>
        <charset val="186"/>
        <scheme val="minor"/>
      </rPr>
      <t>Budžeta bāzēs 2021.gadam</t>
    </r>
  </si>
  <si>
    <t>Ministru kabineta informatīvi tehnoloģiskās vides renovācija</t>
  </si>
  <si>
    <t>Vakcinācijas sistēmas efektīvai darbībai, kā arī ērtam un elastīgam vakcinācijas procesam, izveidojot speciālu IT risinājumu vakcinācijas procesa pārvaldībai.</t>
  </si>
  <si>
    <t>Piešķirt Veselības ministrijai (Nacionālajam veselības dienestam) finansējumu ne vairāk kā 1 450 330 euro apmērā, lai nodrošinātu vakcinācijas sistēmas efektīvu darbību, kā arī ērtu un elastīgu vakcinācijas procesu, izveidojot speciālu IT risinājumu vakcinācijas procesa pārvaldībai.</t>
  </si>
  <si>
    <t>Piešķirt Izglītības un zinātnes ministrijai 2 110 000 euro individuālo aizsardzības līdzekļu un medicīnisko sejas masku testēšanas laboratorijas izveidei uz Rīgas Tehniskās universitātes bāzes un laboratorijas akreditācijai, lai steidzamības kārtībā sniegtu ieguldījumu Covid-19 krīzes pārvarēšanai un ekonomikas atlabšanai, kā arī nodrošinātu speciālo aizsargtērpu un speciālā apģērba testēšanu Latvijā.</t>
  </si>
  <si>
    <t>Piešķirt Veselības ministrijai (Nacionālajam veselības dienestam)  finansējumu, kas nepārsniedz 40 254 832 euro, medicīnisko iekārtu un papildaprīkojuma iegādei, operatīvā datu paneļa izveidei, kā arī, lai nodrošinātu piemaksas observācijas gultām un intensīvās terapijas gultām</t>
  </si>
  <si>
    <t>Pamatkapitāla palielināšanai  Veselības ministrijai 26 407 684 euro apmērā (VSIA PSKUS, VSIA BKUS, SIA RAKUS , VSIA “Slimnīca “Ģintermuiža””, VSIA “Strenču psihoneiroloģiskā slimnīca”)   - intensīvo terapijas gultu izveidei, medicīnisko iekārtu un papildaprīkojuma iegādei, kā arī epidemioloģisko pasākumu īstenošanai, nodalot pacientu plūsmas un aptieku izveidi.</t>
  </si>
  <si>
    <t>Medicīnisko iekārtu un papildaprīkojuma iegādei, operatīvā datu paneļa izveidei un piemaksām par observācijas gultām un intensīvās terapijas gultām</t>
  </si>
  <si>
    <t>Intensīvo terapijas gultu izveidei, medicīnisko iekārtu un papildaprīkojuma iegādei, kā arī epidemioloģisko pasākumu īstenošanai, nodalot pacientu plūsmas un aptieku izveidi</t>
  </si>
  <si>
    <t>Komersantiem, kuri organizē pastāvīgu publisku mākslas, izklaides un atpūtas pasākumu norisi</t>
  </si>
  <si>
    <t xml:space="preserve">Piešķirt Veselības ministrijai finansējumu ne vairāk kā 14 328 990 euro vakcīnas pret Covid-19 iegāde, loģistika un ievade </t>
  </si>
  <si>
    <t>Piešķirt Veselības ministrijai finansējumu ne vairāk kā 14 210 679 euro.vakcīnas pret Covid-19 iegāde, loģistika un ievade</t>
  </si>
  <si>
    <t>Vakcīnu iegādei</t>
  </si>
  <si>
    <t>Piešķirt Veselības ministrijai finansējumu ne vairāk kā 4 157 335 euro apmērā vakcīnu pret Covid-19 iegādei, loģistikai un ievade</t>
  </si>
  <si>
    <t>10.11.2020. MK sēdē izskatīts moteikumu projekts "Noteikumi par aizdevumiem un to procentu likmju subsīdijām komersantiem konkurētspējas veicināšanai". Finansējums 50 000 000 euro apmērā tiks nodrošināts, Finanšu ministrijai palielinot  Ekonomikas ministrijai resursus no dotācijas no vispārējiem ieņēmumiem ieskaitīšanai sabiedrības “Altum” rezerves kapitālā krīzes aizdevumu  izsniegšanai un aprēķinātajiem sagaidāmo kredītrisku zaudējumiem 45 130 000 euro apmērā, kā arī no līdzekļiem neparedzētiem gadījumiem sabiedrības “Altum” saistībām 4 870 000 euro apmērā aizdevumu procentu likmju subsīdijām. Finansējums paredzēts diviem gadiem, ik gadu pa 25 milj. eiro. Kopā ar ALTUM piesaistīto līdzfinansējumu kopējais atbalsts var sasniegt 100 milj. eiro.</t>
  </si>
  <si>
    <t>19.03.2020 29.12.2020 04.02.2021</t>
  </si>
  <si>
    <t>01.12.2020 22.01.2021</t>
  </si>
  <si>
    <t>Antigēna noteikšanas testu un pulsa oksimetru iegādes</t>
  </si>
  <si>
    <t>1. atbalstam ražotājiem cūkkopības nozarē  14 500 000 euro;
2. atbalstam ražotājiem mājputnu nozarē  11 000 000 euro; 
3. uzņēmumu likviditātes un naudas plūsmas saglabāšanai, kredītsaistību izpildes nodrošināšanai un finansiālā sloga mazināšanai lauku saimniecībām un uzņēmumiem   12 000 000 euro; 
4. lauksaimniecības, zivsaimniecības un lauku attīstības garantiju programmas īstenošanai, nodrošinot nozares uzņēmumiem finanšu līdzekļu aizņemšanās iespējas kredītiestādēs  7 000 000 euro;
5. sadarbības formu attīstībai, stiprinot mazo un vidējo kooperatīvo sabiedrību tirgus varu, administratīvo un ekonomisko kapacitāti, kā arī atbalstam īso piegādes ķēžu digitālās platformas pieejamībai  1 000 000 euro</t>
  </si>
  <si>
    <t>Covid-19 krīzes seku mazināšanai un kapacitātes stiprināšanai lauksaimniecībā. Atbalsts paredzēts Covid-19 ietekmē radušos finansiālo grūtību mazināšanai, nozares uzņēmumu dzīvotspējas un potenciāla saglabāšanai un lauksaimniecības un pārtikas produktu ražošanas nepārtrauktības nodrošināšanai.</t>
  </si>
  <si>
    <t>VARAM</t>
  </si>
  <si>
    <t>Piešķirt Vides aizsardzības un reģionālās attīstības ministrijai (Valsts reģionālās attīstības aģentūrai) finansējumu 127 631 euro, lai segtu izdevumus, kas radušies saistībā ar fizisko personu elektroniskās identifikācijas rīka “Vienotais pieteikšanās modulis” pilnveidošanu vakcinācijas procesa nodrošināšanai pret Covid-19 infekciju</t>
  </si>
  <si>
    <t>Lai segtu izdevumus, kas radušies saistībā ar fizisko personu elektroniskās identifikācijas rīka “Vienotais pieteikšanās modulis” pilnveidošanu vakcinācijas procesa nodrošināšanai pret Covid-19 infekciju</t>
  </si>
  <si>
    <t xml:space="preserve">20.03.2020
01.04.2020 
16.04.2020 07.01.2021 11.01.2021 11.02.2021
</t>
  </si>
  <si>
    <t>18.12.2020 07.01.2021 11.01.2021</t>
  </si>
  <si>
    <t>17.12.2020. 29.01.2021</t>
  </si>
  <si>
    <t>MK rīk. Nr.60 "Par finanšu līdzekļu piešķiršanu no valsts budžeta programmas "Līdzekļi neparedzētiem gadījumiem""</t>
  </si>
  <si>
    <t>Lai nodrošinātu Ziemassvētku dievkalpojumu translāciju komerciālajos medijos.</t>
  </si>
  <si>
    <t>MK rīkojums Nr.73 "Par finanšu līdzekļu piešķiršanu no valsts budžeta programmas "Līdzekļi neparedzētiem gadījumiem""</t>
  </si>
  <si>
    <t>Piešķirt Iekšlietu ministrijai finansējumu 1 062 893 euro, tai skaitā, Valsts policijai 748 953 euro, Valsts policijas koledžai 6 143 euro, Valsts robežsardzei 307 256 euro un Valsts robežsardzes koledžai  541 euro, lai segtu izdevumus, kas saistīti ar Iekšlietu ministrijas padotības iestāžu amatpersonu ar speciālajām dienesta pakāpēm virsstundu darbu (samaksa par dienesta pienākumu izpildi virs noteiktā dienesta pienākumu izpildes laika) ārkārtas uzdevumu veikšanai Covid-19 izplatības ierobežošanai atbilstoši faktiskajam virsstundu apjomam, kas izveidojies laika periodā no 2020. gada 1. oktobra līdz 2020. gada 31. decembrim. Kā arī izdevumus, kas saistīti ar piemaksu amatpersonām par darbu paaugstināta riska un slodzes apstākļos sabiedrības veselības apdraudējuma situācijā saistībā ar Covid-19 uzliesmojumu un seku novēršanu laikposmā no 2020. gada 1. decembra līdz 2020. gada 31. decembrim</t>
  </si>
  <si>
    <t>Piemaksu aprēķina 75 procentu apmērā no amatpersonai noteiktās stundas algas likmes, ievērojot noteiktos kritērijus. Izdevumus, kas saistīti ar piemaksu Iekšlietu ministrijas padotības iestāžu amatpersonām ar speciālajām dienesta pakāpēm par darbu paaugstināta riska un slodzes apstākļos sabiedrības veselības apdraudējumā saistībā ar Covid-19 uzliesmojumu un seku novēršanu par laika periodu no 2020.gada 1.decembra līdz 2020.gada 31.decembrim, segt no LNG 2021.gadā.</t>
  </si>
  <si>
    <r>
      <t xml:space="preserve">Informatīvais ziņojums “ Veselības nozares kapacitātes celšana un noturības stiprināšana Covid-19 apstākļos Latvijā” </t>
    </r>
    <r>
      <rPr>
        <u/>
        <sz val="11"/>
        <color rgb="FFFF0000"/>
        <rFont val="Calibri"/>
        <family val="2"/>
        <charset val="186"/>
        <scheme val="minor"/>
      </rPr>
      <t>(MK 08.12.2020. MK sēdes prot. Nr.81 7.§)</t>
    </r>
  </si>
  <si>
    <r>
      <t xml:space="preserve">Informatīvais ziņojums "Par Covid-19 vakcīnu iepirkšanu" </t>
    </r>
    <r>
      <rPr>
        <u/>
        <sz val="11"/>
        <color rgb="FFFF0000"/>
        <rFont val="Calibri"/>
        <family val="2"/>
        <charset val="186"/>
        <scheme val="minor"/>
      </rPr>
      <t>(MK 8.01.2021. sēdes prot..Nr. 3 1.§)</t>
    </r>
  </si>
  <si>
    <r>
      <t xml:space="preserve">Informatīvais ziņojums “Par Moderna ražoto vakcīnu pret Covid-19 iegādi"  </t>
    </r>
    <r>
      <rPr>
        <u/>
        <sz val="11"/>
        <color rgb="FFFF0000"/>
        <rFont val="Calibri"/>
        <family val="2"/>
        <charset val="186"/>
        <scheme val="minor"/>
      </rPr>
      <t>(MK 14.01.2021. sēdes prot. Nr. 5 37.§)</t>
    </r>
  </si>
  <si>
    <r>
      <t>Informatīvais ziņojums "Par CureVac ražoto vakcīnu pret Covid-19 devu iegādi"</t>
    </r>
    <r>
      <rPr>
        <u/>
        <sz val="11"/>
        <color rgb="FFFF0000"/>
        <rFont val="Calibri"/>
        <family val="2"/>
        <charset val="186"/>
        <scheme val="minor"/>
      </rPr>
      <t xml:space="preserve"> (MK 21.01.2021. sēdes prot. Nr. 8 45.§)</t>
    </r>
  </si>
  <si>
    <r>
      <t xml:space="preserve">Informatīvais ziņojums "Par vakcīnām pret Covid-19" </t>
    </r>
    <r>
      <rPr>
        <u/>
        <sz val="11"/>
        <color rgb="FFFF0000"/>
        <rFont val="Calibri"/>
        <family val="2"/>
        <charset val="186"/>
        <scheme val="minor"/>
      </rPr>
      <t>(MK 28.01.2021. sēdes prot. Nr.10 57.§)</t>
    </r>
  </si>
  <si>
    <r>
      <t>Informatīvais ziņojums "Par vakcīnām pret Covid-19"</t>
    </r>
    <r>
      <rPr>
        <u/>
        <sz val="11"/>
        <color rgb="FFFF0000"/>
        <rFont val="Calibri"/>
        <family val="2"/>
        <charset val="186"/>
        <scheme val="minor"/>
      </rPr>
      <t xml:space="preserve"> (MK 28.01.2021. sēdes prot. Nr.10 57.§)</t>
    </r>
  </si>
  <si>
    <t>MK rīk. Nr.75  "Par finanšu līdzekļu piešķiršanu no valsts budžeta programmas "Līdzekļi neparedzētiem gadījumiem""</t>
  </si>
  <si>
    <r>
      <t xml:space="preserve">Informatīvais ziņojums "Par vakcīnām pret Covid-19" </t>
    </r>
    <r>
      <rPr>
        <u/>
        <sz val="11"/>
        <color rgb="FFFF0000"/>
        <rFont val="Calibri"/>
        <family val="2"/>
        <charset val="186"/>
        <scheme val="minor"/>
      </rPr>
      <t>(MK 05.02.2021.sēdes prot. Nr.13 4.§ )</t>
    </r>
  </si>
  <si>
    <t>MK rīk. Nr.81  "Par finanšu līdzekļu piešķiršanu no valsts budžeta programmas "Līdzekļi neparedzētiem gadījumiem""</t>
  </si>
  <si>
    <t>MK rīk. Nr.80  "Par apropriācijas palielināšanu Veselības ministrijai"</t>
  </si>
  <si>
    <t>D.7, P.51</t>
  </si>
  <si>
    <t>Summary of Covid-19 crisis economic support measures and their fiscal impact</t>
  </si>
  <si>
    <t>Decision</t>
  </si>
  <si>
    <t>Economic support, % of GDP</t>
  </si>
  <si>
    <t>Economic support, mln. Euro</t>
  </si>
  <si>
    <t xml:space="preserve">Responsible authority
(institution) </t>
  </si>
  <si>
    <t>EKS revenue /
expenditure code</t>
  </si>
  <si>
    <t>mln. Euro</t>
  </si>
  <si>
    <t>Total</t>
  </si>
  <si>
    <t>Plan (18.12.2020)</t>
  </si>
  <si>
    <t>Plan</t>
  </si>
  <si>
    <t>Extension or division of the term for payment of taxes into terms of up to 3 years</t>
  </si>
  <si>
    <r>
      <rPr>
        <u/>
        <sz val="11"/>
        <color theme="4" tint="-0.249977111117893"/>
        <rFont val="Calibri"/>
        <family val="2"/>
        <scheme val="minor"/>
      </rPr>
      <t>"Law on Coping with the Consequences of Covid-19 Infection";</t>
    </r>
    <r>
      <rPr>
        <u/>
        <sz val="11"/>
        <color theme="10"/>
        <rFont val="Calibri"/>
        <family val="2"/>
        <scheme val="minor"/>
      </rPr>
      <t xml:space="preserve"> </t>
    </r>
    <r>
      <rPr>
        <u/>
        <sz val="11"/>
        <color rgb="FFFF0000"/>
        <rFont val="Calibri"/>
        <family val="2"/>
        <scheme val="minor"/>
      </rPr>
      <t>Law "On Measures for the Prevention and Management of State Threats and Their Consequences Due to the Spread of Covid-19" [repealed]</t>
    </r>
  </si>
  <si>
    <t>"From 12.03.2020 to 31.12.2020, extensions were granted for the total amount of 310.5 million euros, incl.
• in accordance with Section 24, Paragraph one, Clauses 1 and 3 of the Law “On Taxes and Duties” 82.9 mln. euro;
• in accordance with Section 24, Paragraph 4 (force majeure) of the Law “On Taxes and Duties” 67.1 mln. euro;                                                                                                                                                                                                          • in accordance with the Law "On Measures for the Prevention and Management of State Threats and Their Consequences Due to the Spread of Covid-19" or the Law on the Management of the Consequences of the Spread of Covid-19 Infection "" EUR 160.6 million (including SSIAI contributions at the 2nd pension level)</t>
  </si>
  <si>
    <t>Possibility not to pay PIT advance payments</t>
  </si>
  <si>
    <r>
      <rPr>
        <u/>
        <sz val="11"/>
        <color theme="4" tint="-0.249977111117893"/>
        <rFont val="Calibri"/>
        <family val="2"/>
        <scheme val="minor"/>
      </rPr>
      <t>"Law on Coping with the Consequences of Covid-19 Infection"</t>
    </r>
    <r>
      <rPr>
        <u/>
        <sz val="11"/>
        <color theme="10"/>
        <rFont val="Calibri"/>
        <family val="2"/>
        <scheme val="minor"/>
      </rPr>
      <t xml:space="preserve">; </t>
    </r>
    <r>
      <rPr>
        <u/>
        <sz val="11"/>
        <color rgb="FFFF0000"/>
        <rFont val="Calibri"/>
        <family val="2"/>
        <scheme val="minor"/>
      </rPr>
      <t>Law "On Measures for the Prevention and Management of State Threats and Their Consequences Due to the Spread of Covid-19" [repealed]</t>
    </r>
  </si>
  <si>
    <t>Faster VAT overpayment refund</t>
  </si>
  <si>
    <t>At valuation of the Ministry of Finance, the actual impact of this measure remains at the previously planned level.</t>
  </si>
  <si>
    <t>Cabinet Order No. 141 "On Allocation of Financial Funds from the State Budget Program "Contingency Funds""</t>
  </si>
  <si>
    <t>The municipality will provide a family (person) benefit in a crisis situation if the family (person) has no income, incurs additional expenses that it cannot cover itself, is in self-isolation or has been in quarantine and has no means of subsistence (50 percent of the family (person)) crisis benefit, but not more than EUR 40 per month (2021 fefruary - june 75 euro) per person over a period of three months)</t>
  </si>
  <si>
    <t>State budget earmarked grants to local governments. Initially, the necessary funding was set at 18,000 persons x EUR 40.00 x 3 months = EUR 2.16 million. 4/16/2020 a decision regarding the extension of the term for payment of the benefit by one month. Taking into account the execution, the required funding has been recalculated.
The benefit continues for up to one calendar month after the end of the emergency.</t>
  </si>
  <si>
    <t>Cabinet Order No. 11 "On Allocation of Financial Funds from the State Budget Program "Contingency Funds""</t>
  </si>
  <si>
    <t>A decision has been made to pay the benefit also in 2021. In order to ensure compensation of crisis benefits to local governments for five months (February 2021 (according to the planned increase of the state-provided earmarked grant from 40 euros to 75 euros), March, April, May and June), funding from the state budget of 842,080 euros is required.</t>
  </si>
  <si>
    <t>Payment of sickness benefit from the state budget from the 1st / 2nd day</t>
  </si>
  <si>
    <t>When calculating the expenses, it was assumed that in the Covid-19 scenario the number of people suffering from this infection will reach 50% of the total number of socially insured persons (additional expenses affect the norm by 86.3 million euros). Excluding funding in the amount of EUR 17,774,131, which was redistributed by the MoW in accordance with Cabinet Order No. 705 of 01.12.2020 On Allocation of Financial Resources from the State Budget Program Contingency Funds (to cover expenses for sickness benefits related to the consequences of Covid-19). It is a stabilization mechanism in the event of a deterioration of the economic situation in the country, but it cannot be considered as a specific Covid-19 support measure.</t>
  </si>
  <si>
    <t>Prolonged payment of sickness benefit from the state budget (until 30 June 2021) in cases where Covid-19 has been diagnosed or quarantine has been established, as well as it is planned to terminate the procedure by which sickness benefit is paid and an incapacity for work certificate is issued in case a person has a respiratory disease, motivating the person's self-isolation. Issued for the period from the first to the third day of incapacity for work and for this period a sickness benefit of 80 per cent of the beneficiary's average insurance salary is granted, but after the 3rd day in case of a positive Covid-19 test it is extended.</t>
  </si>
  <si>
    <t>Sickness benefit for childcare</t>
  </si>
  <si>
    <t>Cabinet Order No. 707 "On Allocation of Financial Funds from the State Budget Program "Contingency Funds""</t>
  </si>
  <si>
    <t>In the period from 30 November 2020 to 31 December 2020, the right to a lump-sum sickness benefit for 14 calendar days and in the period from 1 January 2021 to 30 June 2021, the right to sickness benefit is granted to one of the child parents, one of the adopters, a guardian or another person. The lump-sum sickness benefit will be paid at 60% of the claimant's average insurance contribution salary for the previous 12 calendar months.</t>
  </si>
  <si>
    <r>
      <t>By Cabinet Order No. 707 of 1 December 2020 “On Allocation of Financial Funds from the State Budget Program “Contingency Funds”, funding for 2020 was allocated in the amount of 10,505,162 euros. Initially, EUR 23,595 was also allocated to ensure the functionality of the SSIA Information Systems. In 2021, provided that the number of persons who cannot work remotely reaches 30% of the employees, the necessary funding in 2021 is tentatively planned in the amount of 67,554,834 euros (including 23,595 euros to ensure the functionality of the SSIA Information Systems). EUR 11 255 206 was initially allocated from Contingency funds..</t>
    </r>
    <r>
      <rPr>
        <sz val="11"/>
        <color rgb="FFFF0000"/>
        <rFont val="Calibri"/>
        <family val="2"/>
        <charset val="186"/>
        <scheme val="minor"/>
      </rPr>
      <t xml:space="preserve">
</t>
    </r>
  </si>
  <si>
    <t>Downtime support for company employees, patent payers, self-employed</t>
  </si>
  <si>
    <t>Cabinet of Ministers Rule No. 165 "Regulations on Covid-19 Crisis Affected Enterprises Qualifying for Downtime Benefit and Allocation of Deferred Tax Payments for Deferral or Deferral for Up to Three Years" [Repealed]</t>
  </si>
  <si>
    <t>Support for board members when employees are not working and for working retired employees.</t>
  </si>
  <si>
    <t>Amendment to the Law "On Measures for Prevention and Management of State Threats and Their Consequences Due to the Spread of Covid-19"</t>
  </si>
  <si>
    <t>Regulations of the Cabinet of Ministers "Regulations on Support for Downtime for Taxpayers to Continue Their Activities in the Conditions of the Crisis Caused by Covid-19"</t>
  </si>
  <si>
    <t>Aid to compensate for the remuneration of idle employees is paid to the employee in the amount of 70% of the declared average monthly gross salary for the period from 1 August to 30 October 2020, or from the declared average gross salary for the months after 1 August 2020 in which the employee actually worked, but not less than EUR 330 and not more than EUR 1000 per calendar month. Support period until June 30, 2021.</t>
  </si>
  <si>
    <t>It is estimated that 70% of the total number of affected enterprises in the sectors included in Annex 1 (according to the SRS data, approximately 43,000 subjects, 45,000 employees and the average monthly gross wages in the 3rd quarter of 2020 644.58 euros) and 30% of the total number of affected enterprises in the sectors included in Annex 2 (according to SRS data, approximately 112,000 enterprises, 135,000 employees)._x000D_
For downtime support: EUR 45 000 (employees) x 70% x EUR 644.58 = EUR 20 304 270.00 per month. For 2021, the MoE forecasts 97.6 mln. euro.</t>
  </si>
  <si>
    <t>Downtime allowance and child allowance</t>
  </si>
  <si>
    <t>Cabinet of Ministers order No 236 "On the allocation of funds from the state budget of the Contingency Funds programme"</t>
  </si>
  <si>
    <t>Idle assistance allowance for workers and self-employed persons whose idle allowance is less than EUR 180 per month or who do not qualify for idle allowance.</t>
  </si>
  <si>
    <t>Additional Downtime allowance for children</t>
  </si>
  <si>
    <t>Cabinet of Ministers order  No. 178 "On the allocation of funds from the national budget under the Contingency Funds programme"</t>
  </si>
  <si>
    <t>For a worker receiving an idle allowance, a supplement of EUR 50 per dependent child under the age of 24 for whom the worker is benefiting from personal income tax relief at the date of granting the idle allowance</t>
  </si>
  <si>
    <t>In order to provide the dependent supplement, the SSIA needs funding in the amount of 2909080 euros.
72,707 persons (who would receive downtime allowance) x 0.4 * (average number of children in the family) x 50 euros (amount of the allowance) x 2 months = 2908280 euros. Taking into account the actual performance, the required funding has been recalculated. Funding is not to be restored once the crisis resumes.</t>
  </si>
  <si>
    <t>Cabinet of Ministers order  No. 706 "On the allocation of financial resources from the state budget programme "Contingency funds""</t>
  </si>
  <si>
    <t>The idle allowance is paid by the SSIA of EUR 50 per dependent child under the age of 24 for whom the employee is benefiting from personal income tax relief at the date of granting the idle aid</t>
  </si>
  <si>
    <t>Cabinet of Ministers order  No.15 "On the allocation of financial resources from the state budget programme "Contingency funds""</t>
  </si>
  <si>
    <t>Right to unemployment status for patent and micro-enterprise taxpayers</t>
  </si>
  <si>
    <t>Amendment to the Law on the Support of The Unemployed and JobSeekers</t>
  </si>
  <si>
    <t>MoW forecasts indicative impact on special budget expenditures 1,368,400 euros per ampere (500 beneficiaries x 342.10 euros x 8 months) Updated assessment according to performance.Financing in the amount of 20 145 240 euros is not included, in accordance with the Cabinet of Ministers Order No. 238 of 05.05.2020 “On Allocation of Financial Funds from the State Budget Program“ Funds for Contingencies ”” and the Cabinet of Ministers Order No. 366 “Amendment to Cabinet Order No. 238 of 5 May 2020“ On Allocation of Financial Resources from the State Budget Program “Contingency Funds” ”(to ensure prevention of continuity risks of unemployment benefit expenditures), which was redistributed by the MoW mechanism in the event of a deterioration in the economic situation in the country, but this should not be considered as a specific Covid-19 support measure.</t>
  </si>
  <si>
    <t>Extended period of parental benefit</t>
  </si>
  <si>
    <t>Cabinet of Ministers order  No.175 "On the allocation of financial resources from the state budget programme "Contingency funds""</t>
  </si>
  <si>
    <t>A person whose benefit period ends at the time of the declaration of an emergency situation and who is unable to return to work may claim the continuation of the benefit granted after the child reaches the age of one or one and a half years. For the period from 12 March 2020 until the day when the person starts earning income as an employed or self-employed person, but not longer than until the end of the state of emergency declared by Covid-19 (up to 700 EUR).</t>
  </si>
  <si>
    <t>"Calculation:
- the average number of parental benefit recipients provisionally per month from 12 March until the end of the emergency declared by Covid-19 (assumption by 14 July, i.e. four months) is 3 780;
- for this period, the continuation of the parental benefit shall be paid in the amount of the parental benefit previously granted, but not exceeding EUR 700 per month. "</t>
  </si>
  <si>
    <t>Cabinet of Ministers order  No.12 "On the allocation of financial resources from the state budget programme "Contingency funds""</t>
  </si>
  <si>
    <t>Extended for the period from 9 November 2020 to the date on which the person starts earning income as a worker or self-employed person, but no longer than until the end of the emergency of Covid-19 (up to EUR 700).</t>
  </si>
  <si>
    <t>Unemployment assistance allowance</t>
  </si>
  <si>
    <t>Cabinet of Ministers order  No.238 "On the allocation of financial resources from the state budget programme "Contingency funds""</t>
  </si>
  <si>
    <t xml:space="preserve">
- The planned number of recipients of unemployment benefit on average per month 18,653 (for payment in April - December);
- The average amount of the assistance benefit is EUR 180 per month per person for a maximum of 4 months after the end of the unemployment benefit period.Pursuant to the Cabinet of Ministers Order No. 366 of 30.06.2020 (protocol No. 42 § 53), which amends the Cabinet of Ministers 05.05.2020. Order No. 238 (protocol No. 29 § 4) provides for ensuring the payment of unemployment benefit and preventing the risks of continuity of unemployment benefit expenses (EUR 20,145,240 redistributed to unemployment benefits). Taking into account the execution, the necessary financing has been recalculated (FM Order No. 436 of 30.10.2020). Amendments to the Law "On Unemployment Insurance" (planned to be considered at the Cabinet of Ministers sitting on 10.12.2020) the term for granting the benefit has been extended until 30.06.2020. Financial impact EUR 3,314,520 (2021 from "Contingency Funds").</t>
  </si>
  <si>
    <t>Cabinet of Ministers order  No.16 "On the allocation of financial resources from the state budget programme "Contingency funds""</t>
  </si>
  <si>
    <t>Extended childcare allowance and allowance</t>
  </si>
  <si>
    <t>Cabinet of Ministers order  No.277 "On the allocation of financial resources from the state budget programme "Contingency funds""</t>
  </si>
  <si>
    <t>Pending the declaration of a national emergency for the spread of Covid-19, ensure the payment of a childcare allowance of EUR 171 per month to a person caring for a child between one and a half years and two years and a supplement to the childcare allowance of EUR 171 per month for a person caring for twins or several children born in the same birth from the age of one and a half to two years;
An additional EUR 33 033 to cover the costs of ensuring the functionality of the social insurance information system.</t>
  </si>
  <si>
    <t xml:space="preserve">
- the planned number of beneficiaries per month on average - 11,148 (assumption made for payment for a period of 3 months);
- an increase in the amount of the benefit from EUR 42.69 to EUR 171, in addition to EUR 128.31.
In order to ensure the payment of the benefit in a 3-month period (in the period from March 12 to June 9), financing from the state budget of EUR 4,291,200 (expenses for social payments and compensations) is required. " Actual estimate according to actual performance. Taking into account the actual performance, the required funding has been recalculated. Funding is not to be restored once the crisis resumes.</t>
  </si>
  <si>
    <t>Guardian's allowance in excess of child support</t>
  </si>
  <si>
    <t>Regulation No. 256 "Amendment to Cabinet Regulation No. 1643 of 22 December 2009 "Procedure for granting and paying a benefit for the maintenance of a child under guardianship""</t>
  </si>
  <si>
    <t>For the period when a state of emergency has been declared in the country due to the spread of Covid-19, the SSIA pays a benefit for a child under the age of seven - EUR 161.25 per month and for a child from the age of seven - EUR 193.50 per month. The amount of the SSIA benefit is calculated for the period from March 12, 2020 and is paid until June 30, 2020.</t>
  </si>
  <si>
    <t>One-off supplement to the state family allowance for disabled children</t>
  </si>
  <si>
    <t>Regulation No. 294 "Amendment of Cabinet Regulation No. 1517 of 22 December 2009 "Regulations on state family benefits and family state allowances"; Cabinet of Ministers order No 276 on the allocation of financial resources from the national budget to the Contingency Funds programme</t>
  </si>
  <si>
    <t>Until 30 June 2020, the State Social Insurance Agency shall pay a lump sum for the period of time during which a state of emergency has been declared in the country due to the spread of Covid-19 a supplement of EUR 150. Including 23 595 EUR for system modernization.</t>
  </si>
  <si>
    <t>Support for wage subsidies for part-time workers</t>
  </si>
  <si>
    <t>14.07.2020. 11.08.2020 03.11.2020 11.12.2020 14.01.2021</t>
  </si>
  <si>
    <t>Cabinet of Ministers order  No.415 "On the allocation of financial resources from the state budget programme "Contingency funds""</t>
  </si>
  <si>
    <t>Aid granted to economic operators to compensate for wages and other operational costs to overcome the consequences of the Covid-19 crisis</t>
  </si>
  <si>
    <t>Cabinet Regulation No. 455 of 14 July 2020 "Procedure for Granting Support to Economic Operators of the Tourism Sector Affected by Covid-19" provides EUR 19.2 million for the support of the tourism sector. Impact according to the Information Report of the Cabinet of Ministers of 02.09.2020 "On Measures for Overcoming the Covid-19 Crisis and Economic Recovery for 2020 and 2021". Adjusted impact according to actual implementation. 11.12.2020 Order No. 759</t>
  </si>
  <si>
    <t>Subsidised jobs for exporting companies</t>
  </si>
  <si>
    <t>Cabinet rules "Rules on idle support for taxpayers in the context of the Covid-19 crisis"</t>
  </si>
  <si>
    <t>According to the CSB data, a total of 867 thousand employees are employed, of which 607 thousand are employed in the private sector. Excluding labor income is 63 thousand. Taking into account the conditions of the program, if all employees were applied for (~ 543 thousand), the total amount of support would exceed 190 million euros.
Assuming that 30% of the workforce will apply for a wage subsidy (because some employees will apply for downtime allowance and some companies do not have a drop in turnover), the total budgetary impact will be around € 39 million per month, with an initial support of € 78 million. Taking into account the budget performance of 2020 and the change of conditions, the MoE predicts that 20.7 million euros will be needed for 2021</t>
  </si>
  <si>
    <t>Support for young professionals</t>
  </si>
  <si>
    <t>Cabinet of Ministers order  No.368 "On the allocation of financial resources from the state budget programme "Contingency funds""</t>
  </si>
  <si>
    <t>The allowance shall be paid in the first two months in the amount of EUR 500, in the third and fourth months in the amount of EUR 375 to persons who have completed their studies at the university or college where they obtained their higher education during the year preceding the declaration of emergency and have acquired the status of unemployed during an emergency situation or within three months after its end.
To cover expenses related to the provision of the functionality of the Social Insurance Information System."</t>
  </si>
  <si>
    <t>Initially, EUR 6 532 750 is earmarked for new specialist allowances and EUR 64 651 for the adaptation of IT systems. The impact has been clarified taking into account the actual implementation and reallocated funding (FM Order No. 448 of 02.11.2020). When the crisis situation resumed, the payment of the benefit was extended until June 30, 2021.</t>
  </si>
  <si>
    <t>Cabinet of Ministers order  No. 14 "On the allocation of financial resources from the state budget programme "Contingency funds""</t>
  </si>
  <si>
    <t>In 2020, the funds invested in the reserve capital of ALTUM in the amount of 50 million euros are included in expenses.
The additional impact in the medium term has been assessed taking into account the projected customer interest payments, commission income, costs of raising resources and administrative expenses. On December 17, the Cabinet of Ministers decided to increase the funding of the program by 10 million euros, as well as to extend the program until 30.06.2021. Total funding of the program with the Cabinet of Ministers 17.12. decision increased to 210 million euros.</t>
  </si>
  <si>
    <t>In 2020, the funds invested in the reserve capital of ALTUM in the amount of 25 million euros are included in expenses. On December 17, the Cabinet of Ministers has decided to allocate 2.5 million euros to other programs, as well as to extend the program until 30.06.2021. As of December 7, the amount of ALTUM guarantees is 93 million euros, a total of 340 million euros is planned in the program (415 million euros were planned in March 2020).</t>
  </si>
  <si>
    <t>In 2020, expenses invested in the ALTUM reserve capital in the amount of EUR 25 million are included in expenses. On December 17, the Cabinet of Ministers decided to extend the program until 31.12.2021.</t>
  </si>
  <si>
    <t>The total increase of municipal loans by EUR 150 million is planned to ensure the availability of loans to municipalities in high-maturity projects co-financed by EU funds and other foreign financial assistance in 2020 to cover eligible expenses, while reviewing the distribution of eligible / ineligible costs in the high readiness investment projects applied by the Ministry of Environmental Protection and Regional Development in accordance with the Cabinet of Ministers Regulations No. 14.07.2020. 456 "Regulations on the Conditions and Procedures for Issuing a State Loan to Local Governments for Reducing and Preventing the Impact of an Emergency in Relation to the Spread of Covid-19", for the Implementation of a Nationally Significant Investment Project ., § 37 “Informative report“ On the implementation of the nationally significant investment project “Reconstruction of Mežaparks Grand Stage at Ostas prospekts 11, Riga, Part B, Phase 2”), as well as for the construction of a new pre-school educational institution or expansion of an existing pre-school educational institution Cabinet of Ministers Order no. 299 and Order No. 544 of 22 September 2020 “On Supported Municipal Investment Projects for the Construction of a New Pre-School Education Institution or the Expansion of an Existing Pre-School Education Institution to be Granted a State Budget Loan”. will be formed in two years: EUR 50 million in 2020 and EUR 72 million in 2021. The impact has been adjusted according to the actual data of the Treasury.</t>
  </si>
  <si>
    <t>Capital fund for large merchants</t>
  </si>
  <si>
    <t>At the sitting of the Cabinet of Ministers on 14.07.2020, the draft Regulations "Regulations on Capital Investments in Merchants Affected by the Spread of Covid-19" and the Draft Order "On the Increase of Reserve Capital" were considered. Amount of support in accordance with the Cabinet of Ministers Information Report of 02.09.2020 "On Measures for Overcoming the Covid-19 Crisis and Economic Recovery for 2020 and 2021". As of 20.11.2020, 25 million euros have actually been paid out, however, this support has no impact on the budget balance. A capital investment program that has established an alternative investment fund that operates on a commercial basis. According to the evaluation of the program, the operation of the fund will end with a positive return. The total amount of aid is divided into two years.</t>
  </si>
  <si>
    <t>Guarantees for large merchants</t>
  </si>
  <si>
    <t>Financial instrument, guarantees for the modernisation of large merchants (ALTUM)</t>
  </si>
  <si>
    <t>At the meeting of the Cabinet of Ministers on 14.07.2020, the draft Regulations "Regulations on Guarantees for Large Merchants Affected by the Spread of Covid-19" were considered, where it is planned to invest 40,000,000 euros in the reserve capital of ALTUM. The amount of support was specified to 20 million euros at the Cabinet meeting on December 17, and the term of support was also extended until 30.06.2021. Together with the co-financing attracted by ALTUM, the total support can reach 80 million euros (25% of the projected losses make up 20 million euros of state budget funding)</t>
  </si>
  <si>
    <t>Loans and interest rate subsidies to large merchants</t>
  </si>
  <si>
    <t>Rules on loans and interest rate subsidies for economic operators to promote competitiveness</t>
  </si>
  <si>
    <t>For the modernisation of large merchants (ALTUM), loans and interest rate subsidies</t>
  </si>
  <si>
    <t>10.11.2020 The Cabinet of Ministers considered the draft regulation "Regulations on Loans and their Interest Rate Subsidies to Entrepreneurs for the Promotion of Competitiveness". Funding in the amount of EUR 50,000,000 will be provided by the Ministry of Finance increasing its resources from the grant from the general revenue grant to Altum's reserve capital for crisis loans and estimated expected credit risk losses of EUR 45,130,000, as well as contingencies from Altum. ’EUR 4 870 000 in loan interest rate subsidies. Funding is planned for two years, 25 million euros annually. Together with the co-financing attracted by ALTUM, the total support can reach 150 million euros.</t>
  </si>
  <si>
    <t>Guarantees for economic operators</t>
  </si>
  <si>
    <t>Amendments to Cabinet Regulation No. 383 of 16 June 2020 "Regulations on guarantees for economic operators to improve competitiveness"</t>
  </si>
  <si>
    <t>State budget funding for the payment of guarantees</t>
  </si>
  <si>
    <t>“Amendments to Cabinet Regulation No. 150 of 19 March 2020“ Regulations on Guarantees for Economic Operators Affected by the Spread of Covid-19 ”, which provide for redistribution of 2.5 million euros of funding to the Regulations to provide guarantees to large economic operators.
"Amendments to Cabinet Regulation No. 454 of 14 July 2020" Regulations on Guarantees for Large Entrepreneurs Affected by the Spread of Covid-19 "" on the redistribution of EUR 2 million to the Regulations for Provision of Guarantees to Large Economic Operators."</t>
  </si>
  <si>
    <t>Informative Report "On the Impact of the COVID-19 Pandemic on AirBaltic's Operations" (IP) and Cabinet of Ministers 08.05.2020 Order 256 "On the Increase of the Share Capital of the Joint Stock Company" Air Baltic Corporation ""</t>
  </si>
  <si>
    <t>In order to compensate for the losses caused by the Covid-19 outbreak, ensure the long-term liquidity of the company and ensure the overcoming and stabilization of the economic crisis in the sector, support the increase of the company's share capital by investing up to 250 mln euro.</t>
  </si>
  <si>
    <t>Increase of the share capital of "Latvian Air Traffic".</t>
  </si>
  <si>
    <t>LIMITED ACCESS.
The draft order provides support for the increase of the share capital of the state-owned joint stock company "Latvian Air Traffic" by investing EUR 6,000,000 in order to absorb the economic shock, overcome the crisis and stabilize the economic situation in the sector.
Pursuant to Regulation of the European Parliament and of the Council No 549/2013 of 21 May 2013 on the European system of national and regional accounts in the European Union The competent statistical authorities may account for the investment in share capital of a share capital provided for in point 4.165 (b) as general government expenditure, thereby creating a negative impact on general government budget balance 2020.
Increase of appropriation in accordance with Article 22 of the Law "On Measures for Prevention and Management of State Threats and Its Consequences Due to the Proliferation of Covid-19"</t>
  </si>
  <si>
    <t>Order No. 219 "On the increase of the share capital of the State Joint Stock Company" Riga International Airport ""</t>
  </si>
  <si>
    <t>Healthcare-related support</t>
  </si>
  <si>
    <t>"1.1. For the purchase of real - time polymerase chain reaction (PCR) equipment, up to a maximum of EUR 110 300;
1.2. for the purchase of extracorporeal membrane oxygenation equipment, intermediate treatment kits (ECMO), artificial lung ventilation equipment and non-invasive ventilation equipment - up to a maximum of EUR 775 505. " 
Cabinet of Ministers Rule No. 80 03.03.2020.</t>
  </si>
  <si>
    <t xml:space="preserve">"To cover the costs incurred in connection with the Covid-19 outbreak, including:
1.1. to the state limited liability company "Children's Clinical University Hospital" for the purchase of medical equipment in the amount of 3,611,547 euros;
1.2. to the State Limited Liability Company "Pauls Stradiņš Clinical University Hospital" for the purchase of medical equipment in the amount of EUR 3,698,365;
1.3. for the limited liability company "Riga East Clinical University Hospital" for the purchase of medical equipment in the amount of 6 798 925 euros "
</t>
  </si>
  <si>
    <t>Cabinet of Ministers Order No. 118 20.03.2020. Will be financed from the increase of "Contingency Funds" appropriation in the amount of 300 mln. EUR. The amount of support to 258 036 euros has been specified taking into account the Cabinet of Ministers 14.07.2020. decision http://tap.mk.gov.lv/doc/2020_07/IEMRik_030620_groz118.1160.doc</t>
  </si>
  <si>
    <t>Cabinet of Ministers No. 220 "On Allocation of Financial Resources from the State Budget Program "Contingency Funds""</t>
  </si>
  <si>
    <t>Provide the Ministry of Defence with funding of EUR 45 734 760 to cover the costs of purchasing and transporting personal protective equipment and disinfectants identified in the list of priority and needs of institutions and municipalities in the context of the emergency declared for the containment of Covid-19. In 2021, an additional EUR 12,4 million euro was allocated.</t>
  </si>
  <si>
    <t>Cabinet of Ministers No. 18 "On Allocation of Financial Resources from the State Budget Program "Contingency Funds""</t>
  </si>
  <si>
    <t>Protective equipment, medicines, etc. medical equipment.</t>
  </si>
  <si>
    <t>To provide the Ministry of Health with funding not exceeding EUR 10 000 000 to cover expenditure incurred in relation to the Outbreak of Covid-19 and its consequences. Empower the Health Minister to decide on the use of the funds according to the actual need. Provide the Ministry of Health with funding not exceeding EUR 1 742 420 to cover expenditure incurred in connection with the outbreak of coronvirus Covid-19.</t>
  </si>
  <si>
    <t>Cabinet of Ministers No. 136 "On Allocation of Financial Resources from the State Budget Program" Contingency Funds "</t>
  </si>
  <si>
    <t>Cabinet of Ministers No. 136 27.03.2020 Funded from Funds for Contingencies from the increase in appropriations for Funds for Contingencies by 300 mln. No.12 25.03.2020. Impact clarified.</t>
  </si>
  <si>
    <t>Cabinet of Ministers No. 237 "On Allocation of Financial Resources from the State Budget Program "Contingency Funds""</t>
  </si>
  <si>
    <t>To ensure the implementation of functions and continuity of the provision of health services - RAKUS 0,66 mEUR and P.Stradins Clinical University Hospital (PSKUS) 0,66 mEUR</t>
  </si>
  <si>
    <t>Funding not exceeding EUR 1 323 563 to ensure the implementation of functions and continuity of the provision of health services during the outbreaks of coronvirus Covid-19.</t>
  </si>
  <si>
    <t>Cabinet of Ministers No. 271 "On Allocation of Financial Resources from the State Budget Program "Contingency Funds""</t>
  </si>
  <si>
    <t>To cover the costs incurred in preventing outbreaks and consequences of "Covid-19" - National Health Service 0,67 mEUR, Emergency Medical Service 0,09 mEUR; 1.43 mEUR for the National Health Service to cover the costs of RAKUS.</t>
  </si>
  <si>
    <t>For outpatient and hospital health services, for the organisation and conduct of laboratory examinations - EUR 672 139, for the establishment of mobile points for the collection of analyses - EUR 91 984, for the cost of RAKUS (purchase of reagent kits, purchase of video intubation kit, construction works, collection of patient blood sampling, transport supplies and medical supplies) - EUR 1 428 081.</t>
  </si>
  <si>
    <t xml:space="preserve">Draft Regulations "Amendments to Cabinet Regulation No. 555 of 28 August 2018" Procedures for Organization and Payment of Health Care Services "" </t>
  </si>
  <si>
    <t>EUR 16,0 million Euro - Article 243.5, 243.6, 245, 248 and Annex 3, paragraph 60 -Ministry of Health wille provide within the framework of existing funds.</t>
  </si>
  <si>
    <t>Regulations No. 367 "Amendments to Cabinet Regulation No. 555 of 28 August 2018" Procedures for Organization and Payment of Health Care Services ""</t>
  </si>
  <si>
    <t>the National Health Service to cover the costs incurred in preventing outbreaks and consequences of the Covid-19</t>
  </si>
  <si>
    <t>Cabinet of Ministers No. 413 "On Allocation of Financial Resources from the State Budget Program" Contingency Funds ""</t>
  </si>
  <si>
    <t>To cover the costs incurred by the National Health Service in preventing outbreaks and consequences of Covid-19</t>
  </si>
  <si>
    <t>From the State Budget Program 02.00.00 “Contingency Funds”, the Ministry of Health (National Health Service) has been allocated funding not exceeding EUR 2,054,926 to provide medical supplies to medical institutions in connection with the spread of Covid-19 infection in the country.</t>
  </si>
  <si>
    <t>EUR 57.6 million is state budget financing (provision of full functionality of PSKUS A2 building - 20 million, renovation of PSKUS buildings 15, 4, 24, 25 = 15.6 million, BKUS outpatient building with reception and observation department 10, 2 million, for expansion of intensive care units of Daugavpils, Valmiera, Liepāja, Rēzekne, Ventspils regional hospitals, establishment of isolation boxes, separation of patient flows 15 million). Part of the financing is covered from excess liabilities (16.4 million euros). The impact has been specified in accordance with the Cabinet of Ministers Information Report of 02.09.2020 "On Measures for Overcoming the Covid-19 Crisis and Economic Recovery for 2020 and 2021". By Cabinet Order No. 508 of 16.09.2020, 6,220,850 euros have been allocated for the increase of the share capital. 2,086,759 euros have been allocated by Cabinet Order No. 509 of 16 September 2020. 1. Informative report "On measures for overcoming the Covid-19 crisis and economic recovery" (Cabinet of Ministers No. 38 of 02.06.2020, § 49); 2. Informative report "On measures for overcoming the Covid-19 crisis and economic recovery" (Cabinet of Ministers No. 51 of 02.09.2020, § 55); 3. Informative report "On Proposals for State Budget Revenues and Expenditures for 2021 and the Framework for 2021-2023" (Cabinet of Ministers No. 55 of 22.09.2020, Paragraph 38, Item 33) Financing for 2021 in the base expenditures of the Ministry of Health budget.</t>
  </si>
  <si>
    <t>Cabinet of Ministers No. 509 "On Allocation of Financial Resources from the State Budget Program" Contingency Funds ""</t>
  </si>
  <si>
    <t>Cabinet of Ministers No. 608 "On Allocation of Financial Resources from the State Budget Program" Contingency Funds ""</t>
  </si>
  <si>
    <t>Financing for the purchase of vaccines</t>
  </si>
  <si>
    <t>Grant the Ministry of Health EUR 1 638 064 to make additional contributions to the Emergency Support Instrument to ensure access to a wider Covid-19 vaccine portfolio</t>
  </si>
  <si>
    <t>Cabinet of Ministers No. 614 "On Allocation of Financial Resources from the State Budget Program" Contingency Funds ""</t>
  </si>
  <si>
    <t>Financing for the purchase of medicinal products</t>
  </si>
  <si>
    <t>To provide funding to the Ministry of Health (National Health Service) not exceeding EUR 1 449 387, including: EUR 1 101 240 in 2020 and EUR 348 147 in 2021 to ensure the availability of the active ingredient Veclury with the active substance remdesivir in the process of COVID-19 medical treatment. In view of the amount of funding provided for in Order No. 22 of the Cabinet of Ministers of 14.01.2021, the funding of EUR 0,3 million shall be in 2021.</t>
  </si>
  <si>
    <t xml:space="preserve"> Cabinet of Ministers of 20.10.2020.62 § 40 "Informative report" On Latvia's participation in the Covid-19 vaccine procurement contract concluded by the European Commission ""</t>
  </si>
  <si>
    <t>Ministry of Health's request of EUR 2 605 241 (2021) to cover expenditure on the purchase of a vaccine against Covid-19.</t>
  </si>
  <si>
    <t>Cabinet of Ministers No. 640 "On Allocation of Financial Resources from the State Budget Program" Contingency Funds ""</t>
  </si>
  <si>
    <t>Funding for overtime for medical practitioners</t>
  </si>
  <si>
    <t>Funding of EUR 1 246 071 to ensure payment of the responsible institution for medical persons and other employees in the resolution and consequence of overtime related to covid-19 issues from 1 March 2020 to 9 June 2020</t>
  </si>
  <si>
    <t>Cabinet of Ministers No. 655 "On Allocation of Financial Resources from the State Budget Program" Contingency Funds ""</t>
  </si>
  <si>
    <t>Allowances for medical treatments and other workers for work under sensitive and exertion conditions.</t>
  </si>
  <si>
    <t>Grant funding not exceeding EUR 2 926 570 to the Ministry of Health to provide supplements for treatment and other workers in the institutions responsible for the treatment of covid-19 persons and other workers in the context of the emergency public health risk posed by the Covid-19 outbreak and consequences.</t>
  </si>
  <si>
    <t>To cover the purchase, logistics and use of Covid-19 vaccine</t>
  </si>
  <si>
    <t>For the creation of new hospital beds, as well as for reprofiling beds and adequate material equipment</t>
  </si>
  <si>
    <t>An additional € 370,385 is required for the optimal  bed count in medical institutions, as well as for the re-profiling of beds. In addition to the purchase and replacement of medical equipment, medical devices, as well as the implementation of the measure for the purchase of disinfectants, an additional EUR 7,672,466 is required. In order to ensure the possibility to admit additional Covid-19 patients, additional funding in the amount of 150,867 euros is required for the establishment of the Covid-19 ward at the Balvi and Gulbene Hospital Association Ltd. in Balvi.</t>
  </si>
  <si>
    <t>Informative report “Capacity building and strengthening of resilience of the health sector in the conditions of Covid-19 in Latvia” (MK 08.12.2020. Cabinet of Ministers sitting No.81 § 7)</t>
  </si>
  <si>
    <t>Additional funding needed to increase health sector capacity and strengthen resilience</t>
  </si>
  <si>
    <t>Establishment and accreditation of the Laboratory for testing personal protective equipment and medical face masks on the basis of Riga Technical University in 2020-2021 to contribute to the crisis management and economic recovery of Covid-19 in urgent order, as well as to meet the needs for testing special protective clothing and special clothing in Latvia</t>
  </si>
  <si>
    <t>Ministry of Science and Education</t>
  </si>
  <si>
    <t>Total funding needed up to EUR 2 110 000 in 2021, amounting to EUR 950 000 to ensure the establishment of an accredited testing laboratory for personal protective equipment and medical face masks, and EUR 1 160 000 to provide special protective clothing and special clothing testing in Latvia, will be provided from funds for unforeseen events, in line with the actual expenditure of Riga Technical University in 2021</t>
  </si>
  <si>
    <t>Regulations "Amendments to Cabinet Regulation No. 555 of 28 August 2018" Procedures for Organization and Payment of Health Care Services ""; MK 17.12.2020. sitting prot. No.84 § 78</t>
  </si>
  <si>
    <t>Measures taken in connection with the prevention of outbreaks and consequences of Covid-19</t>
  </si>
  <si>
    <t>EUR 65 081 781 (provisions 243.1, 243.2, 243.3, 243.4, 244, 245, 246) must be covered by the contingency funds of the national budget programme 02.00.00</t>
  </si>
  <si>
    <t>eur 11 680 957 will be provided under the budget allocated to the Ministry of Health</t>
  </si>
  <si>
    <t>Order No.1 on increasing the appropriation for the Ministry of Health</t>
  </si>
  <si>
    <t>Investments in fixed capital of hospitals for purchase of medical equipment and accessories</t>
  </si>
  <si>
    <t>In the amount of EUR 1,793,053, the increase of the share capital of the state limited liability company "Children's Clinical University Hospital" by investing financial resources in the amount of 4,500 euros, and the increase of the share capital of the limited liability company "Riga East Clinical University Hospital" in the amount of 2,963 EUR 895 for the purchase of medical equipment and supplies</t>
  </si>
  <si>
    <t>Cabinet of Ministers Order No. 2 "On the Allocation of Financial Resources from the State Budget Program" Contingency Funds ""</t>
  </si>
  <si>
    <t>Funding in addition to covid-19 beds</t>
  </si>
  <si>
    <t>Funding for hospitals to increase the number of beds used to care for Covid-19 patients.</t>
  </si>
  <si>
    <t>Information report on the purchase of Covid-19 vaccines (MK 8.01.2021. Protocol of the sitting No. 3 § 1</t>
  </si>
  <si>
    <t>for the purchase of vaccines against Covid-19</t>
  </si>
  <si>
    <t>Means for the purchase of vaccines against Covid-19</t>
  </si>
  <si>
    <t>Purchase of antigen detection tests and pulse oximeters</t>
  </si>
  <si>
    <t>Ministry od Defence</t>
  </si>
  <si>
    <t>To allocate funding to the Ministry of Defense (National Defense Logistics and Procurement Center), not more than 621,799 euros, in order to ensure the provisions of the Cabinet of Ministers of 9 June 2020 No. 380 "Regulations on the Purchase of SARS-CoV-2 Antigen Tests and Pulse Oximeters" referred to in the "Priority Institutions and Institutions on the Needs List"</t>
  </si>
  <si>
    <t>Information report on the purchase of `Moderna` vaccines against Covid-19 (MK 14.01.2021. sitting prot. No. 5 § 37</t>
  </si>
  <si>
    <t>Vaccines against covid-19 purchase, logistics and use costs</t>
  </si>
  <si>
    <t>Vaccines against Covid-19 purchase, logistics and input costs</t>
  </si>
  <si>
    <t>Cabinet of Ministers Order No. 22 "On the Allocation of Financial Resources from the State Budget Program" Contingency Funds ""</t>
  </si>
  <si>
    <t>The availability of the drug Veclury with the active substance remdesivir</t>
  </si>
  <si>
    <t>Funding of EUR 2 431 560 to ensure the availability of the active substance remdesivir in the medical treatment process from January 2021 to 30 June 2021.</t>
  </si>
  <si>
    <t>Cabinet of Ministers Order No. 35 "On the Allocation of Financial Resources from the State Budget Program" Contingency Funds ""</t>
  </si>
  <si>
    <t>In order to reduce the long-term adverse effects on public mental health caused by the COVID-19 pandemic</t>
  </si>
  <si>
    <t xml:space="preserve">1.1. For the National Health Service EUR 7,057,226, including:_x000D_
1.1.1. for the improvement of the availability of psychological assistance and mental health care services for the residents of Latvia - 5,332,095 euros;_x000D_
1.1.2. for the improvement of mutual cooperation of specialists in the field of mental health care, incl. to motivate Family Doctors practices to get involved in the assessment and monitoring of their patients' mental health - 156,156 euros;_x000D_
1.1.3. psycho-emotional support of the existing medical staff and its monitoring - 1,568,975 euros;_x000D_
1.2. EUR 53 982 for the Emergency Medical Service to set up a psycho-emotional team. </t>
  </si>
  <si>
    <t>Cabinet of Ministers Order No. 34 "On the Allocation of Financial Resources from the State Budget Program "Contingency Funds""</t>
  </si>
  <si>
    <t>For the operation of the vaccination project office</t>
  </si>
  <si>
    <t>Information report "On the purchase of a dose of Covid-19 vaccine manufactured by CureVac" (Cabinet of Ministers sitting No. 8  § 45 of 21 January 2021)</t>
  </si>
  <si>
    <t>Purchase of additional doses of Covid-19 vaccine from the vaccine manufacturer CUREVAC AG</t>
  </si>
  <si>
    <t>Taking into account the funding already allocated for the purchase of 300,000 vaccines from the manufacturer CureVac AG, additional funding is needed for logistical costs and use to ensure the purchase of 646,510 (946,510-300,000 = 646,510 vaccine doses) purchase of vaccine doses EUR 7,998,120 (EUR 11,358,120- 3,360,000 = EUR 7,998,120), EUR 98,211 for logistics (EUR 143,784-45,573 = EUR 98,211) and EUR 6,311,156 for the supply of vaccines (EUR 8,153,616-1,842,460 = EUR 6,311,156). Taking all into account, additional funding of EUR 14,407,487 is required.</t>
  </si>
  <si>
    <t>Cabinet of Ministers Order No. 37 "On the Allocation of Financial Resources from the State Budget Program" Contingency Funds ""</t>
  </si>
  <si>
    <t>In order to provide allowances from 1 January 2021 to 31 March 2021 to medical practitioners and other employees of the responsible institutions</t>
  </si>
  <si>
    <t>For the period from 1 December 2021 to 31 March 2021 - in the amount of 69,341,604 euros, including monthly 23,113,868 euros.</t>
  </si>
  <si>
    <t>Cabinet of Ministers Order No. 55 "On the Allocation of Financial Resources from the State Budget Program" Contingency Funds ""</t>
  </si>
  <si>
    <t>Strengthening the capacity of the Center for Disease Prevention and Control</t>
  </si>
  <si>
    <t>It is planned to outsource the survey of individuals with a confirmed diagnosis of Covid-19 to 300 man-hours per day. Financing for 5 months</t>
  </si>
  <si>
    <t>Informative Report "On Vaccines against Covid-19" ( of the  of the Cabinet of Ministers No. 10 § 57 of 28 January 2021)</t>
  </si>
  <si>
    <t>To provide the Ministry of Health with funding of up to EUR 14,328,990 for the purchase, logistics and administration of the Covid-19 vaccine</t>
  </si>
  <si>
    <t>Provide funding to the Ministry of Health for a maximum of EUR 14,210,679. Purchase, logistics and administration of Covid-19 vaccine</t>
  </si>
  <si>
    <t>Cabinet of Ministers Order No. 75 "On the Allocation of Financial Resources from the State Budget Program" Contingency Funds ""</t>
  </si>
  <si>
    <t>For efficient operation of vaccination systems, as well as convenient and flexible vaccination process, creating a special IT solution for managing the vaccination process.</t>
  </si>
  <si>
    <t>To provide the Ministry of Health (National Health Service) with funding in the amount of not more than 1,450,330 euros to ensure the efficient operation of the vaccination system, as well as a convenient and flexible vaccination process by creating a special IT solution for managing the vaccination process.</t>
  </si>
  <si>
    <t>Informative Report "On Vaccines against Covid-19" ( of the  of the Cabinet of Ministers No. 13 § 4 of 5 February 2021)</t>
  </si>
  <si>
    <t>To provide the Ministry of Health with funding of up to EUR 4,157,335 for the purchase, logistics and administration of Covid-19 vaccines</t>
  </si>
  <si>
    <t>Cabinet of Ministers Order No. 81 "On the Allocation of Financial Resources from the State Budget Program" Contingency Funds ""</t>
  </si>
  <si>
    <t>Purchase of medical equipment and accessories, establishment of an operational data panel and allowances for observation beds and intensive care beds</t>
  </si>
  <si>
    <t>To provide the Ministry of Health (National Health Service) with funding not exceeding EUR 40 254 832 for the purchase of medical equipment and accessories, the establishment of an operational data panel, as well as to provide allowances for observation beds and intensive care beds</t>
  </si>
  <si>
    <t>Cabinet of Ministers Order No. 80 "On the increase of appropriations for the Ministry of Health"</t>
  </si>
  <si>
    <t>Establishment of intensive care beds, purchase of medical equipment and accessories, as well as implementation of epidemiological measures, separating patient flows and establishment of pharmacies</t>
  </si>
  <si>
    <t>To increase the share capital of the Ministry of Health in the amount of 26,407,684 euros (VSIA PSKUS, VSIA BKUS, SIA RAKUS, VSIA “Hospital “Ģintermuiža””, VSIA “Strenču psychoneurological hospital”) for the establishment of intensive care beds, purchase of medical equipment and additional , separating patient flows and the establishment of pharmacies.</t>
  </si>
  <si>
    <t>Cabinet of Ministers No. 142 "On Allocation of Financial Resources from the State Budget Program "Contingency Funds""</t>
  </si>
  <si>
    <t>the creation and distribution of audiovisual content for remote learning (including distribution through free-to-air television programmes).</t>
  </si>
  <si>
    <t>Cabinet of Ministers No.142 01.04.2020. (Protocol No. 20 § 46) Granted from Contingencies Funds, from the increase in appropriations for Contingency Funds by 300 mln. according to the Cabinet of Ministers No.12 25.03.2020.</t>
  </si>
  <si>
    <t>For the purchase of smartphones and tablets necessary for the remote learning process for learners of general primary and secondary education institutions.</t>
  </si>
  <si>
    <t>Cabinet of Ministers No.117 19.03.2020 To be financed from the increase in the Contingency Funds appropriation by EUR 300 million.</t>
  </si>
  <si>
    <t>To ensure the purchase of equipment (smartphones and tablets) necessary for remote learning.</t>
  </si>
  <si>
    <t>Cabinet of Ministers No. 498 "On Allocation of Financial Resources from the State Budget Program "Contingency Funds""</t>
  </si>
  <si>
    <t>Broadband infrastructure 'vidējā jūdze', internet for schools, digitization of curricula.</t>
  </si>
  <si>
    <t>Impact according to the Information Report of the Cabinet of Ministers of 02.09.2020 "On Measures for Overcoming the Covid-19 Crisis and Economic Recovery for 2020 and 2021". in order to provide broadband infrastructure (broadband) “vidējā jūdze”, Internet for schools, digitization of study content, the funding for 2021 is 2.8 million euros in the MES budget</t>
  </si>
  <si>
    <t>Allowances for general education teachers, primary vocational, vocational education and vocational secondary education programmes for teachers implementing the remote learning process</t>
  </si>
  <si>
    <t>Cabinet of Ministers No.56 "On Allocation of Financial Resources from the State Budget Program "Contingency Funds""</t>
  </si>
  <si>
    <t>Allowances for pre-school and special education teachers, including teaching assistants, for work during the Covid-19 pandemic, for allowances for persons providing babysitting services in pre-schools and special education institutions (nanny, teaching assistant), for work During the Covid-19 pandemic, EUR 300.00</t>
  </si>
  <si>
    <t>"Number of teachers' rates - 14790,032 x 300 euros = 4 437 124 euros
EUR 4 437 124 is made up of a total amount calculated for each educational institution (a total of 1011 institutions).
Babysitters, teaching assistants (number of workloads) - 6 342.9795 x 300 = 1,902,894 euros
Total required = EUR 6 340 018, including:
➡ EUR 5,816,300 to the Ministry of Education and Science (Resor 62 "Targeted grants to local governments");
➡ EUR 523 718 for the Ministry of Education and Science (Resor 15 "Ministry of Education and Science"). "</t>
  </si>
  <si>
    <t>Support for the media and public information</t>
  </si>
  <si>
    <t>Granted from Contingency Funds, it is financed by an increase in the Contingency Funds appropriation of EUR 300 million. MK 19.03.2020. Protocol No. 16 § 5. MK 29.12.2020. Paragraph 5 of Protocol No. 88, which provides that the expenses for the information telephone (TET costs) shall be covered from Contingency Funds in 2021 not exceeding 85,000 euros</t>
  </si>
  <si>
    <t>Cabinet of Ministers No. 116 "Amendments to the Cabinet of Ministers Order No. 100 of 10 March 2020" On Allocation of Financial Resources from the State Budget Program "Contingency Funds"""</t>
  </si>
  <si>
    <t>Granted from Contingency Funds, the increase in the Contingency Funds appropriation of EUR 300 million is financed.</t>
  </si>
  <si>
    <t>Cabinet of Ministers No. 160 "On Allocation of Financial Resources from the State Budget Program"Contingency Funds"</t>
  </si>
  <si>
    <t>Cabinet of Ministers 160 07.04.2020. It is financed from Contingency Funds from the increase of 300 mln. according to the Cabinet of Ministers No.12 25.03.2020.</t>
  </si>
  <si>
    <t>Cabinet of Ministers No.607 "On Allocation of Financial Resources from the State Budget Program"Contingency Funds"</t>
  </si>
  <si>
    <t>Grant to the National Council for Electronic Media EUR 30 930, including: EUR 1.13 832 to compensate for the costs of carrying out the evaluation of the public service in commercial media; 2. EUR 17 098 vsia "Latvijas Radio" to cover the publication of the production and distribution of additional content due to the spread of the virus Covid-19.</t>
  </si>
  <si>
    <t>To ensure the broadcast of Christmas events in commercial media</t>
  </si>
  <si>
    <t>To ensure the broadcast of Christmas services in commercial media. MoF Economic Analysis Department moved this to 2021</t>
  </si>
  <si>
    <t>Aid for corporate rents</t>
  </si>
  <si>
    <t>The aid runs until 30 June 2021</t>
  </si>
  <si>
    <t>Draft Order "On the Allocation of Financial Resources from the State Budget Program "Contingency Funds""</t>
  </si>
  <si>
    <t>To mitigate the effects of the crisis and strengthen capacity in agriculture. The aid is intended to alleviate the financial difficulties caused by Covid-19, to maintain the viability and potential of companies in the sector and to ensure the continuity of agricultural and food production.</t>
  </si>
  <si>
    <t>1. EUR 14 500 000 for aid to producers in the pig farming sector;
2. aid to producers in the poultry sector EUR 11 000 000;
3. EUR 12 000 000 for maintaining the liquidity and cash flow of enterprises, ensuring the fulfillment of credit obligations and reducing the financial burden on agricultural holdings and enterprises;
4. for the implementation of the guarantee program for agriculture, fisheries and rural development by providing borrowing opportunities for companies in the sector to credit institutions in the amount of EUR 7,000,000;
5. Development of forms of cooperation by strengthening the market power, administrative and economic capacity of small and medium-sized cooperative societies, as well as support for the availability of a digital platform for short supply chains EUR 1 000 000</t>
  </si>
  <si>
    <t>Cabinet Order No. 423 "On Allocation of Financial Resources from the State Budget Program Contingency Funds""</t>
  </si>
  <si>
    <t>To provide allowances for officials of subordinates of the Ministry of the Interior for their work (from 12 March to 31 May).</t>
  </si>
  <si>
    <t>By Cabinet Order No. 423 of 13 August 2020, amendments were made to Cabinet Order No. 181 of 16 April 2020 “On Allocation of Financial Resources from the State Budget Program “Contingency Funds””, specifying funding to the Ministry of the Interior in the amount of 667,103 euros (2 EUR 590 703) to provide allowances to officials of the Ministry of the Interior who have been directly involved in dealing with the consequences of Covid-19.</t>
  </si>
  <si>
    <t>Cabinet Order No. 697 "On Allocation of Financial Funds from the State Budget Program "Contingency Funds""</t>
  </si>
  <si>
    <t>Cabinet Order No. 73 "On Allocation of Financial Resources from the State Budget Program Contingency Funds""</t>
  </si>
  <si>
    <t>To provide allowances during 2021 to officials of subordinate institutions of the Ministry of the Interior with special service ranks for work in conditions of increased risk and workload in a situation of threat to public health in connection with the Covid-19 outbreak and prevention of its consequences</t>
  </si>
  <si>
    <t>Cabinet Order No. 222 "On Allocation of Financial Funds from the State Budget Program"Contingency Funds""</t>
  </si>
  <si>
    <t>Cabinet Order No. 239 "On Allocation of Financial Funds from the State Budget Program "Contingency Funds""</t>
  </si>
  <si>
    <t>Cabinet Order No. 472 "On Allocation of Financial Funds from the State Budget Program "Contingency Funds""</t>
  </si>
  <si>
    <t>Increase the number and amount of scholarships for first-level professional higher education (colleges), bachelor's and master's level studies at public universities and colleges and mitigate the negative consequences of the Covid-19 crisis on the education sector</t>
  </si>
  <si>
    <t>1.1. EUR 1 440 928 for the Ministry of Education and Science; 1.2. EUR 257 064 for the Ministry of Health; 1.3. EUR 202 745 for the Ministry of Agriculture; 1.4. EUR 137 612 for the Ministry of Culture; 1.5. €1 651 for the Ministry of Welfare.</t>
  </si>
  <si>
    <t>Cabinet Order No. 473 "On Allocation of Financial Funds from the State Budget Program "Contingency Funds""</t>
  </si>
  <si>
    <t>To ensure co-financing of participation in the European Union's research and technological development programmes, including Horizon 2020, and to mitigate the negative impact of the Covid-19 crisis on the scientific sector</t>
  </si>
  <si>
    <t>Cabinet Order No. 499 "On Allocation of Financial Funds from the State Budget Program "Contingency Funds""</t>
  </si>
  <si>
    <t>In order to ensure funding of scientific institutions to strengthen research specialisation, excellence and influence - the introduction of a common reform of the academic and scientific career system and the enhancement of the role of science and innovation in the implementation of fundamental and applied research projects.</t>
  </si>
  <si>
    <t>Cabinet Order No. 507 "On Allocation of Financial Funds from the State Budget Program "Contingency Funds""</t>
  </si>
  <si>
    <t>In order to improve technological provision in general education institutions and to mitigate the negative impact of the Covid-19 crisis on the education sector.</t>
  </si>
  <si>
    <t>Provision of funding for scientific excellence and performance in scientific institutions to strengthen research specialisation, excellence and impact : implementing a common reform of the academic and scientific career framework and increasing the role of science and innovation</t>
  </si>
  <si>
    <t>Provision of funding for scientific excellence and performance of scientific institutions to strengthen research specialisation, excellence and impact – for the introduction of a common reform of the academic and scientific career framework and for increasing the role of science and innovation. In 2021 budget base of Ministry of Science and Education</t>
  </si>
  <si>
    <t>Provision of co-financing for participation in European Union research and technological development programmes,including Horizon</t>
  </si>
  <si>
    <t>Provision of co-financing for participation in European Union research and technological development programmes, including. Horizon.  In 2021 budget base of Ministry of Science and Education</t>
  </si>
  <si>
    <t>Increase in the size and number of scholarships for first-level professional higher education (college), bachelor's and master's level studies</t>
  </si>
  <si>
    <t>Increase in the amount and number of scholarships for first-level professional higher education (colleges), bachelor's and master's level studies at the Ministry of Education and Science (EUR 2 161 390), the Ministry of Health (EUR 385 596), the Ministry of Agriculture (EUR 304 118), the Ministry of Welfare (EUR 2 477) and the Ministry of Culture (EUR 206 419) for colleges and universities. Ministry budget base 2021</t>
  </si>
  <si>
    <t>for the provision of IT systems</t>
  </si>
  <si>
    <t>Cabinet Order No. 255 "On Allocation of Financial Resources from the State Budget Program "Contingency Funds""</t>
  </si>
  <si>
    <t>The Latvian Board of Sworn Notaries to purchase a server to ensure the continued operation of the e-apostille register, allaminating the difficulties caused by the spread of Covid-19 in the notarial.</t>
  </si>
  <si>
    <t>Latvian Board of Sworn Notaries to purchase a server to ensure the continued operation of the e-apostille register, allacing the difficulties caused by the spread of Covid-19 in the notarial</t>
  </si>
  <si>
    <t>Renovation of the information technology environment of the Cabinet of Ministers</t>
  </si>
  <si>
    <t>Renovation of the information technology environment of the Cabinet of Ministers. In the budget bases for 2021</t>
  </si>
  <si>
    <t>Cabinet Order No.522 "On Allocation of Financial Resources from the State Budget Program "Contingency Funds""</t>
  </si>
  <si>
    <t>Allocate €211,000 in funding to the Ministry of Foreign Affairs to ensure the functionality of information and communication technologies in the context of growing cyber threats</t>
  </si>
  <si>
    <t>Cabinet Order No. 573 "On Allocation of Financial Resources from the State Budget Program "Contingency Funds""</t>
  </si>
  <si>
    <t>To allocate 346 970 euros to the Ministry of Economics, including:
1. EUR 260,000 for the development of the Energy Information System with the aim of reducing the administrative burden for the participants of the energy efficiency monitoring system by ensuring the quality of data by submitting documentation and information remotely;
2. EUR 86,970 for the replacement of computer equipment in the Ministry of Economics.</t>
  </si>
  <si>
    <t>Cabinet Order No. 675 "On Allocation of Financial Resources from the State Budget Program "Contingency Funds""</t>
  </si>
  <si>
    <t>Reimbursement of costs to mobile operators</t>
  </si>
  <si>
    <t>In order to compensate mobile operators for expenses incurred in sending roaming customers who have registered on the Latvian network of mobile operators SMS notification during the period from 28 September 2020 to 31 December 2020.</t>
  </si>
  <si>
    <t>Cabinet Order No.676 "On Allocation of Financial Resources from the State Budget Program "Contingency Funds""</t>
  </si>
  <si>
    <t>In order to ensure the functionality of the Social Security Information System  of the SSIA</t>
  </si>
  <si>
    <t>eur 94 604 to ensure the functionality of the Social Security Information System</t>
  </si>
  <si>
    <t>Cabinet Order No.598 "On Allocation of Financial Resources from the State Budget Program "Contingency Funds""</t>
  </si>
  <si>
    <t>for the development of the Information System "Migrant Account Control Information System"</t>
  </si>
  <si>
    <t>Allocate funding of up to EUR 36 300 to the Ministry of Interior for the development of the Information System "Migrant Tracking Information System" in 2020 and EUR 30 000 in 2021</t>
  </si>
  <si>
    <t>To cover expenses related to the development of the electronic identification tool for natural persons “United Application Module” for the provision of the vaccination process against Covid-19 infection</t>
  </si>
  <si>
    <t>Ministry of Environmental Protection and Regional Development</t>
  </si>
  <si>
    <t>To provide the Ministry of Environmental Protection and Regional Development (State Regional Development Agency) with funding of EUR 127,631 to cover expenses incurred in connection with the development of the electronic identification tool “United Application Module” for fisical persons to ensure the vaccination process against Covid-19 infection</t>
  </si>
  <si>
    <t>Cabinet Order No. 261 "On Allocation of Financial Funds from the State Budget Program "Contingency Funds"</t>
  </si>
  <si>
    <t>Provide the Ministry of Justice (Prisons Administration) with funding of up to € 518,730 to provide allowances from 1 April 2020 to 31 May 2020 to employees of the Prisons Administration of the Ministry of Justice who have been directly involved in the aftermath of Covid-19 on work in high-risk and high-risk public health situations related to the Covid-19 outbreak and its consequences.</t>
  </si>
  <si>
    <t>Cabinet Order No. 446 "On Allocation of Financial Funds from the State Budget Program "Contingency Funds"</t>
  </si>
  <si>
    <t>Human capital - to organize a public information campaign to motivate people to learn throughout their lives. It also provides funding to CSB for the monitoring of university graduates</t>
  </si>
  <si>
    <t>Monitoring of graduates of universities and vocational education institutions. Public awareness campaign, motivating citizens to learn throughout their lives and for companies to invest in human capital. Impact according to the Cabinet of Ministers Information Report of 02.09.2020 "On Measures for Overcoming the Covid-19 Crisis and Economic Recovery for 2020 and 2021".2021 funding in Budget Bases</t>
  </si>
  <si>
    <t>Cabinet Order No. 381 of 15 July 2020 "On Allocation of Financial Funds from the State Budget Program 02.00.00 Funds for Contingencies"</t>
  </si>
  <si>
    <t>To compensate for the damage caused by regional bus and train transport as a result of the safety and social distancing measures in public transport during the emergency to limit the spread of Covid-19 and to mitigate the consequences of the emergency (EUR 6 325 393).
To compensate for the costs of providing a passenger transport service for persons arriving from abroad on repatriation flights (EUR 16 365).</t>
  </si>
  <si>
    <t>Order No. 391 of the Cabinet of Ministers of 15 July 2020 "On Allocation of Financial Funds to the State Joint Stock Company "Latvijas dzelzceļš""</t>
  </si>
  <si>
    <t>In order to ensure the reimbursement of expenses specified in regulatory enactments regarding the use of the state public use railway infrastructure for the transportation of railway passengers, which is provided in connection with a public service contract (EUR 14 225 226).
To ensure the advance payment of the financial balance of the infrastructure manager specified in regulatory enactments (EUR 13 011 000).</t>
  </si>
  <si>
    <t>Order No. 392 of the Cabinet of Ministers of 15 July 2020 "On the Increase of the Share Capital of the State Joint Stock Company "Latvijas dzelzceļš""</t>
  </si>
  <si>
    <t>Cabinet Order No. 669 of 15 July 2020 "On Allocation of Financial Funds from the State Budget Program 02.00.00 Funds for Contingencies"</t>
  </si>
  <si>
    <t>Cabinet of Ministers No. 363 On Allocation of Financial Resources from the State Budget Program "Contingency Funds"</t>
  </si>
  <si>
    <t>Cabinet Order No. 363 of 30 June 2020 allocated EUR 5,000,000 to the Ministry of Education and Science from the program 02.00.00 "Contingency Funds" to reduce the impact of the negative consequences of the Covid-19 crisis on the sports sector</t>
  </si>
  <si>
    <t>Funding for demographic improvement in 2021</t>
  </si>
  <si>
    <t>16.06.2020 The Cabinet of Ministers has decided - In order to ensure the planned expansion of the housing guarantee program in the next three (2021-2023) budget years, to allocate the necessary financing (534,460 euros per year and in the total amount of 1,603,380 euros). The remaining funding is reserved in the redeployment.Funding in budget bases</t>
  </si>
  <si>
    <r>
      <t>Sustainable development of innovative technologies in the Ministry of the Interior. Impact according to the Cabinet of Ministers Information Report of 02.09.2020 "On Measures for Overcoming the Covid-19 Crisis and Economic Recovery for 2020 and 2021"</t>
    </r>
    <r>
      <rPr>
        <sz val="11"/>
        <color theme="1"/>
        <rFont val="Calibri"/>
        <family val="2"/>
        <charset val="186"/>
        <scheme val="minor"/>
      </rPr>
      <t>. Funding in budget bases</t>
    </r>
  </si>
  <si>
    <t>Provision of the State Border Guard and State Fire and Rescue Service officials with special service ranks with the necessary uniforms. Impact according to the Cabinet of Ministers Information Report of 02.09.2020 "On Measures for Overcoming the Covid-19 Crisis and Economic Recovery for 2020 and 2021". Funding in budget bases</t>
  </si>
  <si>
    <t>Cabinet of Ministers No. 560 On Allocation of Financial Resources from the State Budget Program "Contingency Funds"</t>
  </si>
  <si>
    <t>Cabinet of Ministers No. 619 On Allocation of Financial Resources from the State Budget Program "Contingency Funds"</t>
  </si>
  <si>
    <t>Ministry of Culture</t>
  </si>
  <si>
    <t>18.06.2020 Cabinet of Ministers Order No. 340 with amendments No. 722 02.12.2020 (protocol No. 78 § 14) Allocation of EUR 246,900 financing to the Latvian Ethnographic Open-Air Museum - for the restoration of the heating system and restoration works of the museum exhibits and transfer of EUR 42,100 to the state limited liability company "Latvian National Opera and Ballet" to ensure the partial construction of the pre-emergency fire-fighting and notification system of the state-owned real estate on Aspazijas boulevard 3, Riga, including the installation and connection of an external lightning conductor in accordance with the developed project</t>
  </si>
  <si>
    <t>18.06.2020 Cabinet of Ministers Order No. 339 with amendments No. 631 30.10.2020 (protocol No. 65 § 21) and No. 721 02.12.2020 (protocol No. 78 § 13) allocation of EUR 9,638,089 funding to the State Cultural Capital Fund for Culture to develop the offer and ensure the sustainability of cultural institutions; EUR 2,873,089 to the Ministry of Culture for the development of the cultural offer, including in the institutions subordinate to the Ministry of Culture and EUR 2,000,000 to the National Cinema Center for the production of new Latvian films, including series</t>
  </si>
  <si>
    <t>Cabinet Order No. 303 "On Allocation of Financial Funds from the State Budget Program "Contingency Funds"</t>
  </si>
  <si>
    <t>05.06.2020 Cabinet Order No. 303 with amendments No. 394 16.07.2020 (protocol No. 44 § 48) and No. 630 30.10.2020 (protocol No. 65 § 20) allocation of EUR 10,613,063 financing in order to stabilize financial situation in capital companies in which the Ministry of Culture is a holder of state capital shares, 2,696,743 euros in order to stabilize the financial situation in the National Library of Latvia, the National Archives of Latvia and museums subordinate to the Ministry of Culture</t>
  </si>
  <si>
    <t>Cabinet Order No. 548 "On Allocation of Financial Funds from the State Budget Program "Contingency Funds"</t>
  </si>
  <si>
    <t>EUR 666 267 to ensure remote learning and on-site studies, taking into account the measures adopted to limit the spread of Covid-19 infection</t>
  </si>
  <si>
    <t>Cabinet Order No. 43 "On Allocation of Financial Funds from the State Budget Program "Contingency Funds"</t>
  </si>
  <si>
    <t>Support to the NGO Covid-19 to mitigate the negative effects of the crisis</t>
  </si>
  <si>
    <t xml:space="preserve">The aim of the program is to provide support to the activities of NGOs, including such activities, which are implemented in addition to the activities performed by state and local government institutions to mitigate the negative consequences of the Covid 19 crisis in all regions of Latvia._x000D_
1) Funding available for the implementation of projects in the program - 564,000 euros;_x000D_
(2) The financial envelope for the administration of the program shall be EUR 36 000. </t>
  </si>
  <si>
    <t>Identifying the information provided by the ticket distribution network on the tickets purchased in systems for cultural events during the period from 9 November to 6 December 2020, the amount of funding required to reimburse tickets and the administrative costs of the support measure amount to approximately EUR 1,083,481. Support will be provided in 2021 by reallocating appropriations from the 2021 funding of the Latvian School Bag program, taking into account the resources saved in 2020.</t>
  </si>
  <si>
    <t>The investment in the share capital in the amount of 220,000 euros is directed to the purposes provided for in local estimate No.1-1 - construction of an automatic fire detection and alarm system in the Historic Building.</t>
  </si>
  <si>
    <t>Cabinet Order No. 21 "On Allocation of Financial Funds from the State Budget Program "Contingency Funds</t>
  </si>
  <si>
    <t>The State Cultural Capital Fund for the implementation of the target programme for the period from 1 January 2021 to 30 June 2021, partially offsetting current expenditure incurred by organisations during the period of constraint to ensure their continuity</t>
  </si>
  <si>
    <t>Funding of EUR 3 000 000 is planned for the implementation of the target program, providing that funding will be allocated to an average of 110 organizations per month over a six-month period, with an average of EUR 4 469 per organization per month. The financing of the target program will also be paid for the service of an independent evaluator, the costs of which will be determined as a result of the procurement, currently for this purpose the expenditure in the amount of 50,460 euros (including value added tax) is planned.</t>
  </si>
  <si>
    <t>Draft Regulations "Support for Entrepreneurs in the Arts, Entertainment and Leisure Sectors Affected by the Spread of Covid-19"</t>
  </si>
  <si>
    <t>For entrepreneurs who organize regular public art, entertainment and recreation events</t>
  </si>
  <si>
    <t>Allocate EUR 6 000 000 to the Ministry of Culture for the transfer to Altum Development Finance Institution for support to companies organizing permanent public art, entertainment and leisure activities to mitigate the negative effects of the Covid-19 crisis on the arts, entertainment and leisure sectors.</t>
  </si>
  <si>
    <t>Support related to the tourism sector</t>
  </si>
  <si>
    <t>Cabinet Order No. 334 "On Allocation of Financial Funds from the State Budget Program "Contingency Funds</t>
  </si>
  <si>
    <t>Funding to allow the consumer rights Protection centre to cover the costs of repatriation for tour operators affected by the spread of The Covid-19.</t>
  </si>
  <si>
    <t>With budget funding not exceeding EUR 800 000 in total, it is planned to grant grants to the indicative 6 tour operators (the indicative costs collected by surveying tour operators will be adjusted by a certified calculation from the operators). The necessary funding has been reduced by EUR 160 000 in view of implementation.</t>
  </si>
  <si>
    <t>Regulations "Amendments to Cabinet Regulation No. 455 of 14 July 2020" Procedure for Granting Support to Economic Operators in the Tourism Sector Affected by Covid-19 ""</t>
  </si>
  <si>
    <t>Financing of tourism operators (hotels)</t>
  </si>
  <si>
    <t>The aid to the target group of beneficiaries is indicative of 200 hotels to which eur 4 746 290 is planned to be channelled, i.e. an average of EUR 23 731 per applicant.</t>
  </si>
  <si>
    <t>Cabinet Order No. 20 "On Allocation of Financial Funds from the State Budget Program "Contingency Funds</t>
  </si>
  <si>
    <t>Cabinet Order No. 796 "On Allocation of Financial Funds from the State Budget Program "Contingency Funds</t>
  </si>
  <si>
    <t>Support in the form of vouchers (up to 45 euros) for isolation in hotels. The aim of the aid is to reduce the risk of infection in households</t>
  </si>
  <si>
    <t>45 (euro) x 14 (days) x 1150 (number of persons) x 3 (months) = EUR 2 173 500</t>
  </si>
  <si>
    <t>Activities of the Ministry of Foreign Affairs. Included in budget bases</t>
  </si>
  <si>
    <t>For insulation of buildings</t>
  </si>
  <si>
    <t>Cabinet Order No.384 "On Allocation of Financial Funds from the State Budget Program "Contingency Funds</t>
  </si>
  <si>
    <t>Financing for the development of standard building projects for multi-apartment buildings</t>
  </si>
  <si>
    <t>To provide the Ministry of Economics with funding not exceeding EUR 426 084 for the development of standard construction projects for multi-apartment buildings using construction products and construction works manufactured or obtainable in Latvia in order to mitigate the negative impact of the Covid-19 crisis on the economy and stimulate economic development. Redistributed within the Ministry of Economics</t>
  </si>
  <si>
    <t>Support for national social care centres</t>
  </si>
  <si>
    <t>Cabinet Order No. 399 "On Allocation of Financial Funds from the State Budget Program "Contingency Funds"</t>
  </si>
  <si>
    <t>In order to ensure the prevention of covid-19 prevalence and mass infection in 2020 and the reduction of disease risks in the national social care centres under the Ministry of Welfare</t>
  </si>
  <si>
    <t>1. EUR 118 583 to cover expenditure on the Covid-19 anti-epidemic measures, of which EUR 1825 for expenditure on special conditions and additional work and EUR 116 758 for goods and services (disinfectants and personal protective equipment); purchase of protective equipment);
2. EUR 405 462 for capital formation to promote customer safety and reduce the risk of infection with Covid-19, of which EUR 277 500 for the refurbishment (construction) of video surveillance systems, EUR 36 365 for the purchase and installation of automatic gates, installation of activity areas for the State Social Care Center “Riga” branch “Teika” and branch “Ezerkrasti” 21,430 euros, for the purchase of automatic surface disinfection equipment 49,167 euros and for the purchase of disinfection lamps 21,000 euros.</t>
  </si>
  <si>
    <t>Redistribution of funds to Ministry of Welfare to allocate funds to national social care centres for the provision of supplements and personal protective equipment</t>
  </si>
  <si>
    <t>EUR 1,064,652 for motivating employees of state social care centers;
EUR 198,958 for national social care centers to replenish protective supplies of Covid-19 to prevent the spread of mass infection;
EUR 16,458 for the reimbursement of expenses related to the implemented Covid-19 anti-epidemic measures in the state social care centers;
To the State Agency for Social Inclusion for the reimbursement of expenses related to the implemented Covid-19 anti-epidemic measures in the amount of EUR 7 546 (expenses for the purchase of disinfectants and personal protective equipment).</t>
  </si>
  <si>
    <t>Cabinet Order No.17 "On Allocation of Financial Funds from the State Budget Program "Contingency Funds"</t>
  </si>
  <si>
    <t>Allowances of up to 50% of monthly salary for staff in care</t>
  </si>
  <si>
    <t>In order to provide a supplement of up to 50% of the monthly salary for high-risk care staff in the period from 1 December 2020 to 30 June 2021, if a Covid-19 infection has been detected in clients in an institution providing social services with accommodation, including:
1) in the amount of up to 3,147,212 euros in institutions where social services are provided by a social service provider established by the local government or one who has entered into an agreement with the local government regarding the provision of the services mentioned (50% of the local government's actual additional remuneration expenses);
2) in the amount of up to EUR 5,076,644 to a state-established social service provider or a service provider who has entered into an agreement with the Ministry of Welfare regarding the provision of social services (in the amount of 100% of the actual additional remuneration expenses of the institutions).</t>
  </si>
  <si>
    <t>In order to ensure from 1 January 2021 to 31 March 2021 in institutions where social services with accommodation are provided by a local government or state-founded social service provider or a service provider who has entered into an agreement with the local government or the state for the provision of the said services, personal protective equipment and disinfectants purchased for Covid-19 infection control measures</t>
  </si>
  <si>
    <t xml:space="preserve">EUR 668 811, for institutions where social services are provided by a social service provider established by the local government or a service provider who has entered into an agreement with the local government for the provision of the said services (in the amount of 50% of the local government's actual additional expenses);_x000D_
EUR 376,806 to a state-established social service provider or a service provider who has a contract with the Ministry of Welfare for the provision of social services (in the amount of 100% of the actual additional expenses of the institutions). </t>
  </si>
  <si>
    <t>School of Public Administration for financial stabilisation</t>
  </si>
  <si>
    <t>Cabinet Order No.443 "On Allocation of Financial Funds from the State Budget Program "Contingency Funds"</t>
  </si>
  <si>
    <t>Grant €74,992 in funding to the School of Public Administration to mitigate the negative impact of the Covid-19 crisis and to stabilise the financial situation at the School of Public Administration</t>
  </si>
  <si>
    <t>Grant for current assets</t>
  </si>
  <si>
    <t>Grants (or aid available amount) for the company are set at 30% of the total amount of the company's gross wages and salaries paid in August, September and October 2020, up to a maximum of EUR 50 000 per aid period, and a maximum of EUR 800 000 for a related group of persons</t>
  </si>
  <si>
    <t>Within the framework of the draft Regulations of the Cabinet of Ministers, 110 thousand companies with a total gross monthly salary fund of 256.9 million euros could apply for support. Taking into account the limit of 20% drop, the experience that usually fewer people apply than originally planned, as well as the limit of receiving no more than 50 thousand euros, the Ministry of Economics assumes that a total of 70.8 million euros may be needed to implement the program. The aid will be available to a company whose not only turnover in the month of the aid period (November or December 2020) has fallen by at least 20% compared to the average turnover in August, September and October 2020 combined, but also in a given month of the aid period (2020 November or December) is a decrease in turnover of at least 30% compared to the turnover in the respective month of 2019 (November or December 2019). 07.01.2021. the change stipulates that a company whose turnover in the month of the support period (instead of November or December 2020) has decreased by at least 20% compared to the average turnover in August, September and October 2020 together, and which in the month of the support period (not in November or December 2020) the turnover has decreased by at least 30% compared to the turnover in the respective month of 2019.</t>
  </si>
  <si>
    <t>Allowances for national probation service staff</t>
  </si>
  <si>
    <t>Cabinet Order No.756 "On Allocation of Financial Funds from the State Budget Program "Contingency Funds"</t>
  </si>
  <si>
    <t>Providing cash prizes to employees of the State Probation Service under increased intensity and load conditions during the implementation of the measures necessary to limit the spread of Covid-19 infection</t>
  </si>
  <si>
    <t>The necessary additional funding for the payment of cash prizes to 319 employees and mandatory state social insurance contributions to the state budget (393,291 euros) will be redistributed from budget department 74 program 02.00.00 "Contingency funds" to Ministry of justice basic budget program 99.00.00 "Use of contingency funds". In turn, funding for the payment of cash prizes to 73 employees (107,522 euros) will be provided within the funds allocated to the Ministry of justice budget sub-program 04.03.00 "Implementation of probation", taking into account the balance of funds related to periodic vacancies and temporary incapacity for work (Sickness pages B).</t>
  </si>
  <si>
    <t>To overcome the crisis caused by Covid-19 for local governments</t>
  </si>
  <si>
    <t>In order to ensure a one-off additional grant for the implementation of Covid-19 crisis management and mitigation measures to municipalities with adjusted income at least 10% lower than the national average income and the unemployment rate is higher than the national average.</t>
  </si>
  <si>
    <t xml:space="preserve">Funding is granted to local governments whose adjusted income per unit to be equalized in 2021 is lower than 427 euros and the unemployment rate in the last five months of 2020 is higher than 6.0%._x000D_
Taking into account the above conditions, funding is allocated to 33 municipalities. </t>
  </si>
  <si>
    <t>Cabinet Regulation No. 299 "Regulations on State Aid for Short-Term Loans in Agriculture to Reduce the Negative Impact of Covid-19"</t>
  </si>
  <si>
    <t>In order to stabilise the cash flow for agricultural producers by providing for short-term loans from the amount of the advance payment for the single area payment, or the calculated final payment for the single area payment for the current year for the area determined.</t>
  </si>
  <si>
    <t>In 2020, the total funding for short-term loans is estimated at EUR 59 840 000. The draft regulation provides for a minimum loan amount of EUR 700 and the total number of applicants is approximately 15 249, with a total area of 1 496 000 ha applied for for the single area. For one applicant, the total amount of the loan shall be calculated at a rate of EUR 40 per ha. In 2020, rural suport service paid out a single area payment loan of 1533 farmers for a total amount of EUR 11.06 million Eur.</t>
  </si>
  <si>
    <t>With the aim of making it easier and faster to react by mitigating the consequences for the most affected areas and their populations of the Member States, amendments to eu funds regulations allow Member States to restructure their investments by extending the scope of eligibility of expenditure and by allowing amendments to the operational programmes of EU funds of the Member States before an EC formal decision.</t>
  </si>
  <si>
    <t>Cabinet Regulation No. 347 of 02.06.2020 Procedures for Granting State and European Union Support  "Temporary Suspension of Fishing Activities"
Cabinet Regulation No. 348 of 2 June 2020 "Amendments to Cabinet Regulation No. 348 of 11 August 2015 458" "Procedures for Granting State and European Union Support" "Processing of Fishery and Aquaculture Products" "";
Cabinet Regulation No. 349 of 2 June 2020 "Procedure for Granting State and European Union Support" Measures in the Field of Public Health "to Reduce the Negative Impact of the Spread of Covid-19"
Cabinet Regulation No. 350 of 02.06.2020 "" Procedures for Granting State and European Union Support "" Storage Support "" ""</t>
  </si>
  <si>
    <t>EU funds state budget surplus * - Building insulation, health infrastructure, support for companies (ALTUM). * (1) In accordance with Section 1, Clause 15 of the EU Funds Management Period 2014–2020 Management Law, “excess liabilities” means “additional obligations to make payments from the state budget to cover eligible expenses that exceed EU fund financing and eligible state budget co-financing amount ”- ie additional obligations to make payments from the state budget to cover eligible expenses with the aim to ensure full use of EU funds at the end of the programming period, taking into account potential ineligible expenses, discontinued projects, savings, delays and other risks that may have a negative impact. Commitments include EU funding and co-financing from the state budget where necessary. (2) Article 21 of the Law on the Medium-Term Budget Framework for 2020, 2021 and 2022. In order to ensure the neutral impact of over-commitments on the general government budget balance within the framework of the EU Structural Funds and Cohesion Fund Operational Program "Growth and Employment", over-commitments are compensated from EU funding until the end of the programming period.</t>
  </si>
  <si>
    <t>Additional  ES funds over-commitment</t>
  </si>
  <si>
    <t>Information report on measures financed under the European Agricultural Fund for Rural Development and the European Maritime and Fisheries Fund under over-commitment</t>
  </si>
  <si>
    <t>Excess commitments of the Ministry of Agriculture in the 2014–2020 programming period in 2014–2020 measures with funding in the amount of 58,000,000 euros, including four percent for M20 measure“ Technical assistance ”or 2,320,000 euros, in the following measures:_x000D_
2.1. M4. in the measure “Investments in tangible assets” with over-commitment financing in the amount of EUR 47,570,018;_x000D_
2.2. M8. in the measure Investments in the expansion of forest areas and improvement of forest viability" with over-commitment financing in the amount of EUR 8 109 982. "</t>
  </si>
  <si>
    <t>Ziņojumu MK skatīja 11.08.2020 (protokols Nr.47) un pielēma par 3 milj. mazākas papildu virssaistības – 70,43 milj. eiro (iepriekš 73,4 milj. eiro). 2.1.  1.1.1.1. pasākuma "Praktiskas ievirzes pētījumi" īstenošanai Izglītības un zinātnes ministrijai 11,0 miljonus EUR;
     2.2.  1.1.1.5. pasākuma "Atbalsts starptautiskās sadarbības projektiem pētniecībā un inovācijās" īstenošanai Izglītības un zinātnes ministrijai 0,48 miljonus EUR;
     2.3. 1.2.2. specifiskā atbalsta mērķa "Veicināt inovāciju ieviešanu komersantos" īstenošanai Ekonomikas ministrijai 19,7 miljonus EUR;
     2.4.  4.2.1.1. pasākuma "Veicināt energoefektivitātes paaugstināšanu dzīvojamās ēkās" īstenošanai Ekonomikas ministrijai 15,0 miljonus EUR;
     2.5. 8.2.3. specifiskā atbalsta mērķa "Nodrošināt labāku pārvaldību augstākās izglītības institūcijās" īstenošanai Izglītības un zinātnes ministrijai 7,86 miljonus EUR;
     2.6. 9.3.2. specifiskā atbalsta mērķa "Uzlabot kvalitatīvu veselības aprūpes pakalpojumu pieejamību, jo īpaši sociālās, teritoriālās atstumtības un nabadzības riskam pakļautajiem iedzīvotājiem, attīstot veselības aprūpes infrastruktūru" īstenošanai Veselības ministrijai 16,4 miljonus EUR. FM strādā pie plāna, kādā apmērā līdzekļi 2021.-2024.gados tiks izlietoti</t>
  </si>
  <si>
    <t>Finansējums rezrvēts ar MK 02.06.2020. sēdē izskatīto informatīvo ziņojumu "Par pasākumiem Covid-19 krīzes pārvarēšanai un ekonomikas atlabšanai" - 58  milj. euro pasākumam "Finansējums zemkopības nozarē modernizācijai" un piešķiršana atbalstīta ar MK 14.07.2020. sēdes prot. Nr.44 57.§  2.p.
Budžeta projektā ZM iestrādātais finansējums: 2021 - 26,82 milj. eiro, 2022 - 21,50 milj. eiro un 2023 - 9,68 milj. eiro. 
ZM norāda, ka ievērojot plānošanas periodā LAP 2014–2020 noteikto līdzfinansējumu likmju proporciju, šo pasākumu īstenošana tiek turpināta ar identiskām likmēm. 20.07.2020. ZM iesniedza līdzfinansējuma likmes 68% ik gadu ELGF projektu īstenošanai. Papildus skaidrojot, ka virssaistību uzņemšanās nodrošinās sekmīgu "aploksnes" apgūšanu, neradot pilnu ietekmu uz budžeta bilanci. 2021: 26,82*32%=8,6 milj. eiro. 2022: 21,50*32%=6,9 milj. eiro. 2023: 9,68*32%=3,1 milj. eiro. Tiek gaidīta ZM informācija par plānoto izpildi pa gadiem.</t>
  </si>
  <si>
    <t>10.11.2020. 01.12.2020 08.12.2020 07.01.2021 12.01.2021 18.02.2021</t>
  </si>
  <si>
    <t>Lai nodrošinātu teorētiskās un praktiskās mācības ārstniecības personām par vakcināciju pret Covid – 19</t>
  </si>
  <si>
    <t>MK rīk. Nr.99 "Par finanšu līdzekļu piešķiršanu no valsts budžeta programmas "Līdzekļi neparedzētiem gadījumiem""</t>
  </si>
  <si>
    <t>Saskaņā ar tirgus izpētes rezultātiem “Teorētiskās un praktiskās mācības ārstniecības personām par vakcināciju pret Covid-19” izvēlētais pakalpojuma sniedzējs ir Rīgas Stradiņu universitāte. Tiek plānots apmācīt kopā 500 ārstniecības personas. 
Vienas vienības izmaksas 80 bez PVN (EUR), Kopējā summa 40 000 (bez PVN) (EUR), 48 400 (ar PVN) (EUR)</t>
  </si>
  <si>
    <t>Lai nodrošinātu finansējumu samaksai par individuālajām konsultācijām vispārējās izglītības iestāžu skolotājiem un atbalsta personālam, kā arī profesionālās izglītības iestāžu vispārizglītojošo mācību priekšmetu skolotājiem, kas sagatavo izglītojamos valsts pārbaudes darbiem, Covid-19 pandēmijas laikā.</t>
  </si>
  <si>
    <t>Mērķprogrammas „Radošo personu nodarbinātības programma” īstenošanai – atbalsta sniegšanai radošām personām no 2021.gada 1.janvāra līdz 2021.gada 30.jūnijam, lai mazinātu Covid-19 krīzes radīto negatīvo seku ietekmi uz kultūras nozari</t>
  </si>
  <si>
    <t>Piešķirs radošo stipendiju 650 euro apmērā radošā darba veikšanai vidēji trīs mēnešu periodā, tādējādi piešķirot 1 000 stipendijas, savukārt 50 000,00 euro tiks novirzīti Valsts kultūrkapitāla fonda administratīvo izmaksu segšanai – projektu iesniegumu vērtēšanas nodrošināšanai</t>
  </si>
  <si>
    <t>Iekšlietu ministrijas Informācijas centram, lai ieviestu drošus tehnoloģiskos rīkus un risinājumu izmantošanu robežu pārvaldības stiprināšanai un epidemioloģisko risku mazināšanai (ViedX).</t>
  </si>
  <si>
    <t>Kopā  nepieciešams finansējums 819 650 euro apmērā (Iekšlietu ministrijas Informācijas centram), tajā skaitā: 
 - projekta izmaksas kopā 769 650 euro;
 - iekārtu uzstādīšanas izmaksas 50 000 euro.</t>
  </si>
  <si>
    <t>Covid-19 testēšanas politikas mērķu sasniegšanai, veicinot Covid-19 testēšanas jaudas palielināšanu Latvijā un ņemot vērā laboratoriju kopējo testēšanas kapacitāti</t>
  </si>
  <si>
    <t>MK rīk. Nr.100 "Par finanšu līdzekļu piešķiršanu no valsts budžeta programmas "Līdzekļi neparedzētiem gadījumiem""</t>
  </si>
  <si>
    <t>Lai nodrošinātu Covid-19 testēšanas politikas mērķu sasniegšanu, veicinot esošās Covid-19 testēšanas jaudas palielināšanu Latvijā, ņemot vērā laboratoriju kopējo testēšanas kapacitāti un savlaicīgi nodrošinātu jaunu infekcijas vīrusu celmu vai paveidu agrīnu atklāšanu, līdz ar to pilnveidojot un attīstot vīrusa sekvencēšanas metodi 2021. gadam papildus nepieciešami 83 232 508 euro. 65 042 948 euro ir   atbilstoši MK 08.12.2020 informatīvajam ziņojumam “Veselības nozares kapacitātes celšana un noturības stiprināšana Covid-19 apstākļos Latvijā”</t>
  </si>
  <si>
    <t>Rīkojums Nr.101"Par apropriācijas palielināšanu Veselības ministrijai"</t>
  </si>
  <si>
    <t>Lai nodrošinātu savlaicīgu jaunu infekcijas vīrusu celmu vai paveidu agrīnu atklāšanu, tādējādi pilnveidojot un attīstot vīrusa sekvencēšanas metodi</t>
  </si>
  <si>
    <t>Palielināt dotāciju no vispārējiem ieņēmumiem un apropriāciju Veselības ministrijas budžeta apakšprogrammā 33.17.00 "Neatliekamās medicīniskās palīdzības nodrošināšana stacionārās ārstniecības iestādēs" finansēšanas kategorijā "Akcijas un cita līdzdalība pašu kapitālā" 192 088 euro apmērā . Par minēto summu ar finanšu ieguldījumu palielināt pamatkapitālu sabiedrībai ar ierobežotu atbildību “Rīgas Austrumu klīniskā universitātes slimnīca”.</t>
  </si>
  <si>
    <t>Vakcīju iegādei</t>
  </si>
  <si>
    <t>Piešķirt Veselības ministrijai finansējumu 294 875 euro apmērā, lai segtu vakcīnas pret Covid-19 (vakcīnu ražotāju "Valneva" un "Novavax" ) iegādes, ievades un loģistikas izdevumus.</t>
  </si>
  <si>
    <t>Informatīvais ziņojums "Par vakcīnām pret Covid-19 Valneva un Novavax papildus devu pasūtījumu"</t>
  </si>
  <si>
    <t>Garantijas grūtībās nonākušajiem lielajiem komersantiem</t>
  </si>
  <si>
    <t xml:space="preserve">Atbalsta programmas grūtībās nonākušajiem lielajiem komersantiem garantiju veidā </t>
  </si>
  <si>
    <t>Piešķirt Aizsardzības ministrijai (Valsts aizsardzības loģistikas un iepirkuma centram) finansējumu, lai nodrošinātu Ministru kabineta 2020. gada 9. jūnija noteikumos Nr. 380 “Noteikumi par prioritāro institūciju un vajadzību sarakstā iekļautajām institūcijām nepieciešamajiem epidemioloģiskās drošības nodrošināšanas resursiem” minēto SARS-CoV-2 antigēna noteikšanas testu un pulsa oksimetru iegādes”</t>
  </si>
  <si>
    <t>Pabalsts ģimenēm ar bērniem</t>
  </si>
  <si>
    <t>According to the informative report “Capacity Building of the Health Sector and Strengthening Sustainability in Covid-19 Conditions in Latvia”, additional state budget funding in the amount of 244,578,642 euros is required for the implementation of the measures included in Article 7 of Cabinet Meeting No. 81. In its turn, funding in the amount of 56,782,929 euros is included in the annotation of the Cabinet Regulation “Amendments to Cabinet Regulation No. 555 of 28 August 2018 “Procedures for Organization and Payment of Health Care Services”” (§ 78 of the Cabinet meeting No.84 17.12.2020), funding of 341,069 euros Sub-paragraph 1.15 of Cabinet Order No. 2 of 5 January 2021 “On Allocation of Financial Resources from the State Budget Program“ Contingency Funds ”and financing of 3,545,726 euros is included in Cabinet Order No. 5 of 19 January 2021“ On Allocation of Financial Resources from the State Budget Program “Contingency Funds” ”(§ 5 of Protocol No. 7). In view of the above, the amount of EUR 97 248 378 (244 578 642 -56 782 929 - 341 069 - 3 545 726 -21 617 592 - 65 042 948 = 97 248 378) should be entered in the column "Approved aid". Balance 97.2 mln. EUR of which 42.97 (previously 51.3) million will be financed from EU funds.</t>
  </si>
  <si>
    <t>Cabinet of Ministers Order No. 99 "On the Allocation of Financial Resources from the State Budget Program" Contingency Funds ""</t>
  </si>
  <si>
    <t>In order to provide theoretical and practical training for medical practitioners on vaccination against Covid - 19</t>
  </si>
  <si>
    <t>D7</t>
  </si>
  <si>
    <t>"According to the results of the market research" Theoretical and practical training for medical personnel on vaccination against Covid-19 ", the selected service provider is Riga Stradiņš University. It is planned to train a total of 500 medical personnel.
Unit cost 80 excluding VAT (EUR), Total amount 40 000 (excluding VAT) (EUR), 48 400 (including VAT) (EUR) "</t>
  </si>
  <si>
    <t>Cabinet of Ministers Order No. 100 "On the Allocation of Financial Resources from the State Budget Program" Contingency Funds ""</t>
  </si>
  <si>
    <t>To achieve the objectives of the Covid-19 testing policy by promoting the increase of Covid-19 testing capacity in Latvia and taking into account the total testing capacity of laboratories</t>
  </si>
  <si>
    <t>To ensure the achievement of Covid-19 testing policy objectives by promoting the increase of existing Covid-19 testing capacity in Latvia, taking into account the overall testing capacity of laboratories and early detection of new infectious virus strains, thus improving and developing the virus sequencing method for 2021 an additional € 83,232,508 is required. 65,042,948 euros is in accordance with the informative report of the Cabinet of Ministers of 08.12.2020 “Capacity building and strengthening of sustainability in the health sector in Covid-19 conditions in Latvia”</t>
  </si>
  <si>
    <t>To provide funding for individual counseling for general education teachers and support staff, as well as for general education teachers in vocational education institutions preparing students for national tests during the Covid-19 pandemic.</t>
  </si>
  <si>
    <t>1.1. EUR 11,587,090 to the Ministry of Education and Science;
1.2. EUR 682 804 to the Ministry of Education and Science;
1.3. EUR 2 602 for the Ministry of Agriculture;
1.4. EUR 2,278 to the Ministry of Welfare;
1.5. EUR 37 102 for the Ministry of Culture.</t>
  </si>
  <si>
    <t>For Information Center of the Ministry of the Interior to implement secure technological tools and solutions for strengthening border management and reducing epidemiological risks (ViedX).</t>
  </si>
  <si>
    <t>A total of 819,650 euros (for the Information Center of the Ministry of the Interior) is required, including:
  - total project costs EUR 769,650;
  - equipment installation costs 50,000 euros.</t>
  </si>
  <si>
    <t>For the implementation of the target program “Employment Program for Creative Persons” - to provide support to creative persons from 1 January 2021 to 30 June 2021 in order to reduce the negative consequences of the Covid-19 crisis on the cultural sector</t>
  </si>
  <si>
    <t>A creative scholarship in the amount of 650 euros will be awarded for performing creative work in an average period of three months, thus awarding 1,000 scholarships, while 50,000.00 euros will be directed to cover the administrative costs of the State Cultural Capital Fund - to ensure the evaluation of project applications</t>
  </si>
  <si>
    <t>Pursuant to Paragraph 3 of Section 49 of the Cabinet of Ministers Meeting No. 38 of 2 June 2020: Within the framework of Priority 3 "Competitiveness of Small and Medium-Sized Enterprises", the over-liabilities of EU funds allocated to the Ministry of Economics euro will be used 1.2.1. Specific support objective “Increase private sector investment” 1.2.1.3. Regulations for the Implementation of the Measure “Loans and Loan Interest Rate Subsidies to Entrepreneurs for the Promotion of Competitiveness” EUR 15 million and the Investment Fund EUR 10 million.
The Ministry of Economics plans to use the EUR 20 million allocated under Priority 4 "Transition to a low-carbon economy in all sectors" to promote energy efficiency in residential buildings. Corresponding amendments to the implementing rules of the specific support objective measure have already been submitted to the MoF for approval.
Within the framework of Priority  9 "Social Inclusion and Fight against Poverty", 26 million euros allocated to the Ministry of Health are planned to be used to renovate the building of the Latvian Oncology Center (hereinafter - LOC) prepare LOC facilities for the treatment of chronic diseases of patients with infectious diseases and continuation of treatment courses.
The impact is expected in 2024, when there will be clarity on the amount of balances / canceled over-commitments. The Ministry of Finance is working on a plan to what extent the funds will be spent in 2021-2024.</t>
  </si>
  <si>
    <t>"The report was reviewed by the Cabinet of Ministers on 11.08.2020 (No. 47) and additional liabilities of 3 million less were accepted - 70.43 million euros (previously 73.4 million euros). 2.1. Measure 1.1.1.1" Practical orientation research "" EUR 11.0 million for the Ministry of Education and Science for implementation;
     2.2. 1.1.1.5. EUR 0.48 million for the Ministry of Education and Science for the implementation of the measure "Support for International Cooperation Projects in Research and Innovation";
     2.3. 1.2.2. EUR 19.7 million for the implementation of the specific support objective "To promote the introduction of innovations in enterprises" to the Ministry of Economics;
     2.4. 4.2.1.1. EUR 15.0 million to the Ministry of Economics for the implementation of the measure "To promote the increase of energy efficiency in residential buildings";
     2.5. 8.2.3. for the implementation of the specific support objective "Ensure better governance in higher education institutions" to the Ministry of Education and Science EUR 7.86 million;
     2.6. 9.3.2. EUR 16.4 million for the implementation of the specific support objective "Improving access to quality health care services, especially for people at risk of social, territorial exclusion and poverty, by developing health care infrastructure" "for the Ministry of Health." The Ministry of Finance is working on a plan to what extent the funds will be spent in 2021-2024</t>
  </si>
  <si>
    <t>Financing was reserved by the Cabinet of Ministers on 02.06.2020. the informative report "On measures for overcoming the Covid-19 crisis and economic recovery" - 58 million euros for the measure "Financing for modernization in the agricultural sector" and the allocation was approved by the Cabinet of Ministers on 14.07.2020. sitting prot. No.44 § 57 § 2.
Financing included in the draft budget of the Ministry of Agriculture: 2021 - 26.82 million euros, 2022 - 21.50 million euros and 2023 - 9.68 million euros.
The Ministry of Agriculture points out that taking into account the proportion of co-financing rates set in the RDP 2014–2020 in the planning period, the implementation of these measures is continued with identical rates. 7/20/2020 The Ministry of Agriculture submitted co-financing rates of 68% annually for the implementation of European agricultural guarantee fund projects. In addition, explaining that the commitment will ensure the successful absorption of the "envelope" without having a full impact on the budget balance. 2021: 26.82 * 32% = 8.6 million euros. 2022: 21.50 * 32% = 6.9 million euros. 2023: 9.68 * 32% = 3.1 million euros. Information from the Ministry of Agriculture on the planned implementation by years is expected.</t>
  </si>
  <si>
    <t>Allowance for families with children</t>
  </si>
  <si>
    <t>Draft Law "Amendment to the Law on Coping with the Consequences of Covid-19 Infection"</t>
  </si>
  <si>
    <t>Support for families with children EUR 500 for each child in foster care</t>
  </si>
  <si>
    <t xml:space="preserve">Ministry of Welfare </t>
  </si>
  <si>
    <t xml:space="preserve">The total estimated number of children for whom the aid will be paid is 364 097.
Therefore, in order to provide one-time financial support to persons raising a child, additional funding in the amount of EUR 364,097 x500 = EUR 182,048,500 is required. In addition, in order to ensure the costs of the mentioned support, changes in the SSIA IT systems are required, performing system adjustment 75 days x 471.9 euro = EUR 35 393. </t>
  </si>
  <si>
    <t>Guarantees for large companies in difficulty</t>
  </si>
  <si>
    <t>Draft Order "On Increasing the Reserve Capital of the Joint Stock Company "Development Financial Institution Altum""</t>
  </si>
  <si>
    <t>Support programs for large companies in difficulty in the form of guarantees</t>
  </si>
  <si>
    <t>Specific support programs for large companies in difficulty in the form of guarantees for investments, the redirection of which will be the subject of a separate decision of the Cabinet of Ministers</t>
  </si>
  <si>
    <t>Information report "On the order of additional doses of vaccines against Covid-19 Valneva and Novavax"</t>
  </si>
  <si>
    <t>For the purchase of vaccines</t>
  </si>
  <si>
    <t>Order No. 101 "On Increasing the Appropriation for the Ministry of Health"</t>
  </si>
  <si>
    <t>To ensure the early detection of new strains or variants of infectious viruses, thus improving and developing the virus sequencing method</t>
  </si>
  <si>
    <t>Provide the Ministry of Health with funding of EUR 294 875 to cover the purchase, administration and logistics of Covid-19 vaccines (vaccine manufacturers Valneva and Novavax).</t>
  </si>
  <si>
    <t>To increase the grant from the general revenue and the appropriation in the budget sub-program 33.17.00 "Provision of emergency medical care in inpatient treatment institutions" of the Ministry of Health in the financing category "Shares and other equity" in the amount of EUR 192,088. To increase the share capital of the limited liability company “Riga East Clinical University Hospital” by the mentioned amount with a financial contribution.</t>
  </si>
  <si>
    <t xml:space="preserve">MK rīkojums Nr. 114 "Par finanšu līdzekļu piešķiršanu no valsts budžeta programmas "Līdzekļi neparedzētiem gadījumiem"" </t>
  </si>
  <si>
    <t>21.01.2021
28.01.2021
04.02.2021
11.02.2021 24.02.2021</t>
  </si>
  <si>
    <t>MK rīk. Nr.112 "Par finanšu līdzekļu piešķiršanu no valsts budžeta programmas "Līdzekļi neparedzētiem gadījumiem""</t>
  </si>
  <si>
    <t>1.1. Nacionālajam veselības dienestam 3 027 877 euro, no tiem:
1.1.1. 2 662 220 euro vakcīnu "Moderna" iegādei;
1.1.2. 362 700 euro vakcīnu iegādei no vakcīnu ražotāja "Pfizer-BioNTech";
1.1.3. 2 957 euro šļirču un injekcijas šķīdumu iegādei;
1.2. Valsts asinsdonoru centram 8 067 euro vakcīnu ražotāja "Pfizer-BioNTech" vakcīnu glabāšanai atbilstoši vakcīnas lietošanas instrukcijā norādītajiem vakcīnas glabāšanas nosacījumiem.</t>
  </si>
  <si>
    <t>Piešķirt Kultūras ministrijai 3 258 367 euro Mediju atbalsta fonda īstenošanai, lai sniegtu atbalstu Covid-19 krīzes skartajiem mediju uzņēmumiem par periodu no 2020. gada novembra līdz 2021. gada aprīlim</t>
  </si>
  <si>
    <t>Finanšu ministrijai no valsts budžeta programmas 02.00.00 "Līdzekļi neparedzētiem gadījumiem" piešķirt Kultūras ministrijai 3 258 367 euro, lai nodrošinātu Mediju atbalsta fonda darbību un sniegtu atbalstu saistībā ar abonēto drukāto mediju piegādes izmaksu, elektronisko plašsaziņas līdzekļu televīzijas un radio programmu apraides izmaksu, kā arī citu ar mediju pamatdarbību saistītu izmaksu segšanu par laikposmu no 2020. gada novembra līdz 2021. gada martam.</t>
  </si>
  <si>
    <t>MK rīk. Nr.131 (prot. Nr. 21 4. §)"Par finanšu līdzekļu piešķiršanu no valsts budžeta programmas "Līdzekļi neparedzētiem gadījumiem""</t>
  </si>
  <si>
    <t>MK rīk. Nr.131 (prot. Nr. 21 5. §)"Par finanšu līdzekļu piešķiršanu no valsts budžeta programmas "Līdzekļi neparedzētiem gadījumiem""</t>
  </si>
  <si>
    <t xml:space="preserve">Finanšu ministrijai no valsts budžeta programmas 02.00.00 "Līdzekļi neparedzētiem gadījumiem" piešķirt Sabiedrības integrācijas fondam 430 000 euro valsts budžeta finansētās programmas "Līdzfinansējuma programma" īstenošanai 2021. gadā, lai mazinātu Covid-19 krīzes radīto negatīvo seku ietekmi uz nevalstiskajām organizācijām, tai skaitā:
1.1. 425 000 euro programmas projektu īstenošanai;
1.2. 5 000 euro programmas administrēšanai.
</t>
  </si>
  <si>
    <t>Atbalsts Sabiedrības Integrācijas Fondam, lai mazinātu Covid-19 krīzes radīto negatīvo seku ietekmi uz nevalstiskajām organizācijām</t>
  </si>
  <si>
    <t>Cabinet of Ministers Order No. 112 "On the Allocation of Financial Resources from the State Budget Program" Contingency Funds ""</t>
  </si>
  <si>
    <t>1.1. EUR 3,027,877 to the National Health Service, of which:
1.1.1. EUR 2 662 220 for the purchase of "Moderna" vaccines;
1.1.2. EUR 362 700 for the purchase of vaccines from the vaccine manufacturer Pfizer-BioNTech;
1.1.3. EUR 2 957 for the purchase of syringes and solutions for injection;
1.2. EUR 8 067 to the National Blood Donor Center for the storage of Pfizer-BioNTech vaccines in accordance with the storage conditions specified in the vaccine package leaflet.</t>
  </si>
  <si>
    <t>The exact impact cannot be assessed as no further spread of Covid-19 disease is expected. The planned expenses are indicated in accordance with the Treasury data on expenses for Covid-19 for 1-10 days (in the amount of actual performance, because the MoW cannot predict further spread of the disease), which was paid by the employer until the amendments. Total expenses, incl. after 10 days amounts to 10.8 mln. euro</t>
  </si>
  <si>
    <t>Cabinet of Ministers No.131 (prot. No. 21 4. §) "On Allocation of Financial Resources from the State Budget Program"Contingency Funds"</t>
  </si>
  <si>
    <t>Allocate EUR 3 258 367 to the Ministry of Culture for the implementation of the Media Support Fund to provide support to media companies affected by the Covid-19 crisis for the period from November 2020 to April 2021</t>
  </si>
  <si>
    <t>To allocate EUR 3 258 367 from the State Budget Program 02.00.00 "Contingency Funds" to the Ministry of Finance to ensure the operation of the Media Support Fund and to provide support for subscribed print media delivery costs, electronic media television and radio broadcasting costs, as also covering other costs related to the main activities of the media for the period from November 2020 to March 2021.</t>
  </si>
  <si>
    <t>Ministry of Coulture</t>
  </si>
  <si>
    <t>Cabinet of Ministers No.131 (prot. No. 21 5. §) "On Allocation of Financial Resources from the State Budget Program"Contingency Funds"</t>
  </si>
  <si>
    <t>Support to the Community Integration Fund to mitigate the negative effects of the Covid-19 crisis on non-governmental organizations</t>
  </si>
  <si>
    <t>To allocate EUR 430,000 from the State Budget Program 02.00.00 "Contingency Funds" to the Ministry of Finance for the implementation of the State Budget Funded Program "Co-financing Program" in 2021 to reduce the negative impact of the Covid-19 crisis on non-state organizations, including:
1.1. EUR 425 000 for the implementation of program projects;
1.2. EUR 5 000 for the administration of the program.</t>
  </si>
  <si>
    <t>Lai segtu informēšanas kampaņas izdevumus drošai tirdzniecībai un iedzīvotāju paradumu maiņai.</t>
  </si>
  <si>
    <t xml:space="preserve">Projekts paredz no valsts budžeta programmas 02.00.00 “Līdzekļi neparedzētiem gadījumiem” piešķirt Ekonomikas ministrijai finansējumu 118 521 euro (ar PVN) apmērā. Savukārt Ministru kabineta protokollēmuma projekts paredz slēgt līgumu ar SIA “McCann Rīga” par informēšanas kampaņu saistībā ar drošu tirdzniecību un iedzīvotāju paraduma maiņu par kopējo summu 118 521 euro (ar PVN). </t>
  </si>
  <si>
    <t>Lai nodrošinātu nepieciešamo izmaiņu veikšanu Valsts ieņēmumu dienesta informācijas sistēmās saistībā ar atbalsta pasākumu pieejamību lielākam nodokļu maksātāju lokam, kuru saimnieciskā darbība ierobežota Covid-19 krīzes ietekmē.</t>
  </si>
  <si>
    <t>Par finanšu līdzekļu piešķiršanu no valsts budžeta programmas “Līdzekļi neparedzētiem gadījumiem” izstrādāts ar mērķi piešķirt finansējumu Valsts ieņēmumu dienestam, lai nodrošinātu nepieciešamo izmaiņu veikšanu VID informācijas sistēmās saistībā ar atbalsta pasākumu pieejamību lielākam nodokļu maksātāju lokam, kuru saimnieciskā darbība ierobežota Covid-19 krīzes ietekmē.</t>
  </si>
  <si>
    <t>Kultūras ministrijai (Valsts kultūrkapitāla fondam) piešķirt 3 000 000 euro mērķprogrammas "Nākotnes kultūras piedāvājuma veidošana visās kultūras nozarēs" īstenošanai, lai mazinātu Covid-19 krīzes radīto negatīvo seku ietekmi uz kultūras nozari.</t>
  </si>
  <si>
    <t>Benefit for pensioners and persons with disabilities</t>
  </si>
  <si>
    <t>One-time support in the amount of 200 euros for each pensioner and person with a disability</t>
  </si>
  <si>
    <t>To cover the cost of an information campaign on safe trade and change in citizens' habits.</t>
  </si>
  <si>
    <t>The project envisages allocating funding in the amount of 118,521 euros (including VAT) to the Ministry of Economics from the state budget program 02.00.00 “Funds for Contingencies”. In its turn, the draft protocol decision of the Cabinet of Ministers envisages concluding an agreement with SIA “McCann Rīga” on an information campaign in connection with safe trade and change of habits of the population for the total amount of 118,521 euros (including VAT).</t>
  </si>
  <si>
    <t>In order to ensure the necessary changes in the information systems of the State Revenue Service in connection with the availability of support measures to a larger circle of taxpayers whose economic activity is restricted due to the Covid-19 crisis.</t>
  </si>
  <si>
    <t>ministry of Finance</t>
  </si>
  <si>
    <t>No valsts budžeta programmas „Līdzekļi neparedzētiem gadījumiem” Valsts kultūrkapitāla fondam finansējums 3 000 000 euro apmērā mērķprogrammas īstenošanai, lai mazinātu Covid-19 krīzes negatīvo seku ietekmi uz kultūras nozari. Kopējais mērķprogrammas projektu atbalstam nepieciešamais finansējums ir 2 892 750 euro, bet 107 250 euro paredzēti mērķprogrammas administratīvajām izmaksām.</t>
  </si>
  <si>
    <t>To allocate EUR 3,000,000 to the Ministry of Culture (State Cultural Capital Fund) for the implementation of the target program "Creating the future cultural offer in all cultural sectors" in order to reduce the negative impact of the Covid-19 crisis on the cultural sector.</t>
  </si>
  <si>
    <t>Funding from the State Budget Program “Contingency Funds” to the State Cultural Capital Fund in the amount of EUR 3,000,000 for the implementation of the target program to reduce the negative impact of the Covid-19 crisis on the cultural sector. The total funding required to support the projects of the target program is EUR 2 892 750, but EUR 107 250 is intended for the administrative costs of the target program.</t>
  </si>
  <si>
    <t xml:space="preserve">"GDP (March 2021)
In 2020 29334, in 2021 30629, in 2022 32818, in 2023 34531 mln. euro. </t>
  </si>
  <si>
    <t>Pabalsts pensionāriem un personām ar invaliditāti</t>
  </si>
  <si>
    <t>Vienreizējs atbalsts 200 euro apmērā katram pensionāram un personai ar invaliditāti</t>
  </si>
  <si>
    <t xml:space="preserve">MK rīkojums Nr. 158 "Par finanšu līdzekļu piešķiršanu no valsts budžeta programmas "Līdzekļi neparedzētiem gadījumiem"" </t>
  </si>
  <si>
    <t>1. Valsts policijai – 783 325 euro;
2. Valsts policijas koledžai – 18 372 euro;
3. Valsts robežsardzei – 333 963 euro; 
4. Valsts robežsardzes koledžai – 5 631 euro.</t>
  </si>
  <si>
    <t>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seku novēršanu laikposmā no 2021. gada 1. janvāra līdz 2021. gada 31. janvārim</t>
  </si>
  <si>
    <t>MK rīkojums Nr.153 "Par finanšu līdzekļu piešķiršanu no valsts budžeta programmas "Līdzekļi neparedzētiem gadījumiem""</t>
  </si>
  <si>
    <t>MK rīk. Nr.144 "Par finanšu līdzekļu piešķiršanu no valsts budžeta programmas "Līdzekļi neparedzētiem gadījumiem""</t>
  </si>
  <si>
    <t>MK rīkojums Nr.141 "Par finanšu līdzekļu piešķiršanu no valsts budžeta programmas "Līdzekļi neparedzētiem gadījumiem""</t>
  </si>
  <si>
    <t xml:space="preserve">MK rīkojums Nr. 83 "Par finanšu līdzekļu piešķiršanu no valsts budžeta programmas "Līdzekļi neparedzētiem gadījumiem"" </t>
  </si>
  <si>
    <t xml:space="preserve">MK rīkojums Nr. 109 "Par finanšu līdzekļu piešķiršanu no valsts budžeta programmas "Līdzekļi neparedzētiem gadījumiem"" </t>
  </si>
  <si>
    <t>MK rīkojums Nr.108 "Par finanšu līdzekļu piešķiršanu no valsts budžeta programmas "Līdzekļi neparedzētiem gadījumiem""</t>
  </si>
  <si>
    <t>MK rīkojums Nr.86 "Par finanšu līdzekļu piešķiršanu no valsts budžeta programmas "Līdzekļi neparedzētiem gadījumiem""</t>
  </si>
  <si>
    <t>MK rīkojums Nr.96 "Par finanšu līdzekļu piešķiršanu no valsts budžeta programmas "Līdzekļi neparedzētiem gadījumiem""</t>
  </si>
  <si>
    <t>MK rīk. Nr.110 "Par finanšu līdzekļu piešķiršanu no valsts budžeta programmas "Līdzekļi neparedzētiem gadījumiem""</t>
  </si>
  <si>
    <t>Lai segtu izdevumus, kas Covid-19 izplatības ierobežošanai nepieciešamo integrētās komunikācijas kampaņu īstenošanu 2021.gadā</t>
  </si>
  <si>
    <t>MK rīk. Nr.159 "Par finanšu līdzekļu piešķiršanu no valsts budžeta programmas "Līdzekļi neparedzētiem gadījumiem""</t>
  </si>
  <si>
    <t>Piešķirt Valsts kancelejai finansējumu, kas nepārsniedz 330 000 euro, lai segtu izdevumus, kas Covid-19 izplatības ierobežošanai nepieciešamo integrētās komunikācijas kampaņu īstenošanu 2021.gadā</t>
  </si>
  <si>
    <t xml:space="preserve">MK rīkojums Nr. 142 "Par finanšu līdzekļu piešķiršanu no valsts budžeta programmas "Līdzekļi neparedzētiem gadījumiem"" </t>
  </si>
  <si>
    <t>Piešķirt Veselības ministrijai finansējumu 23 491 271 euro apmērā, tai skaitā:
1. lai nodrošinātu piemaksu apmaksas kompensēšanu laika periodā līdz 2020. gada 31. decembrim atbildīgo institūciju ārstniecības personām un citiem nodarbinātajiem par darbu paaugstināta riska un slodzes apstākļos sabiedrības veselības apdraudējuma situācijā saistībā ar Covid-19 uzliesmojumu un seku novēršanu – 21 735 572 euro apmērā;
2. lai nodrošinātu atbildīgo institūciju ārstniecības personu un citu nodarbināto atvaļinājuma rezerves uzkrājumu, atbilstoši aprēķinātajai piemaksu summai par 2020.gada novembri un decembri – 1 755 699 euro apmērā.</t>
  </si>
  <si>
    <t>Izpilde*</t>
  </si>
  <si>
    <t>Augstas gatavības projekti, kas saistīti ar Covid-19 krīzes pārvarēšanu un ekonomikas atlabšanu</t>
  </si>
  <si>
    <t>Informatīvais ziņojums "Par augstas gatavības projektiem, kas saistīti ar Covid-19 krīzes pārvarēšanu un ekonomikas atlabšanu"</t>
  </si>
  <si>
    <t>Ministriju iesniegtie augstas gatavības projekti, kas saistīti ar Covid-19 krīzes pārvarēšanu un ekonomikas atlabšanu</t>
  </si>
  <si>
    <t>Piešķirt Zemkopības ministrijai finansējumu, kas nepārsniedz 37 316 euro, lai valsts zinātniskais institūts "Pārtikas drošības, dzīvnieku veselības un vides zinātniskajam institūtam "BIOR"" nodrošinātu ūdeļu, citu Mustelidae dzimtas dzīvnieku un jenotsuņu novietnēs noņemto paraugu laboratorisko izmeklēšanu Covid-19 infekcijas ierosinātāja noteikšanai, kā arī dzīvnieku līķu sekcijai un iznīcināšanai no 2021. gada 1. marta līdz 31. decembrim.</t>
  </si>
  <si>
    <t>Finansējums BIOR dzīvnieku novietnēs noņemto paraugu laboratoriskai izmeklēšanai Covid-19 infekcijas ierosinātāja noteikšanai</t>
  </si>
  <si>
    <t xml:space="preserve">Pamatkapitāla palielināšana VSIA "PSKUS" un SIA “RAKUS" gultu izveidei, medicīnisko iekārtu un papildaprīkojuma iegādei </t>
  </si>
  <si>
    <t>PSKUS pamatkapitāla palielināšana, ieguldot tajā finanšu līdzekļus 1 730 383 euro apmērā, RAKUS pamatkapitāla palielināšana, ieguldot tajā finanšu līdzekļus 2 291 014 euro apmērā, - gultu izveidei, medicīnisko iekārtu un papildaprīkojuma iegādei</t>
  </si>
  <si>
    <t>“Daugavpils reģionālā slimnīca” 330 816 euro; “Vidzemes slimnīca” 67 510 euro; “Jēkabpils reģionālā slimnīca” 319 171 euro; “Liepājas reģionālā slimnīca” 127 114 euro; “Rēzeknes slimnīca” 2 411 290 euro; “Ziemeļkurzemes reģionālā slimnīca” 359 230 euro; “Jelgavas pilsētas slimnīca” 256 324 euro; “Balvu un Gulbenes slimnīcu apvienība” 150 867 euro; Nacionālajam veselības dienestam 150 000 euro planšešu iegādei.</t>
  </si>
  <si>
    <t>Novērtējums uz SP 2021-2024</t>
  </si>
  <si>
    <t>26.11.2020 01.12.2020 10.12.2020 11.01.2021 18.03.2021</t>
  </si>
  <si>
    <t>1.1. Nacionālajam veselības dienestam 9 208 888 euro, tai skaitā:
1.1.1. par ambulatorajiem veselības aprūpes pakalpojumiem 1 376 823 euro;
1.1.2. par stacionārajiem veselības aprūpes pakalpojumiem 445 156 euro;
1.1.3. par laboratorisko izmeklējumu organizēšanu un veikšanu 4 701 997 euro;
1.1.4. par mājas aprūpes pakalpojumiem pacientu hroniskās slimības saasinājuma vai akūtas saslimšanas gadījumā Covid-19 pandēmijas laikā 30 102 euro;
1.1.5. par individuālo aizsardzības līdzekļu un dezinfekcijas līdzekļu iegādi 2 491 346 euro;
1.1.6. piemaksai ģimenes ārstu praksēm par individuālo aizsardzības līdzekļu izmantošanu pacientu aprūpes nodrošināšanā 163 464 euro;
1.2. Neatliekamās medicīniskās palīdzības dienestam 39 496 euro individuālo aizsardzības līdzekļu un dezinfekcijas līdzekļu iegādei.</t>
  </si>
  <si>
    <t>Atbalsts jauniešiem Covid-19 pandēmijas radīto seku mazināšanai</t>
  </si>
  <si>
    <t>Kopējais finansējums, kuru paredzēts piešķirt  projektu īstenotājiem aktivitāšu īstenošanai ir 430 000 euro, savukārt viena projekta īstenošanai tiks piešķirti ne vairāk kā 10 000 euro. Papildus ir paredzēti 40 000 euro atbalsta pasākumu, tostarp izglītojošo, sniegšanai  jaunatnes darbiniekiem un darba ar jaunatni veicējiem, lai nodrošinātu viņu zināšanas un prasmes, t.sk. digitālās, kas aktuālas esošajos Covid-19 apstākļos, kā arī pēc pandēmijas apstākļos. Šo atbalstu pasākumu īstenošanu plānots uzsākt no 2021. gada 1. aprīļa.  30 000 euro paredzēti programmas administrēšanai.</t>
  </si>
  <si>
    <t>Piešķirts papildus finansējums, lai nodrošinātu valsts autoceļu attīstību saistībā ar administratīvi teritoriālo reformu</t>
  </si>
  <si>
    <t>Ar rīkojuma projektu papildus piešķirtais finansējums tiks izmantots valsts valsts autoceļu attīstībai administratīvi teritoriālās reformas kontekstā. Finansējuma apmērs 55 000 000 euro ir pamatots ar tehniskās dokumentācijas izmaksu aprēķiniem un indikatīvo papildus darbu aplēsēm. 
Detalizētus aprēķinus sadalījumā pa realizējamiem projektiem būs iespējams veikt, kad būs noslēgušies iepirkumu konkursi un būs zināmas pretendentu iesniegto pieteikumu izmaksas. Tādejādi, jo lētākas būs darbu izmaksas, jo darbus būs iespējams veikt lielākā apjomā.</t>
  </si>
  <si>
    <t>Ārlietu ministrija  1 100 000
Iekšlietu ministrija 27 300 000
Izglītības un zinātnes  ministrija  28 482 428
Tieslietu ministrija 5 460 000
Vides aizsardzības un reģionālās attīstības ministrija 54 300 000
Kultūras ministrija 22 467 737
Veselības ministrija  18 200 000</t>
  </si>
  <si>
    <t>Papildus finansējums valsts autoceļiem</t>
  </si>
  <si>
    <t>Valsts autoceļu atjaunošanas projektiem, kuru īstenošanas termiņš ir 2021. gads, paredzot finansējumu, kas nepārsniedz 100 000 000 euro, tai skaitā ne mazāk kā 27 000 000 euro to autoceļu attīstībai, kas nepieciešami administratīvi teritoriālās reformas īstenošana.</t>
  </si>
  <si>
    <t>Lai nodrošinātu tālruņa numuru “8989” darbību</t>
  </si>
  <si>
    <t>Lai kompensētu nesaņemto drošības maksu par gaisa kuģu lidojumu drošuma un civilās aviācijas drošības uzraudzības nodrošināšanu valsts aģentūrai “Civilās aviācijas aģentūra</t>
  </si>
  <si>
    <t>Piešķirt Satiksmes ministrijai 1 919 160 euro, lai kompensētu nesaņemto drošības maksu par gaisa kuģu lidojumu drošuma un civilās aviācijas drošības uzraudzības nodrošināšanu valsts aģentūrai “Civilās aviācijas aģentūra”</t>
  </si>
  <si>
    <t>24.11.2020.
01.12.2020. 07.01.2021 11.01.2021
01.04.2021</t>
  </si>
  <si>
    <t>Lai nodrošinātu piemaksu pie dīkstāves atbalsta par katru apgādībā esošu bērnu vecumā līdz 24 gadiem, par kuru darbiniekam uz dīkstāves atbalsta piešķiršanas dienu tiek piemērots iedzīvotāju ienākuma nodokļa atvieglojums, valsts budžeta izdevumi par vienu mēnesi, kas varētu rasties Covid-19 izraisītās ārkārtas situācijas rezultātā, provizoriski veido: 45 000*(darbinieki) x 0,4 (vidējais bērnu skaits ģimenē) x 50 euro (piemaksas apmērs) =  900 000 euro mēnesī.  Izmaksai divus mēnešus (izmaksā darbiniekiem par laikposmu no 2020. gada 9. novembra līdz 2020. gada 31. decembrim) = 900 000 x 2= 1 800 000 euro.
2020.gadā no LNG piešķirti 450 000 euro. 2021.gadā no LNG tika plānots pārdalīt 1 350 000 euro, bet 01.04. nolemts papildus piešķirt vēl 2 161 200 euro.</t>
  </si>
  <si>
    <t>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seku novēršanu laikposmā no 2021. gada 1. februāra līdz 2021. gada 28. februārim.</t>
  </si>
  <si>
    <t>1. Valsts policijai – 463 522 euro;
2. Valsts policijas koledžai – 504 euro;
3. Valsts robežsardzei – 309 267 euro; 
4. Valsts robežsardzes koledžai – 3 062 euro.</t>
  </si>
  <si>
    <t>Piešķirt Tieslietu ministrijai finansējumu 27 891 euro apmērā, lai nodrošinātu finansējuma piešķiršanu biedrībai "Katoļu Baznīcas informācijas aģentūra" Lieldienu dievkalpojumu translāciju komerciālajos medijos nodrošināšanai</t>
  </si>
  <si>
    <t>Lai nodrošinātu finansējuma piešķiršanu biedrībai "Katoļu Baznīcas informācijas aģentūra" Lieldienu dievkalpojumu translāciju komerciālajos medijos nodrošināšanai</t>
  </si>
  <si>
    <t>Reliģiskajām savienībām (baznīcām), lai nodrošinātu šo reliģisko savienību (baznīcu) garīgajam un kalpojošajam personālam krīzes pabalstu un mazinātu ar Covid-19 izplatību radītos zaudējumus, kompensējot komunālo maksājumu izdevumus</t>
  </si>
  <si>
    <t>"Latvijas Baptistu draudžu savienība" 8 500 euro, "Latvijas evaņģēliski luteriskā Baznīca" 85 500 euro,  "Latvijas Jaunapustuliskā baznīca" 5 200 euro, "Latvijas Pareizticīgā Autonomā Baznīca Konstantinopoles Patriarhāta jurisdikcijā" 5 900 euro, "Latvijas Pareizticīgā Baznīca" 41 000 euro, "Latvijas Vasarsvētku draudžu centrs" 8 100 euro, "Latvijas Vecticībnieku Pomoras Baznīca" 15 000 euro, "Rīgas ebreju reliģiskā draudze" 7 000 euro, "Rīgas Metropolijas Romas katoļu kūrija" 65 000 euro, "Romas katoļu baznīcas Liepājas diecēze" 12 700 euro</t>
  </si>
  <si>
    <t>Izmaksas pa gadiem plānotas: 2020.g. 9,3 milj. euro (fakts), 2021.g. 75,9 milj. euro, 2022.g. 162,1 milj. euro, 2023.g. 188,2 milj. euro, 2024.g. 63,2 milj. euro</t>
  </si>
  <si>
    <t>Atbilstoši Ministru kabineta 2020. gada 2. jūnija sēdes protokollēmuma Nr.38 49.§ 3.punktam:  3. prioritārā virziena "Mazo un vidējo komersantu konkurētspēja" ietvaros Ekonomikas ministrijai piešķirtās ES fondu virssaistības 25 milj. euro tiks izmantotas 1.2.1. specifiskā atbalsta mērķa “Palielināt privātā sektora investīcijas P&amp;A” 1.2.1.3. pasākumam “Aizdevumi un aizdevumu procentu likmju subsīdijas komersantiem konkurētspējas veicināšanai” īstenošanas noteikumi” 15 milj. euro un Ieguldījumu fondam 10 milj. euro.
4. prioritārā virziena "Pāreja uz ekonomiku ar zemu oglekļa emisijas līmeni visās nozarēs" ietvaros piešķirtos 20 milj. euro Ekonomikas ministrija plāno izmantot energoefektivitātes paaugstināšanas veicināšanai dzīvojamās ēkās. Atbilstoši grozījumi specifiskā atbalsta mērķa pasākuma īstenošanas noteikumos  jau ir iesniegti FM saskaņošanai.
9. prioritārā virziena "Sociālā iekļaušana un nabadzības apkarošana" ietvaros Veselības ministrijai piešķirtos 26 milj. euro plāno izmantot SIA “Rīgas Austrumu klīniskā universitātes slimnīca” Hipokrāta ielas teritorijā esošā Stacionāra “Latvijas Onkoloģijas centrs” (turpmāk – LOC) palātu korpusa atjaunošanai, lai atbilstoši mūsdienu prasībām sagatavotu LOC telpas pacientu ar infekciju slimībām hronisku saslimšanu ārstēšanai un terapijas kursu turpināšanai. 
Ietekme paredzēta 2024.gadā, kad būs skaidrība par atlikumiem/dzēsto virssaistību apmēru. Izmaksas pa gadiem plānotas: 2020.g. 0,2 milj. euro (fakts), 2021.g. 14,0 milj. euro, 2022.g. 41,7 milj. euro, 2023.g. 42,6 milj. euro, 2024.g. 42,9 milj. euro</t>
  </si>
  <si>
    <t>VID virsstundu darba apmaksai</t>
  </si>
  <si>
    <t>2021.gada janvārī un februārī virsstundu darbu veica 245 VID nodarbinātie un, nodrošinot atbalsta pasākumu izmaksu, nostrādāja 3 338 virsstundas, kas kopumā izmaksāja 76 998,30 euro (samaksa par virsstundu darbu un darba devēja valsts sociālās apdrošināšanas obligātās iemaksas).</t>
  </si>
  <si>
    <t>1.1. 1 112 087 euro – Izglītības un zinātnes ministrijai (15. resors);
1.2. 14 874 euro – Zemkopības ministrijai (16. resors);
1.3. 1 584 euro – Labklājības ministrijai (18. resors);
1.4. 957 771 euro – Kultūras ministrijai (22. resors);
1.5. 3 611 euro – Veselības ministrijai (29. resors);
1.6. 27 541 euro – mērķdotācijai pašvaldībām (62. resors).</t>
  </si>
  <si>
    <t>Lai profesionālās izglītības un profesionālās ievirzes izglītības pedagogiem un atbalsta personālam nodrošinātu vienreizēju piemaksu 300 euro, par papildu slodzi un palielināto darba apjomu obligātā mācību satura apguvei Covid-19 pandēmijas laikā</t>
  </si>
  <si>
    <t>Tirdzniecības centru ieņēmumu krituma komepnsēšanai</t>
  </si>
  <si>
    <t>MK Noteikumu projekts paredz, ka atbalsta apmērs ir 15 euro par katru tirdzniecības centra ēkas kadastrālās uzmērīšanas lietā norādītās kopējās platības m2, nepārsniedzot faktisko ieņēmumu krituma apmēru.    Atbalstu Latvijas Investīciju un attīstības aģentūra piešķir, ievērojot, ka Pagaidu regulējuma ietvaros piešķiramā ierobežota apjoma atbalsta apmērs vienam uzņēmumam un ar to saistīto personu grupai nepārsniedz 1 800 000 euro. Plānots atbalstīt 33 tirdzniecības centrus.</t>
  </si>
  <si>
    <t>Rīkojums Nr.174 "Par finanšu līdzekļu piešķiršanu no valsts budžeta programmas "Līdzekļi neparedzētiem gadījumiem""</t>
  </si>
  <si>
    <t>Assessment*</t>
  </si>
  <si>
    <t>Estimate SP 2021 - 2024</t>
  </si>
  <si>
    <t>Draft Order "Amendments to the Cabinet of Ministers Order No. 13 of 11 January 2021" On Allocation of Financial Resources from the State Budget Program "Funds for Contingencies""</t>
  </si>
  <si>
    <t>Cabinet of Ministers Order No. 142 "On the Allocation of Financial Resources from the State Budget Program" Contingency Funds""</t>
  </si>
  <si>
    <t>To provide funding to the Ministry of Health in the amount of EUR 23,491,271, including:
1. EUR 21 735 572 for the reimbursement of allowances for medical practitioners and other employees of the responsible authorities for work in high-risk and high-risk public health situations in connection with the Covid-19 outbreak and its consequences until 31 December 2020;
2. in order to ensure the accumulation of the holiday reserve for medical personnel and other employees of the responsible institutions, in accordance with the calculated amount of allowances for November and December 2020 - in the amount of 1,755,699 euros.</t>
  </si>
  <si>
    <t>Draft Order "On the increase of appropriations for the Ministry of Health"</t>
  </si>
  <si>
    <t>Increase of the share capital of VSIA "PSKUS" and SIA "RAKUS" for the establishment of beds, purchase of medical equipment and additional equipment</t>
  </si>
  <si>
    <t>Increase of the share capital of PSKUS by investing financial resources in the amount of EUR 1 730 383, increase of the share capital of RAKUS by investing financial resources in the amount of EUR 2 291 014 - for the establishment of beds, purchase of medical equipment and additional equipment</t>
  </si>
  <si>
    <t>Cabinet of Ministers Order No. 114 "On the Allocation of Financial Resources from the State Budget Program "Contingency Funds""</t>
  </si>
  <si>
    <t>To the National Health Service to cover the costs incurred in connection with the Covid-19 outbreak and its aftermath</t>
  </si>
  <si>
    <t xml:space="preserve">1.1. EUR 9,208,888 for the National Health Service, including:
1.1.1. EUR 1,376,823 for outpatient health care services;
1.1.2. EUR 445,156 for inpatient health care services;
1.1.3. for the organization and performance of laboratory examinations EUR 4,701,997;
1.1.4. for home care services in case of exacerbation of chronic illness or acute illness of patients during pandemic Covid-19 30 102 euros;
1.1.5. for the purchase of personal protective equipment and disinfectants EUR 2,491,346;
1.1.6. a supplement of 163,464 euros for the practice of general practitioners for the use of personal protective equipment in the provision of patient care;
1.2. EUR 39 496 for the purchase of personal protective equipment and disinfectants for the emergency medical service. </t>
  </si>
  <si>
    <t>Cabinet of Ministers No. 110 "On Allocation of Financial Resources from the State Budget Program "Contingency Funds""</t>
  </si>
  <si>
    <t>Cabinet of Ministers No. 60 "On Allocation of Financial Resources from the State Budget Program "Contingency Funds""</t>
  </si>
  <si>
    <t>Cabinet of Ministers No. 144 "On Allocation of Financial Resources from the State Budget Program "Contingency Funds""</t>
  </si>
  <si>
    <t>Cabinet of Ministers No.159 "On Allocation of Financial Resources from the State Budget Program "Contingency Funds""</t>
  </si>
  <si>
    <t>To cover the costs of  Covid-19 to implement the necessary integrated communication campaigns in 2021</t>
  </si>
  <si>
    <t>To provide the State Chancellery with funding not exceeding EUR 330,000 to cover the expenses necessary for the implementation of the integrated communication campaigns necessary to limit the spread of Covid-19 in 2021</t>
  </si>
  <si>
    <t>Cabinet Order No. 96 "On Allocation of Financial Funds from the State Budget Program "Contingency Funds""</t>
  </si>
  <si>
    <t>The allowance shall be calculated in the amount of 75 per cent of the hourly wage rate set for the official, observing the specified criteria. Expenses related to the allowance for officials of subordinate institutions of the Ministry of the Interior with special service ranks for work in high-risk and work-related conditions of public health threat related to Covid-19 outbreak and consequences for the period from 1 December 2020 to 31 December 2020 shall be covered by LNG in 2021.</t>
  </si>
  <si>
    <t>To provide funding to the Ministry of the Interior in the amount of EUR 1,062,893, including EUR 748,953 to the State Police, EUR 6,143 to the State Police College, EUR 307,256 to the State Border Guard and EUR 541 to the State Border Guard College to cover expenses related to an official of the Ministry of the Interior special grades for overtime work (payment for the performance of duties in excess of the specified duty period) for the performance of emergency tasks to limit the spread of Covid-19 in accordance with the actual amount of overtime created in the period from 1 October 2020 to 31 December 2020. As well as expenses related to the bonus for officials for work in high-risk and high-risk work situations related to the public health threat related to the Covid-19 outbreak and consequences in the period from 1 December 2020 to 31 December 2020</t>
  </si>
  <si>
    <t>Cabinet Order No. 153 "On Allocation of Financial Funds from the State Budget Program "Contingency Funds""</t>
  </si>
  <si>
    <t>To cover expenditure related to the allowance for officials of subordinate institutions of the Ministry of the Interior with special service ranks for work in high-risk and high-risk public health situations related to the Covid-19 outbreak and consequences in the period from 1 January 2021 to 31 January 2021</t>
  </si>
  <si>
    <t>1. for the State Police - 783,325 euros;
2. for the State Police College - 18,372 euros;
3. for the State Border Guard - 333,963 euros;
4. For the State Border Guard College - 5,631 euros.</t>
  </si>
  <si>
    <t>Draft Order "On Allocation of Financial Resources from the State Budget Program 02.00.00 "Contingency Funds""</t>
  </si>
  <si>
    <t>Additional funding has been provided to ensure the development of national roads in the context of administrative-territorial reform</t>
  </si>
  <si>
    <t>The additional funding allocated by the draft order will be used for the development of state state roads in the context of administrative-territorial reform. The amount of funding of EUR 55,000,000 is based on cost estimates for technical documentation and indicative estimates of additional work.
Detailed calculations in the distribution of the implemented projects will be possible after the completion of the procurement tenders and the costs of the applications submitted by the applicants will be known. Thus, the cheaper the cost of the work, the more work will be possible.</t>
  </si>
  <si>
    <t>Additional funding for state roads</t>
  </si>
  <si>
    <t>For national road rehabilitation projects, the implementation term of which is 2021, providing funding not exceeding 100,000,000 euros, including not less than 27,000,000 euros for the development of roads necessary for the implementation of administrative-territorial reform.</t>
  </si>
  <si>
    <t>Funding for laboratory testing of samples taken from BIOR animal sheds for the detection of Covid-19</t>
  </si>
  <si>
    <t>Provide the Ministry of Agriculture with funding of up to EUR 37 316 to provide the National Scientific Institute for Food Safety, Animal Health and the Environment (BIOR) with laboratory testing of mink, other Mustelidae and raccoon dogs for Covid-19 infection, as well as for the sectioning and destruction of animal carcasses from 1 March to 31 December 2021.</t>
  </si>
  <si>
    <t>Support for young people to mitigate the effects of the Covid-19 pandemic</t>
  </si>
  <si>
    <t>The total funding to be allocated to project promoters for the implementation of activities is EUR 430,000, while a maximum of EUR 10,000 will be allocated for the implementation of one project. In addition, EUR 40 000 is earmarked for support measures, including educational measures, for youth workers and youth workers to ensure their knowledge and skills, incl. digital that are relevant in the current Covid-19 and post-pandemic conditions. The implementation of these support measures is planned to start from 1 April 2021. EUR 30 000 is intended for the administration of the program.</t>
  </si>
  <si>
    <t>Cabinet Order No. 86 "On Allocation of Financial Funds from the State Budget Program "Contingency Funds""</t>
  </si>
  <si>
    <t>Cabinet Order No. 108 "On Allocation of Financial Funds from the State Budget Program "Contingency Funds""</t>
  </si>
  <si>
    <t>On the allocation of financial resources from the state budget program "Funds for unforeseen events" developed with the aim to finance the State Revenue Service in order to ensure the necessary changes to the SRS information systems in relation to the support measures available to a higher taxpayer circle whose economic activities are limited Covid-19 crisis.</t>
  </si>
  <si>
    <t>Cabinet Order No. 110 "On Allocation of Financial Funds from the State Budget Program "Contingency Funds</t>
  </si>
  <si>
    <t>Cabinet Order No. 158 "On Allocation of Financial Funds from the State Budget Program "Contingency Funds</t>
  </si>
  <si>
    <t>Cabinet Order No. 83 "On Allocation of Financial Funds from the State Budget Program "Contingency Funds"</t>
  </si>
  <si>
    <t>High readiness projects related to overcoming the Covid-19 crisis and economic recovery</t>
  </si>
  <si>
    <t>Information report on high-preparedness projects related to the Covid-19 crisis management and economic recovery</t>
  </si>
  <si>
    <t>High readiness projects submitted by ministries related to overcoming the Covid-19 crisis and economic recovery</t>
  </si>
  <si>
    <t>Ministry of Foreign Affairs 1 100 000
Ministry of the Interior 27,300,000
Ministry of Education and Science 28,482,428
Ministry of Justice 5 460 000
Ministry of Environmental Protection and Regional Development 54,300,000
Ministry of Culture 22,467,737
Ministry of Health 18 200 000</t>
  </si>
  <si>
    <t>* Assessment of the Ministry of Finance according to the Treasury data, information received from the SRS, ALTUM, MoA</t>
  </si>
  <si>
    <t>Cabinet of Ministers order "On the allocation of financial resources from the state budget programme "Contingency funds""</t>
  </si>
  <si>
    <t>In order to provide for the idle allowance for each dependent child under the age of 24 who is subject to personal income tax relief on the date the idle allowance is granted, the one-month public expenditure that may result from the Covid-19 emergency is provisionally consists of: 45,000 * (employees) x 0.4 (average number of children in the family) x 50 euros (amount of supplement) = 900,000 euros per month. Payment for two months (paid to employees for the period from 9 November 2020 to 31 December 2020) = 900,000 x 2 = € 1,800,000.
In 2020, 450,000 euros were allocated from Contingency funds. In 2021, it is planned to redistribute 1,350,000 euros from Contingency funds, but on 1st April it was decided to allocate an additional EUR 2 161 200.</t>
  </si>
  <si>
    <t>Nacionāla mēroga vakcinācijas kompleksu darbībai</t>
  </si>
  <si>
    <t>Lai segtu izdevumus, kas pašvaldībām radušies 2021.gadā, nodrošinot nacionāla mēroga vakcinācijas kompleksu darbību</t>
  </si>
  <si>
    <t>Piešķirt Kultūras ministrijai (Rundāles pils muzejam) 539 777 euro Rundāles pils jumta pārbūves 4. kārtas pabeigšanai, lai Covid-19 krīzes seku pārvarēšanas un ekonomikas atlabšanas pasākumu ietvaros veiktu investīcijas kultūras infrastruktūrā</t>
  </si>
  <si>
    <t>Draft Order "On the Allocation of Financial Resources from the State Budget Program" Contingency Funds""</t>
  </si>
  <si>
    <t>In order to compensate for the non-receipt of security charges for the provision of oversight of aircraft safety and civil aviation security to the State Agency “Civil Aviation Agency"</t>
  </si>
  <si>
    <t>Allocate EUR 1 919 160 to the Ministry of Transport to compensate for the non-receipt of security charges for the provision of aircraft safety and civil aviation security oversight to the State Agency "Civil Aviation Agency"</t>
  </si>
  <si>
    <t>To ensure the operation of the telephone number "8989"</t>
  </si>
  <si>
    <t>To ensure demand and logistical handling of Covid-19 vaccines.</t>
  </si>
  <si>
    <t>For the operation of national vaccination complexes</t>
  </si>
  <si>
    <t>To cover the expenses incurred by local governments in 2021, ensuring the operation of national vaccination complexes</t>
  </si>
  <si>
    <t>"1. Financing not exceeding EUR 1 186 783 for the operation of the telephone number" 8989 ";
2. Financing of EUR 16 270 to cover the costs of operating the 8989 telephone number "</t>
  </si>
  <si>
    <t>Provide the Ministry of Health (National Health Service) with funding of up to  95,436 euro to ensure the demand and logistics processing of Covid-19 vaccines.</t>
  </si>
  <si>
    <t>Funding for the Ministry of Health (National Health Service) not exceeding EUR 1,036,913 to ensure the operation of national vaccination complexes</t>
  </si>
  <si>
    <t>Funding for the Ministry of Environmental Protection and Regional Development not exceeding EUR 4,550,616 to cover the expenses incurred by local governments in 2021, ensuring the operation of national vaccination complexes</t>
  </si>
  <si>
    <t>In order to provide a one-time allowance of EUR 300 for teachers and support staff, for the additional workload and increased workload for the acquisition of compulsory curricula during the Covid-19 pandemic</t>
  </si>
  <si>
    <t>1.1. EUR 1 112 087 for the Ministry of Education and Science (Resor 15);
1.2. EUR 14,874 to the Ministry of Agriculture (Resor 16);
1.3. EUR 1 584 for the Ministry of Welfare (Resor 18);
1.4. EUR 957 771 for the Ministry of Culture (Resor 22);
1.5. EUR 3 611 for the Ministry of Health (Resor 29);
1.6. EUR 27 541 - earmarked grant to local governments (Resor 62)</t>
  </si>
  <si>
    <t>Draft Order of the Cabinet of Ministers "On Allocation of Financial Funds from the State Budget Program "Funds for Contingencies""</t>
  </si>
  <si>
    <t>To ensure the allocation of funding to the Catholic Church Information Agency for the broadcasting of Easter services in commercial media</t>
  </si>
  <si>
    <t>To provide funding to the Ministry of Justice in the amount of EUR 27,891 to ensure the allocation of funding to the Catholic Church Information Agency for the provision of Easter worship in commercial media</t>
  </si>
  <si>
    <t>To cover expenditure related to the allowance for officials of subordinate institutions of the Ministry of the Interior with special service ranks for work in high-risk and high-risk public health situations related to the Covid-19 outbreak and consequences in the period from 1 February 2021 to 28 February 2021.</t>
  </si>
  <si>
    <t xml:space="preserve">
1. for the State Police - 463 522 euros;
2. State Police College - 504 euros;
3. for the State Border Guard - 309,267 euros;
4. State Border Guard College - 3,062 euros. </t>
  </si>
  <si>
    <t>Cabinet Order No.174 "On Allocation of Financial Funds from the State Budget Program "Contingency Funds""</t>
  </si>
  <si>
    <t>Cabinet Order No. 260 "On Allocation of Financial Resources from the State Budget Program "Contingency Funds"</t>
  </si>
  <si>
    <t>Draft Order of the Cabinet of Ministers "On Allocation of Financial Resources from the State Budget Program" Contingency Funds "</t>
  </si>
  <si>
    <t>Religious unions (churches) to provide crisis benefits to the clergy  of these religious unions (churches) and to reduce the damage caused by the spread of Covid-19 by compensating for utility bills</t>
  </si>
  <si>
    <t>Union of Latvian Baptist Churches "8,500 euros," Latvian Evangelical Lutheran Church "85,500 euros," Latvian New Apostolic Church "5,200 euros," Latvian Orthodox Autonomous Church under the jurisdiction of the Patriarchate of Constantinople "5,900 euros," Latvian Orthodox Church "41,000 euros, "Latvian Pentecostal Church Center" 8,100 euros, "Latvian Old Believers' Pomeranian Church" 15,000 euros, "Riga Jewish Religious Church" 7,000 euros, "Riga Metropolitan Roman Catholic Curriculum" 65,000 euros, "Liepaja Diocese of the Roman Catholic Church" 12,700 euro</t>
  </si>
  <si>
    <t>To allocate 539 777 euros to the Ministry of Culture (Rundāle Castle Museum) for the completion of the 4th phase of the Rundāle Castle roof reconstruction in order to invest in cultural infrastructure within the framework of Covid-19 crisis management and economic recovery measures</t>
  </si>
  <si>
    <t>To address the decline in shopping center revenue</t>
  </si>
  <si>
    <t>To compensate the decline in shopping center revenue</t>
  </si>
  <si>
    <t>SRS for overtime work</t>
  </si>
  <si>
    <t>The draft regulations of the Cabinet of Ministers stipulate that the amount of support is 15 euros for each m2 of the total area indicated in the cadastral survey file of the shopping center building, not exceeding the amount of the actual decrease in revenue. The support is granted by the Latvian Investment and Development Agency, taking into account that the amount of limited support to be granted within the framework of the Temporary Regulation to one company and a group of related persons does not exceed 1,800,000 euros. It is planned to support 33 shopping centers.</t>
  </si>
  <si>
    <t>In January and February 2021, 245 SRS employees performed overtime work and, ensuring the payment of support measures, worked 3,338 overtime hours, which cost a total of 76.998.30 euros (payment for overtime work and employer's mandatory state social insurance contributions).</t>
  </si>
  <si>
    <t>Costs by years are planned: 2020. 9.3 million euro (fact), 2021 75.9 million euro, 2022 162.1 million euro, 2023 188.2 million euro, 2024 63.2 million euro</t>
  </si>
  <si>
    <t>Finansējums Tieslietu ministrijai</t>
  </si>
  <si>
    <t>Piešķirt Tieslietu ministrijai finansējumu 150 000 euro apmērā (informācija IP).</t>
  </si>
  <si>
    <t>Piešķirt Iekšlietu ministrijai 2021.gadā finansējumu 298 180 euro apmērā, lai nodrošinātu epidemioloģiskās drošības prasību ievērošanu Valsts drošības dienesta darbībā</t>
  </si>
  <si>
    <t>Lai nodrošinātu epidemioloģiskās drošības prasību ievērošanu Valsts drošības dienesta darbībā</t>
  </si>
  <si>
    <t>19.01.2021 20.04.2021</t>
  </si>
  <si>
    <t>Lai nodrošinātu Covid-19 vakcīnas iegādi, loģistiku un ievadi</t>
  </si>
  <si>
    <t>MK rīk. Nr.266 "Par finanšu līdzekļu piešķiršanu no valsts budžeta programmas "Līdzekļi neparedzētiem gadījumiem""</t>
  </si>
  <si>
    <t>MK rīkojums Nr.221 "Par finanšu līdzekļu piešķiršanu no valsts budžeta programmas "Līdzekļi neparedzētiem gadījumiem""</t>
  </si>
  <si>
    <t>Rīkojums Nr.162 "Par apropriācijas palielināšanu Veselības ministrijai"</t>
  </si>
  <si>
    <t>Rīkojums Nr.173 "Par finanšu līdzekļu piešķiršanu no valsts budžeta programmas "Līdzekļi neparedzētiem gadījumiem""</t>
  </si>
  <si>
    <t>Rīkojums Nr.208 "Par finanšu līdzekļu piešķiršanu no valsts budžeta programmas "Līdzekļi neparedzētiem gadījumiem""</t>
  </si>
  <si>
    <t>MK rīk. Nr.176 "Par finanšu līdzekļu piešķiršanu no valsts budžeta programmas "Līdzekļi neparedzētiem gadījumiem""</t>
  </si>
  <si>
    <t>Apgrozāmo līdzekļu aizdevums:
– komersantiem, lauksaimniekiem un zivsaimniekiem, kuru darbību ietekmējusi Covid-19;
– līdz 1 milj. EUR ar termiņu līdz 3 gadiem.</t>
  </si>
  <si>
    <t>Rīkojums Nr.103 "Par akciju sabiedrības "Attīstības finanšu institūcija Altum" rezerves kapitāla palielināšanu"</t>
  </si>
  <si>
    <t>Rīkojums Nr.235 "Par finanšu līdzekļu piešķiršanu no valsts budžeta programmas "Līdzekļi neparedzētiem gadījumiem""</t>
  </si>
  <si>
    <t>Noteikumi Nr.299 "Noteikumi Covid-19 krīzes skartajiem tirdzniecības centriem nomas ieņēmumu krituma kompensācijai"</t>
  </si>
  <si>
    <t>Rīkojums Nr.248 "Par finanšu līdzekļu piešķiršanu no valsts budžeta programmas "Līdzekļi neparedzētiem gadījumiem""</t>
  </si>
  <si>
    <t>Rīkojums Nr.54 "Par finansējuma sadalījumu pašvaldībām Covid-19 izraisītās krīzes pārvarēšanas un seku novēršanas pasākumu īstenošanai"</t>
  </si>
  <si>
    <t>Noteikumi Nr.86 "Atbalsts mākslas, izklaides un atpūtas nozaru komersantiem, kuru darbību ietekmējusi Covid-19 izplatība"</t>
  </si>
  <si>
    <t xml:space="preserve">MK rīkojums Nr.217 "Par finanšu līdzekļu piešķiršanu no valsts budžeta programmas "Līdzekļi neparedzētiem gadījumiem" </t>
  </si>
  <si>
    <t>Rīkojums Nr.160 "Par finanšu līdzekļu piešķiršanu no valsts budžeta programmas "Līdzekļi neparedzētiem gadījumiem""</t>
  </si>
  <si>
    <t>Rīkojums Nr.237 "Par finanšu līdzekļu piešķiršanu no valsts budžeta programmas 02.00.00 "Līdzekļi neparedzētiem gadījumiem""</t>
  </si>
  <si>
    <t>Rīkojums Nr.182 "Par finanšu līdzekļu piešķiršanu no valsts budžeta programmas 02.00.00 "Līdzekļi neparedzētiem gadījumiem""</t>
  </si>
  <si>
    <t>MK rīkojums Nr.219 "Par finanšu līdzekļu piešķiršanu no valsts budžeta programmas "Līdzekļi neparedzētiem gadījumiem""</t>
  </si>
  <si>
    <t>Rīkojums Nr.236 "Par finanšu līdzekļu piešķiršanu no valsts budžeta programmas "Līdzekļi neparedzētiem gadījumiem""</t>
  </si>
  <si>
    <t>Rīkojums Nr.186 "Par finanšu līdzekļu piešķiršanu no valsts budžeta programmas "Līdzekļi neparedzētiem gadījumiem""</t>
  </si>
  <si>
    <t>Rīkojums Nr.161 "Par finanšu līdzekļu piešķiršanu no valsts budžeta programmas "Līdzekļi neparedzētiem gadījumiem""</t>
  </si>
  <si>
    <t>15.12.2020. 16.02.2021</t>
  </si>
  <si>
    <t>Rīkojums Nr.91 "Par finanšu līdzekļu piešķiršanu no valsts budžeta programmas "Līdzekļi neparedzētiem gadījumiem""</t>
  </si>
  <si>
    <t>Rīkojums Nr.247 "Par finanšu līdzekļu piešķiršanu no valsts budžeta programmas "Līdzekļi neparedzētiem gadījumiem""</t>
  </si>
  <si>
    <t>Apstiprin. plāna ietekme</t>
  </si>
  <si>
    <t>Apstiprinātais plāns</t>
  </si>
  <si>
    <t>Lai atbalstītu ģimenei draudzīgas vides veidošanu un īstenotu atklātu projektu pieteikumu konkursu nevalstiskajām organizācijām</t>
  </si>
  <si>
    <t>Pārdale 330 000 euro apmērā no budžeta resora "74. Gadskārtējā valsts budžeta izpildes procesā pārdalāmais finansējums" programmas 11.00.00 "Demogrāfijas pasākumi" uz Sabiedrības integrācijas fonda programmu 01.00.00 "Sabiedrības integrācijas fonda vadība", lai atbalstītu ģimenei draudzīgas vides veidošanu un īstenotu atklātu projektu pieteikumu konkursu nevalstiskajām organizācijām, tādējādi mazinot Covid-19 pandēmijas sekas, kas izraisījušas negatīvas izmaiņas ģimenēs</t>
  </si>
  <si>
    <t>Kultūras pasākumu rīkotājiem nodrošināt biļešu kompensāciju 80 % apmērā</t>
  </si>
  <si>
    <t>Lai atbilstoši mērķprogrammas 2.kārtas rezultātiem kultūras pasākumu rīkotājiem nodrošinātu biļešu kompensāciju 80% apmērā par ārkārtējās situācijas laikā atceltajiem pasākumiem, nepieciešams finansējums 354 013 euro apmērā, no kuriem 166 864 euro apmērā kompensācija tiks sniegta no mērķprogrammas 1.kārtā piešķirtā finansējuma atlikuma, bet iztrūkstošo summu 187 149 euro apmērā nepieciešams pārdalīt no budžeta programmas 02.00.00 „Līdzekļi neparedzētiem gadījumiem”.</t>
  </si>
  <si>
    <t>Lai nodrošinātu nepieciešamo izmaiņu veikšanu Valsts ieņēmumu dienesta informācijas sistēmās saistībā ar pieņemtajiem lēmumiem Covid-19 pandēmijas izraisītās krīzes atbalsta pasākumu ieviešanai</t>
  </si>
  <si>
    <t>Piešķirt Finanšu ministrijai (Valsts ieņēmumu dienestam) finansējumu ne vairāk kā 390 000 euro apmērā, lai nodrošinātu nepieciešamo izmaiņu veikšanu Valsts ieņēmumu dienesta informācijas sistēmās saistībā ar pieņemtajiem lēmumiem Covid-19 pandēmijas izraisītās krīzes atbalsta pasākumu ieviešanai un saistībā ar Saeimā 2021. gada 18. martā pieņemto likumu "Grozījumi Covid-19 infekcijas izplatības seku pārvarēšanas likumā"</t>
  </si>
  <si>
    <t>Laika periodam no 2021.gada 1.decembra līdz 2021.gada 31.martam – 69 341 604 euro apmērā, tai skaitā ik mēnesi 23 113 868 euro apmērā. finansējums 23 023 910 euro apmērā novizīts citām piemaksām</t>
  </si>
  <si>
    <t>Rīkojums Nr.267 "Par finanšu līdzekļu piešķiršanu no valsts budžeta programmas "Līdzekļi neparedzētiem gadījumiem""</t>
  </si>
  <si>
    <t>Noteikumu projekts "Atbalsta Covid-19 krīzes skartajiem sporta centriem noteikumi"</t>
  </si>
  <si>
    <t>Lai nodrošinātu atbalstu komersantiem, kuru īpašumā ir sporta centri</t>
  </si>
  <si>
    <t>18.03.2021 29.04.2021</t>
  </si>
  <si>
    <t>Aizņēmumu limita izmantošana pašvaldību investīciju projektu īstenošanai</t>
  </si>
  <si>
    <t>No 12.03.2020. līdz 31.12.2020. tika piešķirti termiņa pagarinājumi par kopējo summu 312 milj.  euro t.sk.
• saskaņā ar likuma “Par nodokļiem un nodevām” 24.panta pirmās daļas 1. un 3.punktu 82,9 milj.  euro;
• saskaņā ar likuma “Par nodokļiem un nodevām” 24.panta  4.punktu (nepārvarama vara) 67,1 milj. euro;
• saskaņā ar likumu "Par valsts apdraudējuma un tā seku novēršanas un pārvarēšanas pasākumiem sakarā ar Covid-19 izplatību" vai Covid-19 infekcijas izplatības seku pārvarēšanas likumu" 162 milj. euro (t.sk. VSAOI iemaksas 2.pensiju līmenī).</t>
  </si>
  <si>
    <t>Slimnīcu pamatkapitāla palielināšana medicīniskā aprīkojuma iegādei.</t>
  </si>
  <si>
    <t>Valsts sabiedrības ar ierobežotu atbildību "PaulaStradiņa klīniskā universitātes slimnīca" pamatkapitālapalielināšanu, ieguldot tajā finanšu līdzekļus 6 100 000 euro apmērā, un valsts sabiedrības arierobežotu atbildību "Bērnu klīniskā universitātes slimnīca"pamatkapitāla palielināšanu, ieguldot tajā finanšu līdzekļus 120850 euro apmērā ambulatorā korpusa.</t>
  </si>
  <si>
    <r>
      <t xml:space="preserve">57,6 milj.  euro ir VB finansējums (PSKUS A2 korpusa pilnas funkcionalitātes nodrošināšana – 20 milj.,  PSKUS 15., 4., 24., 25.korpusu renovācija 15,6 milj., BKUS ambulatorais korpuss ar uzņemšanu un observācijas nodaļu 10,2 milj., Daugavpils, Valmieras, Liepājas, Rēzeknes, Ventspils reģionālo slimnīcu intensīvo terapijas nodaļu paplašināšanai, izolācijas boksu izveidei, pacientu plūsmu nodalīšanai  15 milj.). </t>
    </r>
    <r>
      <rPr>
        <b/>
        <sz val="11"/>
        <rFont val="Calibri"/>
        <family val="2"/>
        <scheme val="minor"/>
      </rPr>
      <t xml:space="preserve">Daļa finansējuma segta no virssaistībām (16,4 milj. eiro). Ietekme precizēta atbilstoši MK 02.09.2020. Informatīvajam ziņojumam "Par pasākumiem Covid-19 krīzes pārvarēšanai un ekonomikas atlabšanai 2020. un 2021.gadam" .  Ar MK 16.09.2020. rīkojumu Nr.509 piešķirti 2 086 759  euro. 1.  Informatīvais ziņojums "Par pasākumiem Covid-19 krīzes pārvarēšanai un ekonomikas atlabšanai" (MK 02.06.2020. sēdes prot. Nr.38 49.§); 2. Informatīvais ziņojums "Par pasākumiem Covid-19 krīzes pārvarēšanai un ekonomikas atlabšanai" (MK 02.09.2020. sēdes prot. Nr.51 55.§); 3. Informatīvais ziņojums "Par priekšlikumiem valsts budžeta ieņēmumiem un izdevumiem 2021.gadam un ietvaram 2021.-2023.gadam"(MK 22.09.2020. sēdes prot. Nr.55 38.§ 33.punkts) . </t>
    </r>
    <r>
      <rPr>
        <b/>
        <sz val="11"/>
        <color rgb="FFFF0000"/>
        <rFont val="Calibri"/>
        <family val="2"/>
        <charset val="186"/>
        <scheme val="minor"/>
      </rPr>
      <t>2021.gada finansējums VM budžeta bāzes izdevumos.</t>
    </r>
  </si>
  <si>
    <t xml:space="preserve">MK rīkojums Nr. 279 "Par finanšu līdzekļu piešķiršanu no valsts budžeta programmas "Līdzekļi neparedzētiem gadījumiem"" </t>
  </si>
  <si>
    <t>Rīkojums Nr.280 "Par apropriācijas pārdali no budžeta resora "74. Gadskārtējā valsts budžeta izpildes procesā pārdalāmais finansējums" programmas 11.00.00 "Demogrāfijas pasākumi"uz Sabiedrības integrācijas fonda budžetu"</t>
  </si>
  <si>
    <t>Naudas plūsmas deficīts 2020.gadā veido 27,54 miljoni EUR, savukārt naudas plūsmas deficīts uz 2021.gada beigām veido 49,42 miljoni EUR, kas ir arī uzskatāma par nepieciešamo minimālo valsts atbalsta finansējumu, kas nosedz naudas plūsmas deficītu. Apropriācijas palielināšana iespējama tikai pēc EK saskaņojuma saņemšanas. Finansējumu 2020. gadā nepaspēs izlietot, būs nepieciešams 2021. gadā. Atbilstoši EK lēmumam tiks piešķirti 35 230 000 eiro.</t>
  </si>
  <si>
    <t>No 2021. gada 1. marta līdz 2021. gada 31. martam, tai skaitā:
1. Valsts policijai – 479 698 euro;
2. Valsts policijas koledžai – 13 412 euro;
3. Valsts robežsardzei – 349 781 euro; 
4. Valsts robežsardzes koledžai – 7 850 euro.</t>
  </si>
  <si>
    <t>Piemaksas Iekšlietu ministrijas padotības iestāžu amatpersonām ar speciālajām dienesta pakāpēm par darbu paaugstināta riska un slodzes apstākļos laikposmā no 2021. gada 1. marta līdz 2021. gada 31. martam</t>
  </si>
  <si>
    <t>Lai kompensētu atbildīgajām institūcijām samaksu par ārstniecības personu un pārējo nodarbināto virsstundu darbu</t>
  </si>
  <si>
    <t>1. Nacionālajam veselības dienestam – 3 051 121 euro, lai  nodrošinātu samaksu ārstniecības iestādēm (2 982 875 euro) par laikposmu no 2020. gada 9. novembra līdz 2020. gada 31. decembrim un samaksu Nacionālā veselības dienesta darbiniekiem (68 246 euro) par laikposmu no 2020. gada 1. decembra līdz 2021. gada 28. februārim;
2. Neatliekamās medicīniskās palīdzības dienestam – 358 845 euro par laikposmu no 2020. gada 1. decembra līdz 2021. gada 28. februārim;
3. Slimību profilakses un kontroles centram – 253 554 euro par laikposmu no 2020. gada 1. decembra līdz 2021. gada 28. februārim.</t>
  </si>
  <si>
    <t>14.01.2021 18.05.2021</t>
  </si>
  <si>
    <t>On supported municipal investment projects for granting state loans to mitigate and prevent the consequences of the crisis caused by Covid-19</t>
  </si>
  <si>
    <t>Use of the loan limit for the implementation of municipal investment projects</t>
  </si>
  <si>
    <t>Based on the Cabinet of Ministers Regulation No. 104 "Regulations on the Criteria and Procedures for Evaluating and Issuing State Loans to Municipalities for Mitigation and Prevention of the Covid-19 Crisis" point nr. 7, lists of investment projects submitted by municipalities for granting state loans for mitigation and prevention of the Covid-19 crisis are regularly approved</t>
  </si>
  <si>
    <t>Cabinet Order No. 508 On Increasing the Appropriation for the Ministry of Health</t>
  </si>
  <si>
    <t>Increasing the share capital of hospitals for the purchase of medical equipment.</t>
  </si>
  <si>
    <t>Increase of the share capital of the State Limited Liability Company "Paula Stradiņš Clinical University Hospital" by investing financial resources in the amount of EUR 6 100 000 and increase of the share capital of the State Limited Liability Company "Children's Clinical University Hospital" by investing financial resources in the amount of EUR 120 850.</t>
  </si>
  <si>
    <t xml:space="preserve"> for Covid 19 crisis management and economic recovery, including health infrastructure, e-health and the development of rapid molecular diagnostic equipment</t>
  </si>
  <si>
    <t>Cabinet of Ministers order No. 266 "On Allocation of Financial Resources from the State Budget Program "Contingency Funds""</t>
  </si>
  <si>
    <t>To ensure the purchase, logistics and administration of Covid-19 vaccine</t>
  </si>
  <si>
    <t xml:space="preserve">To provide the Ministry of Health with funding of up to EUR 52 247 703 to strengthen the capacity and sustainability of the health sector, of which:
1. Funding for the National Health Service not exceeding EUR 52,087,557, of which:
1.1. EUR 51 027 000 to cover the purchase, logistics and administration of Covid-19 vaccine;
1.2. EUR 640 000 for a supplement to family-doctors for the achievement of Covid-19 vaccination coverage in the group of senior and chronic patients;
1.3. EUR 2 057 to provide adrenaline injections;
1.4. EUR 418 500 to provide communication measures on vaccination.
2. The Emergency Medical Service in the amount of EUR 160 146 for the provision of emergency medical care to persons in case of complications (side effects) caused by vaccination. </t>
  </si>
  <si>
    <t>Allocate EUR 101 851 201 to the Ministry of Health to cover the purchase, logistics and administration of Covid-19 vaccine (non-redistributed part)</t>
  </si>
  <si>
    <t>In order to provide bonuses from 1 April 2021 to 30 June 2021 and holiday reserve accumulation in accordance with the calculated amount of bonuses from 1 January 2021 to 30 June 2021</t>
  </si>
  <si>
    <t>to allocate funding to the Ministry of Health not exceeding 54,650,795 euros to ensure allowances from 1 April 2021 to 30 June 2021 and holiday reserve accumulation in accordance with the calculated amount of allowances from 1 January 2021 to 30 June 2021 for medical practitioners and other employees of the responsible institutions on work in a high-risk and stress-exposed public health situation in connection with the Covid-19 outbreak and its consequences</t>
  </si>
  <si>
    <t>In order to ensure the necessary changes in the information systems of the State Revenue Service in connection with the decisions taken for the implementation of crisis support measures caused by the Covid-19 pandemic</t>
  </si>
  <si>
    <t>To provide the Ministry of Finance (State Revenue Service) with funding in the amount of not more than 390,000 euros to ensure the necessary changes in the State Revenue Service information systems in connection with the decisions taken to implement crisis support measures caused by the Covid-19 pandemic and in connection with Law "Amendments to the Law on Coping with the Consequences of Covid-19 Infection"</t>
  </si>
  <si>
    <t>Draft Regulations "Regulations on Support for Covid-19 Crisis-Affected Sports Centers"</t>
  </si>
  <si>
    <t>To provide support to  sports centers businesses</t>
  </si>
  <si>
    <t xml:space="preserve">According to the data provided by the sports industry, there are 109 sports centers with an area of more than 500 m2, while the total indoor area is about 320,000 m2.
the total support for sports centers is EUR 25 * 320 000 = EUR 8 000 000. </t>
  </si>
  <si>
    <t>Draft Order "On the Allocation of Financial Resources from the State Budget Program" Contingency Funds ""</t>
  </si>
  <si>
    <t>To ensure compliance with epidemiological safety requirements in the operation of the State Security Service</t>
  </si>
  <si>
    <t>To allocate funding in the amount of 298,180 euros to the Ministry of the Interior in 2021 in order to ensure compliance with epidemiological security requirements in the operation of the State Security Service</t>
  </si>
  <si>
    <t>Draft Order "On Redistribution of Appropriations from the Budget Department" 74 Redistribution of Funding in the Annual State Budget Execution Process "Program 11.00.00" Demographic Measures "to the Budget of the Society Integration Fund"</t>
  </si>
  <si>
    <t>To support the creation of a family-friendly environment and to implement an open project application competition for non-governmental organizations</t>
  </si>
  <si>
    <t>Redistribution in the amount of EUR 330,000 from the budget department "74 Redistribution in the Process of Execution of the State Budget" program 11.00.00 "Demographic Measures" to the program of the Society Integration Fund 01.00.00 "Management of the Society Integration Fund" to support the creation of a family-friendly environment and open call for proposals for NGOs, thus mitigating the effects of the Covid-19 pandemic, which has led to negative changes in families</t>
  </si>
  <si>
    <t>Draft Order "On the Allocation of Financial Resources from the State Budget Program "Contingency Funds"</t>
  </si>
  <si>
    <t>Provide 80% ticket compensation for cultural event organizers</t>
  </si>
  <si>
    <t>In accordance with the results of the 2nd round of the target program, in order to provide 80% compensation to the organizers of cultural events for the cancellations during the emergency, EUR 354 013 is needed, of which EUR 166 864 will be reimbursed from the first round of the target program An amount of EUR 187 149 needs to be redeployed from the budget program 02.00.00 "Contingency funds".</t>
  </si>
  <si>
    <t>Order No. 54 "On the Distribution of Funding to Local Governments for the Implementation of Covid-19 Crisis Management and Consequence Prevention Measures"</t>
  </si>
  <si>
    <t>Order No. 248 "On Allocation of Financial Resources from the State Budget Program" Contingency Funds ""</t>
  </si>
  <si>
    <t>Regulation No. 299 "Regulations for Covid-19 crisis-affected shopping centers to compensate for the decrease in rental income"</t>
  </si>
  <si>
    <t>Order No. 235 "On the Allocation of Financial Resources from the State Budget Program" Contingency Funds ""</t>
  </si>
  <si>
    <t>Funding for the Ministry of Justice</t>
  </si>
  <si>
    <t>Order No. 267 "On the Allocation of Financial Resources from the State Budget Program" Contingency Funds ""</t>
  </si>
  <si>
    <t>Provide € 150,000 funding to the Ministry of Justice</t>
  </si>
  <si>
    <t>MoF Economic Analysis Department, 23rd May 2021</t>
  </si>
  <si>
    <t>Actual performance in 2021 until 23.05.2021, mln. euro</t>
  </si>
  <si>
    <t>Actual support in 2021 until 23.05.2021, mln. euro</t>
  </si>
  <si>
    <t>The cash flow deficit in 2020 amounts to EUR 27.54 million, while the cash flow deficit at the end of 2021 amounts to EUR 49.42 million, which is also considered to be the required minimum state aid funding to cover the cash flow deficit. An increase in the appropriation is possible only after EC approval. Funding will not be used in 2020, it will be necessary in 2021. EC decission for EUR 35.2 million.</t>
  </si>
  <si>
    <t>In order to provide allowances to medical practitioners and other employees of the responsible institutions</t>
  </si>
  <si>
    <t>Overtime pay for municipal police officers</t>
  </si>
  <si>
    <t>Allowances for officials of institutions subordinate to the Ministry of the Interior with special service ranks for work in conditions of increased risk and workload in the period from 1 March 2021 to 31 March 2021</t>
  </si>
  <si>
    <t xml:space="preserve">Veselības ministrijai (Nacionālajam veselības dienestam) informēt Eiropas Komisiju par Latvijas interesi 2022. gadā iegādāties Janssen izstrādātās vakcīnas pret Covid-19 </t>
  </si>
  <si>
    <t>Informatīvais ziņojums "Par vakcīnām pret Covid-19"</t>
  </si>
  <si>
    <t>MK Noteikumu projekta ietvaros uz atbalstu varētu pretendēt 110 tūkstoši uzņēmumu, kuru kopējais mēneša bruto algas fonds ir 256.9 milj. euro. Ņemot vērā ierobežojumus par 20% kritumu, pieredzi, ka parasti piesakās mazāks skaits nekā sākotnēji plānots, kā arī ierobežojumu saņemt ne vairāk kā 50 tūkstošus euro, Ekonomikas ministrijai ir pieņēmums ir ka programma ieviešanai varētu būt kopā nepieciešami 70,8 milj. euro. Atbalstu varēs saņemt tāds uzņēmums, kuram ne tikai atbalsta perioda mēnesī (2020. gada novembrī vai decembrī) apgrozījums ir krities vismaz par 20 %, salīdzinot ar vidējo apgrozījumu 2020. gada augustā, septembrī un oktobrī kopā, bet arī atbalsta perioda noteiktā mēnesī (2020.gada novembrī vai decembrī) ir apgrozījuma kritums vismaz par 30 %, salīdzinot ar apgrozījumu 2019. gada attiecīgajā mēnesī (2019.gada novembrī vai decembrī). 07.01.2021. izmaiņas nosaka,ka  atbalstu varēs saņemt tāds uzņēmums, kura atbalsta perioda mēnesī (nevis 2020.gada novembrī vai decembrī) apgrozījums ir krities vismaz par 20 %, salīdzinot ar vidējo apgrozījumu 2020. gada augustā, septembrī un oktobrī kopā, un kuram atbalsta perioda mēnesī (nevis 2020.gada novembrī vai decembrī) apgrozījums ir krities vismaz par 30 %, salīdzinot ar apgrozījumu 2019. gada attiecīgajā mēnesī. Atbalsts pagarināts līdz 30.jūnijam 2021, paredzot papildus 50 milj. eiro</t>
  </si>
  <si>
    <t>Lai nodrošinātu atbalstu bērnu un jauniešu vasaras nometņu organizēšanai Covid-19 pandēmijas laikā.</t>
  </si>
  <si>
    <t>Lai nodrošinātu atbalstu supervīzijām pedagogiem Covid-19 pandēmijas laikā.</t>
  </si>
  <si>
    <t>1. Dienas nometņu īstenošanai– 2 194 500,00 euro (aptuveni 23100 bērni x vidēji 5 dienas x 19 euro);
2. Atbalstam nometņu programmas administrēšanai – 8 005 euro (3 darbinieki * ar vidējo atlīdzību 1 482,26 euro * 30% piemaksa * 6 mēneši).</t>
  </si>
  <si>
    <t>Piešķirt Izglītības un zinātnes ministrijai  825 000 euro atbalstam supervīzijām pedagogiem Covid-19 pandēmijas radīto seku mazināšanai (5500 supervīzijas x 150 euro)</t>
  </si>
  <si>
    <t>08.04.2021 27.05.2021</t>
  </si>
  <si>
    <t>1. Nacionālajam veselības dienestam par periodu 2021.gada janvāris – februāris 7 799 830 euro apmērā, tai skaitā:
1.1. par ambulatorajiem veselības aprūpes pakalpojumiem 4 535 808 euro;
1.2.par stacionārajiem veselības aprūpes pakalpojumiem 2 757 850 euro;
1.3. par laboratorisko izmeklējumu organizēšanu 465 262 euro;
1.4. par transporta pakalpojumiem 40 910 euro.
2. Neatliekamās medicīniskās palīdzības dienestam par periodu 2021.gada februāris – marts 105 625 euro apmērā dezinfekcijas un individuālo aizsardzības līdzekļu iegādei.</t>
  </si>
  <si>
    <t>1. ambulatorās rehabilitācijas nodrošināšanai – ne vairāk kā 26 682 euro;
2. dienas stacionāra rehabilitācijas nodrošināšanai – ne vairāk kā 411 251 euro;
3. subakūtās rehabilitācijas nodrošināšanai stacionārā, tai skaita, papildu skābekļa atbalstam – ne vairāk kā 1 508 199 euro.</t>
  </si>
  <si>
    <t>Lai nodrošinātu rehabilitācijas pakalpojumus pacientiem pēc pārslimota Covid-19</t>
  </si>
  <si>
    <t>Ambulatorajiem, stacionārajiem veselības aprūpes pakalpojumiem, laboratorisko izmeklējumu organizēšanai un dezinfekcijas, individuālo aizsardzības līdzekļu iegādei</t>
  </si>
  <si>
    <t>1.2. 11 450 695 euro, lai kompensētu reģionālās nozīmes pārvadājumos ar autobusiem un vilcieniem radušos zaudējumus sakarā ar Covid-19 infekcijas izplatības ierobežošanai noteiktajiem drošības un sociālās distancēšanās pasākumiem sabiedriskajā transportā ārkārtējās situācijas laikā, kā arī ārkārtējās situācijas seku mazināšanai 2021. gada 1. pusgadā; 
1.3. 1224 euro, lai kompensētu valsts sabiedrības ar ierobežotu atbildību "Autotransporta direkcija" izdevumus saistībā ar pasažieru pārvadājumu pakalpojumu nodrošināšanu personām, kas ierodas no ārvalstīm ar repatriācijas reisiem.</t>
  </si>
  <si>
    <t>Nodrošinot atbalstu psihiskās veselības veicināšanas pasākumiem skolās Covid-19 pandēmijas radīto seku mazināšanai</t>
  </si>
  <si>
    <t>Piešķirt Izglītības un zinātnes ministrijai  372 000 euro atbalstam psihiskās veselības veicināšanas pasākumiem skolās Covid-19 pandēmijas radīto seku mazināšanai</t>
  </si>
  <si>
    <t>1.1. 11 556 824 euro Izglītības un zinātnes ministrijai (62.resors);
1.2. 682 804 euro Izglītības un zinātnes ministrijai (15.resors);
1.3. 2 602 euro Zemkopības ministrijai;
1.4. 2 278 euro Labklājības ministrijai;
1.5. 67 368 euro Kultūras ministrijai.</t>
  </si>
  <si>
    <t>Ministru kabineta 2021.gada 11.janvāra rīkojums Nr.13 "Par finanšu līdzekļu piešķiršanu no valsts budžeta programmas "Līdzekļi neparedzētiem gadījumiem"</t>
  </si>
  <si>
    <t>Ministru kabineta 2021. gada 11. janvāra rīkojums Nr. 15  "Par finanšu līdzekļu piešķiršanu no valsts budžeta programmas  "Līdzekļi neparedzētiem gadījumiem""</t>
  </si>
  <si>
    <t>Ministru kabineta 2021. gada 1. marta rīkojums Nr. 130 "Par finanšu līdzekļu piešķiršanu no valsts budžeta programmas "Līdzekļi neparedzētiem gadījumiem""</t>
  </si>
  <si>
    <t>Grozījumi Ministru kabineta 2020.gada 23.aprīļa rīkojumā Nr.219 "Par valsts akciju sabiedrības "Starptautiskā lidosta "Rīga"" pamatkapitāla palielināšanu</t>
  </si>
  <si>
    <t>23.04.2020 01.06.2021</t>
  </si>
  <si>
    <t>Piešķirt Finanšu ministrijai (Valsts ieņēmumu dienestam)  finansējumu 113 074 euro apmērā, lai nodrošinātu samaksu par virsstundu darbu atbilstoši faktiskajam virsstundu apjomam laikposmā no 2021. gada 1. marta līdz 2021. gada 30. aprīlim Valsts ieņēmumu dienesta nodarbinātajiem, kuri nodrošina atbalsta izmaksu Covid-19 krīzes skartajiem uzņēmumiem</t>
  </si>
  <si>
    <t>Lai kompensētu reģionālās nozīmes pārvadājumos ar autobusiem un vilcieniem radušos zaudējumus sakarā ar Covid-19 infekcijas izplatības ierobežošanai noteiktajiem drošības un sociālās distancēšanās pasākumiem sabiedriskajā transportā ārkārtējās situācijas laikā, kā arī ārkārtējās situācijas seku mazināšanai 2021. gada 1. pusgadā</t>
  </si>
  <si>
    <t>Rīkojums Nr.342 "Par finanšu līdzekļu piešķiršanu no valsts budžeta programmas 02.00.00 "Līdzekļi neparedzētiem gadījumiem”</t>
  </si>
  <si>
    <t>MK rīkojums Nr.175 Par atbalstītajiem pašvaldībuinvestīciju projektiem valsts aizdevumu piešķiršanai Covid-19izraisītās krīzes seku mazināšanai un novēršanai</t>
  </si>
  <si>
    <t>MK rīkojums Nr.300 Par atbalstītajiem pašvaldībuinvestīciju projektiem valsts aizdevumu piešķiršanai Covid-19izraisītās krīzes seku mazināšanai un novēršanai</t>
  </si>
  <si>
    <t>MK rīkojums Nr.357 Par atbalstītajiem pašvaldībuinvestīciju projektiem valsts aizdevumu piešķiršanai Covid-19izraisītās krīzes seku mazināšanai un novēršanai</t>
  </si>
  <si>
    <t>1.1. 2021. gadā - 17 402 048,79 euro apmērā no likuma"Par valsts budžetu 2021.gadam" 12. panta trešajā daļā minētā pašvaldību aizņēmumu palielinājuma 150 000 000 euroapmērā;
1.2. 2022. gadā - 5 183 347,52 euro apmērā no likuma"Par vidēja termiņa budžeta ietvaru 2021., 2022. un 2023. gadam" 14. pantā noteiktā pašvaldību kopējo aizņēmumu palielinājuma 118138 258 euro apmērā.</t>
  </si>
  <si>
    <t>1.1. 2021. gadā - 10 833 107,59 euro apmērā no likuma"Par valsts budžetu 2021. gadam" 12. panta trešajā daļā minētā pašvaldību aizņēmumu palielinājuma 150 000 000 euroapmērā;
1.2. 2022. gadā - 3 186 226,46 euro apmērā no likuma"Par vidēja termiņa budžeta ietvaru 2021., 2022. un 2023. gadam" 14. pantā noteiktā pašvaldību kopējo aizņēmumu palielinājuma 118138 258 euro apmērā.</t>
  </si>
  <si>
    <t>1.1. 2021. gadā - 7 106 436,78 euro apmērā no likuma"Par valsts budžetu 2021. gadam" 12. panta trešajā daļā minētā pašvaldību aizņēmumu palielinājuma 150 000 000 euroapmērā;
1.2. 2022. gadā - 1 880 375,75 euro apmērā no likuma"Par vidēja termiņa budžeta ietvaru 2021., 2022. un 2023. gadam" 14. pantā noteiktā pašvaldību kopējo aizņēmumu palielinājuma 118138 258 euro apmērā.</t>
  </si>
  <si>
    <r>
      <t xml:space="preserve">Atbilstoši informatīvā ziņojuma “Veselības nozares kapacitātes celšana un noturības stiprināšana Covid-19 apstākļos Latvijā” pielikumā ietverto pasākumu īstenošanai nepieciešams papildus valsts budžeta finansējums 244 578 642 euro apmērā (MK 08.12.2020. sēdes prot. Nr.81 7.§). Savukārt finansējums 56 782 929 euro apmērā ir iekļauts  MK noteikumu “Grozījumi Ministru kabineta 2018.gada 28.augusta noteikumos Nr.555 “Veselības aprūpes pakalpojumu organizēšanas un samaksas kārtība”” anotācijā (MK 17.12.2020. sēdes prot. Nr.84. 78.§), finansējums 341 069 euro ir iekļauts  MK 5.01.2021. rīkojuma Nr.2 “Par finanšu līdzekļu piešķiršanu no valsts budžeta programmas “Līdzekļi neparedzētiem gadījumiem” 1.15.apakšpunktā un finansējums 3 545 726 euro ir iekļauts MK 19.01.2021. rīkojuma Nr.5 “Par finanšu līdzekļu piešķiršanu no valsts budžeta programmas “Līdzekļi neparedzētiem gadījumiem”” (prot. Nr.7 5.§).  Ņemot vērā minēto, ailē “Apstiprinātais atbalsts, milj. euro” jānorāda 97 248 378 euro (244 578 642 -56 782 929 – 341 069 – 3 545 726 -21 617 592 - 65 042 948 = 97 248 378). </t>
    </r>
    <r>
      <rPr>
        <sz val="11"/>
        <rFont val="Calibri"/>
        <family val="2"/>
        <charset val="186"/>
        <scheme val="minor"/>
      </rPr>
      <t>Atlikums 97,2 milj. eiro, tostarp iespējams 42,97 (iepriekš 51,3) milj. eiro tiks finansēts no ES fondiem. 32,521474 milj. eiro no 17.12.2020. MK lēmuma.</t>
    </r>
  </si>
  <si>
    <t>MK rīkojums Nr.320 "Par finanšu līdzekļu piešķiršanu no valsts budžeta programmas "Līdzekļi neparedzētiem gadījumiem""</t>
  </si>
  <si>
    <t>MK rīkojums Nr.321 "Par finanšu līdzekļu piešķiršanu no valsts budžeta programmas "Līdzekļi neparedzētiem gadījumiem""</t>
  </si>
  <si>
    <t xml:space="preserve">MK rīkojums Nr. 270 "Par finanšu līdzekļu piešķiršanu no valsts budžeta programmas "Līdzekļi neparedzētiem gadījumiem"" </t>
  </si>
  <si>
    <t>Atbalsts bērna vecākam, aizbildnim, audžuģimenei vai ilgstošas sociālās aprūpes un sociālās rehabilitācijas institūcijas vadītājam 500 euro apmērā par katru bērnu</t>
  </si>
  <si>
    <t>Kopējais prognozējamais bērnu skaits, par kuriem tiks izmaksāts atbalsts, ir 364 097.
Līdz ar to, lai nodrošinātu vienreizēju finansiālu atbalstu personām, kuras audzina bērnu nepieciešams papildu finansējums364 097 bērni x500 euro=182 048 500 euro apmērā. Papildus, lai nodrošinātu minētā atbalsta izmaksas, nepieciešamas izmaiņas VSAA IT sistēmās, veicot sistēmas pielāgošanu 75 cilvēkdienas x 471,9 euro/cilv.d. = 35 393 euro. Ar MK 27.05.2021. rīkojumu Nr.343 finansējums vienreizēja atbalsta izmaksas nodrošināšanai tika palielināts līdz 187 548 500 euro</t>
  </si>
  <si>
    <t>MK rīk. Nr.277 "Par finanšu līdzekļu piešķiršanu no valsts budžeta programmas "Līdzekļi neparedzētiem gadījumiem""</t>
  </si>
  <si>
    <t>MK rīk. Nr.326 "Par finanšu līdzekļu piešķiršanu no valsts budžeta programmas "Līdzekļi neparedzētiem gadījumiem""</t>
  </si>
  <si>
    <t>MK rīk. Nr.345 "Par finanšu līdzekļu piešķiršanu no valsts budžeta programmas "Līdzekļi neparedzētiem gadījumiem""</t>
  </si>
  <si>
    <t>MK rīk. Nr.356 "Par finanšu līdzekļu piešķiršanu no valsts budžeta programmas "Līdzekļi neparedzētiem gadījumiem""</t>
  </si>
  <si>
    <t xml:space="preserve">Jaunu gultu izveidei un medicīnisko iekārtu un papildaprīkojuma iegādei </t>
  </si>
  <si>
    <t>Rīkojums Nr.348 "Par finanšu līdzekļu piešķiršanu no valsts budžeta programmas "Līdzekļi neparedzētiem gadījumiem""</t>
  </si>
  <si>
    <t>Rīkojums Nr.350 "Par finanšu līdzekļu piešķiršanu no valsts budžeta programmas "Līdzekļi neparedzētiem gadījumiem""</t>
  </si>
  <si>
    <t>Rīkojums Nr.349 "Par apropriācijas pārdali no budžeta resora "74. Gadskārtējā valsts budžeta izpildes procesā pārdalāmais finansējums" programmas 11.00.00 "Demogrāfijas pasākumi" uz Izglītības un zinātnes ministrijas budžetu"</t>
  </si>
  <si>
    <t>Rīkojums Nr.278 "Par finanšu līdzekļu piešķiršanu no valsts budžeta programmas "Līdzekļi neparedzētiem gadījumiem""</t>
  </si>
  <si>
    <t>Piešķirt Kultūras ministrijai pārskaitīšanai valsts sabiedrībai ar ierobežotu atbildību „Rīgas cirks” 300 000 euro Rīgas cirka vēsturiskās ēkas Merķeļa ielā 4, Rīgā, pārbūves īstenošanai, lai Covid-19 krīzes seku pārvarēšanas un ekonomikas atlabšanas pasākumu ietvaros veiktu investīcijas kultūras infrastruktūrā</t>
  </si>
  <si>
    <t>Informācijas sistēmai “Personu uzraudzības informācijas sistēma” (IECIS)</t>
  </si>
  <si>
    <t>Piešķirt Iekšlietu ministrijai (Iekšlietu ministrijas Informācijas centram) finansējumu 30 000 euro, lai nodrošinātu informācijas sistēmas “Personu uzraudzības informācijas sistēma (IECIS)  attīstību.</t>
  </si>
  <si>
    <t>1.1. Valsts policijai – 3 811 876 euro;
1.2. Valsts policijas koledžai – 44 784 euro;
1.3. Valsts robežsardzei – 612 671 euro; 
1.4. Valsts robežsardzes koledžai – 19 056 euro.</t>
  </si>
  <si>
    <t>MK rīkojums Nr.392 "Par finanšu līdzekļu piešķiršanu no valsts budžeta programmas "Līdzekļi neparedzētiem gadījumiem"</t>
  </si>
  <si>
    <t>Rīkojums Nr.391 "Par finanšu līdzekļu piešķiršanu no valsts budžeta programmas "Līdzekļi neparedzētiem gadījumiem""</t>
  </si>
  <si>
    <t>Rīkojums Nr.393 "Par finanšu līdzekļu piešķiršanu no valsts budžeta programmas "Līdzekļi neparedzētiem gadījumiem""</t>
  </si>
  <si>
    <t>Rīkojums Nr.365 "Par finanšu līdzekļu piešķiršanu no valsts budžeta programmas "Līdzekļi neparedzētiem gadījumiem""</t>
  </si>
  <si>
    <t>Ministru kabineta rīkojums Nr.409 “Par apropriācijas pārdali starp Kultūras ministrijas budžeta apakšprogrammām”</t>
  </si>
  <si>
    <t>Lai mazinātu Covid-19 krīzes radīto negatīvo seku ietekmi uz kultūras nozari</t>
  </si>
  <si>
    <t>Pārdale no Kultūras ministrijas budžeta apakšprogrammas 25.02.00 uz šādām budžeta apakšprogrammām:
1.1. 19.07.00 “Mākslas un literatūra” 172 710 euro, pārskaitīšanai Liepājas pilsētas pašvaldībai sabiedrības ar ierobežotu atbildību “Liepājas teātris” darbības nodrošināšanai;
1.2. 25.01.00 “Valsts kultūrkapitāla fonda darbības nodrošināšana” 20 236 euro, lai Valsts kultūrkapitāla fonds nodrošinātu ekspertiem samaksu par projektu izvērtēšanu.</t>
  </si>
  <si>
    <t>1. Piešķirt Satiksmes ministrijai finansējumu 39 426 euro apmērā, lai kompensētu mobilo sakaru operatoru izdevumus, kas radušies, nosūtot viesabonentiem, kuri ir reģistrējušies Latvijas mobilo sakaru operatora tīklā, SMS paziņojumu laikposmā no 2021. gada 1.janvāra līdz 2021. gada 31. martam.
2. Piešķirt Satiksmes ministrijai finansējumu 6 412 euro apmērā, lai kompensētu mobilo sakaru operatoru izdevumus, kas radušies, nosūtot viesabonentiem, kuri ir reģistrējušies Latvijas mobilo sakaru operatora tīklā, SMS paziņojumu laikposmā no 2020. gada 28.septembra līdz 2020. gada 31. decembrim, bet netika kompensēti.</t>
  </si>
  <si>
    <t>Lai nodrošinātu notekūdeņu monitoringu Covid-19 un citu riska faktoru uzraudzībai un kontrolei</t>
  </si>
  <si>
    <t>Piešķirt Zemkopības ministrijai finansējumu, kas nepārsniedz 339 430 euro, lai valsts zinātniskais institūts "Pārtikas drošības, dzīvnieku veselības un vides zinātniskajam institūtam "BIOR"" nodrošinātu notekūdeņu monitoringu Covid-19 un citu riska faktoru uzraudzībai un kontrolei.</t>
  </si>
  <si>
    <t>Iekārtu iegādei, kas nepieciešamas Covid-19 sertifikāta verifikācijai</t>
  </si>
  <si>
    <t>Piešķirt Iekšlietu ministrijai (Iekšlietu ministrijas Informācijas centram) finansējumu ne vairāk kā 364 210 euro apmērā, lai Iekšlietu ministrijas sistēmas iestāžu vajadzībām iegādātos gala iekārtas, kas nepieciešamas Covid-19 sertifikāta verifikācijai.</t>
  </si>
  <si>
    <t>Piešķirt Izglītības un zinātnes ministrijai 1 217 154 euro augstas gatavības projektu (Rīgas Valsts tehnikuma mācību korpusa atjaunošana, Kuldīgas Tehnoloģiju un tūrisma tehnikuma tehnoloģiju centra būvniecība, Rīgas Mākslas un mediju tehnikuma mediju mācību korpusa gaismošanas tehnikas sistēmas iegāde un uzstādīšana un Liepājas Valsts tehnikuma mācību korpusa, 3. un 4. stāva pārbūve) īstenošanai, lai Covid-19 krīzes seku pārvarēšanas un ekonomikas atlabšanas pasākumu ietvaros veiktu investīcijas profesionālās izglītības iestāžu infrastruktūrā.</t>
  </si>
  <si>
    <t>MK rīkojums Nr. 441Par finanšu līdzekļu piešķiršanu no valsts budžeta programmas "Līdzekļi neparedzētiem gadījumiem"</t>
  </si>
  <si>
    <t>Lai stabilizētu finanšu situāciju kultūras mantojuma iestādēs</t>
  </si>
  <si>
    <t>Piešķirt Vides aizsardzības un reģionālās attīstības ministrijai 2 675 980 euro, lai 2021.gadam nodrošinātu valsts budžeta finansējumu atbalstītajiem augstas gatavības pašvaldību investīciju projektiem, kas saistīti ar izglītības iestāžu ventilācijas sistēmu uzlabošanu.</t>
  </si>
  <si>
    <t>Rīkojums Nr.454 Par finanšu līdzekļu piešķiršanu no valsts budžeta programmas "Līdzekļi neparedzētiem gadījumiem"</t>
  </si>
  <si>
    <t>13.05.2021
29.06.2021</t>
  </si>
  <si>
    <t>Virsstundu darba apmaksa  pašvaldību policijas darbiniekiem
MK rīk.nr. 320 un MK rīk. Nr. 452</t>
  </si>
  <si>
    <t>MK rīkojums Nr. 456 Par finanšu līdzekļu piešķiršanu no valsts budžeta programmas "Līdzekļi neparedzētiem gadījumiem"</t>
  </si>
  <si>
    <t>Lai  mazinātu Covid-19 krīzes radīto negatīvo seku ietekmi uz kultūras nozari</t>
  </si>
  <si>
    <t>Mk rīk. nr 456_  29.06.2021. Piešķirt Kultūras ministrijai 1 000 000 euro, lai mazinātu Covid-19 krīzes radīto negatīvo seku ietekmi uz kultūras nozari, tai skaitā:
1. 700 000 euro Valsts kultūrkapitāla fondam kultūras piedāvājuma sabiedrībai attīstīšanai; 
2. 300 000 euro Latvijas Nacionālajai bibliotēkai grāmatu iepirkuma programmas publiskajām bibliotēkām īstenošanai.</t>
  </si>
  <si>
    <t>VID Muitas pārvaldes amatpersonām piemaksas</t>
  </si>
  <si>
    <t>MK rīk. Nr.460 "Par finanšu līdzekļu piešķiršanu no valsts budžeta programmas "Līdzekļi neparedzētiem gadījumiem""</t>
  </si>
  <si>
    <t>30.06.2021 MK rīk. nr. 460_ Piešķirt Finanšu ministrijai (Valsts ieņēmumu dienestam)  finansējumu 585 480 EUR apmērā, lai segtu izdevumus, kas saistīti ar piemaksu izmaksu Valsts ieņēmumu dienesta Nodokļu un muitas policijas pārvaldes un Muitas pārvaldes amatpersonām ar speciālajām dienesta pakāpēm par darbu paaugstināta riska un slodzes apstākļos sabiedrības veselības apdraudējuma situācijā saistībā ar Covid-19 uzliesmojumu un seku novēršanu laikposmā no 2021. gada 1.marta līdz 2021. gada 31.maijam.</t>
  </si>
  <si>
    <t>MK rīk. nr 498 Par finanšu līdzekļu piešķiršanu no valsts budžeta programmas "Līdzekļi neparedzētiem gadījumiem"</t>
  </si>
  <si>
    <t>MK rīk. nr. 506 Par finanšu līdzekļu piešķiršanu no valsts budžeta programmas "Līdzekļi neparedzētiem gadījumiem"</t>
  </si>
  <si>
    <t>piešķirt Izglītības un zinātnes ministrijai 1 576 000 euro pārskaitīšanai Rīgas Tehniskajai universitātei Zinātnes inovāciju centra infrastruktūras izveidei un Koplietošanas auditoriju centra būvniecībai, lai Covid-19 krīzes seku pārvarēšanas un ekonomikas atlabšanas pasākumu ietvaros veiktu investīcijas pētniecības infrastruktūrā</t>
  </si>
  <si>
    <t>MK rīk. nr. 507 Par finanšu līdzekļu piešķiršanu no valsts budžeta programmas "Līdzekļi neparedzētiem gadījumiem"</t>
  </si>
  <si>
    <t>piešķirt Izglītības un zinātnes ministrijai 530 868 euro pārskaitīšanai Rēzeknes Tehnoloģiju akadēmijai Inženieru fakultātes ēkas remontdarbiem, lai Covid-19 krīzes seku pārvarēšanas un ekonomikas atlabšanas pasākumu ietvaros veiktu investīcijas pētniecības infrastruktūrā.</t>
  </si>
  <si>
    <t>MK rīk.nr.493 Par finanšu līdzekļu piešķiršanu no valsts budžeta programmas "Līdzekļi neparedzētiem gadījumiem"</t>
  </si>
  <si>
    <t>piešķirt Kultūras ministrijai (profesionālās izglītības kompetences centram "Nacionālā Mākslu vidusskola") 849 399 euro profesionālās izglītības kompetences centra "Nacionālā Mākslu vidusskola" multifunkcionālās zāles pārbūvei un aprīkošanai, lai Covid-19 krīzes seku pārvarēšanas un ekonomikas atlabšanas pasākumu ietvaros veiktu investīcijas kultūras infrastruktūrā.</t>
  </si>
  <si>
    <t>MK rīk.nr.495 Par finanšu līdzekļu piešķiršanu no valsts budžeta programmas "Līdzekļi neparedzētiem gadījumiem"</t>
  </si>
  <si>
    <t>piešķirt Kultūras ministrijai pārskaitīšanai valsts akciju sabiedrībai "Valsts nekustamie īpašumi" 1 105 445 euro valsts sabiedrības ar ierobežotu atbildību "Latvijas Nacionālā opera un balets" skatuves mākslu dekorāciju darbnīcu un mēģinājuma zāļu kompleksa izbūvei, lai Covid-19 krīzes seku pārvarēšanas un ekonomikas atlabšanas pasākumu ietvaros</t>
  </si>
  <si>
    <t>MK rīk.nr.496 Par finanšu līdzekļu piešķiršanu no valsts budžeta programmas "Līdzekļi neparedzētiem gadījumiem"</t>
  </si>
  <si>
    <t>piešķirt Kultūras ministrijai (Valsts kultūrkapitāla fondam) 639 740 euro, lai atbilstoši mērķprogrammas "Kultūras pasākumu rīkotāju biļešu kompensācija" 3. kārtas rezultātiem kultūras pasākumu rīkotājiem nodrošinātu biļešu kompensāciju 80 % apmērā par ārkārtējās situācijas laikā atceltajiem pasākumiem.</t>
  </si>
  <si>
    <t>MK rīk.nr.497 Par finanšu līdzekļu piešķiršanu no valsts budžeta programmas "Līdzekļi neparedzētiem gadījumiem"</t>
  </si>
  <si>
    <t>27.04.2021
07.07.2021</t>
  </si>
  <si>
    <t>Lai nodrošinātu piemaksas no 2021. gada 1. aprīļa līdz 2021. gada 30. jūnijam un atvaļinājuma rezerves uzkrājumu atbilstoši aprēķinātajai piemaksu summai no 2021. gada 1. janvāra līdz 2021. gada 30. jūnijam
grozījumi ar 07.07.2021 MK rīk.505</t>
  </si>
  <si>
    <t>piešķirt Veselības ministrijai finansējumu, kas nepārsniedz 54 650 795 euro, lai nodrošinātu piemaksas no 2021. gada 1. aprīļa līdz 2021. gada 30. jūnijam un atvaļinājuma rezerves uzkrājumu atbilstoši aprēķinātajai piemaksu summai no 2021. gada 1. janvāra līdz 2021. gada 30. jūnijam atbildīgo institūciju ārstniecības personām un citiem nodarbinātajiem par darbu paaugstināta riska un slodzes apstākļos sabiedrības veselības apdraudējuma situācijā saistībā ar Covid-19 uzliesmojumu un seku novēršanuMK rīk. nr. 505 (prot. Nr. 51 126.§), samazina ar 277.rīk piešķirtos līdzekļus par 4,4m.</t>
  </si>
  <si>
    <t>MK rīk. Nr.505 "Par finanšu līdzekļu piešķiršanu no valsts budžeta programmas "Līdzekļi neparedzētiem gadījumiem""</t>
  </si>
  <si>
    <t xml:space="preserve">Piemaksas atbildīgo institūciju ārstniecības personām un citiem nodarbinātajiem 2021.gada  jūlijā- septembrī </t>
  </si>
  <si>
    <t xml:space="preserve">Piešķirt VM  finansējumu, kas nepārsniedz 18 369 960 euro,lai nodrošinātu piemaksas un atvaļinājuma rezerves uzkrājumuatbilstoši aprēķinātājai piemaksu summai no 2021. gada 1. jūlija līdz 2021. gada 30. septembrim, t.sk. 
1.1. finansējumu, kas nepārsniedz 16 994 373 euro,piemaksu nodrošināšanai;
1.2. finansējumu, kas nepārsniedz 1 375 587 euro,atvaļinājuma rezerves uzkrājumu nodrošināšanai.
2. Noteikt, ka šā rīkojuma 1. punktā minēto izdevumu segšanai tiek  novirzīts atbilstoši MK 2021. gada 27. aprīļa rīkojumam Nr. 277 , VM piešķirtais un neizlietotais finansējums 4 374 757 euro apmērā.
</t>
  </si>
  <si>
    <t xml:space="preserve">MK rīkojums Nr. 500 "Par finanšu līdzekļu piešķiršanu no valsts budžeta programmas "Līdzekļi neparedzētiem gadījumiem"" </t>
  </si>
  <si>
    <t>piešķirt Iekšlietu ministrijai finansējumu 760 854 euro apmērā, 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seku novēršanu laikposmā no 2021. gada 1. maija līdz 2021. gada 31. maijam, tai skaitā:
1.1. Valsts policijai - 441 363 euro;
1.2. Valsts policijas koledžai - 1 294 euro;
1.3. Valsts robežsardzei - 318 197 euro.</t>
  </si>
  <si>
    <t>Nr.438
22.06.2021
(prot. Nr.49 55.§)</t>
  </si>
  <si>
    <t>Rīgas Tūrisma un radošo industriju tehnikums " pamatkapitāla palielināšanu, ieguldot tajā finanšu līdzekļus 394 635 euro apmērā augstas gatavības projekta īstenošanai mācību korpusa un darbnīcu korpusa pārbūvē Rīgā, Augusta Deglava iela 41A, lai  Covid-19 krīzes seku pārvarēšanas un ekonomikas atlabšanas pasākumu ietvaros veiktu investīcijas profesionālās izglītības iestāžu infrastruktūrā.</t>
  </si>
  <si>
    <t>MK rīkojums Nr. 442 Par finanšu līdzekļu piešķiršanu no valsts budžeta programmas "Līdzekļi neparedzētiem gadījumiem"</t>
  </si>
  <si>
    <t xml:space="preserve"> VSIA pamatkapitāla palielināšana, kurās KM ir daļu turētāja</t>
  </si>
  <si>
    <t xml:space="preserve">Atbalstīt valsts sabiedrību ar ierobežotu atbildību, kurās Kultūras ministrija ir valsts kapitāla daļu turētāja, pamatkapitāla palielināšanu, ieguldot tajās finanšu līdzekļus 1 908 656 euro apmērā, lai nodrošinātu to stabilitāti Covid-19 izplatības radīto negatīvo seku apstākļos, tai skaitā (skat. rīkojumu saitē)
</t>
  </si>
  <si>
    <t>MK rīk. Nr.502 "Par finanšu līdzekļu piešķiršanu no valsts budžeta programmas "Līdzekļi neparedzētiem gadījumiem""</t>
  </si>
  <si>
    <t>preparāta REGN-CoV2 iegāde</t>
  </si>
  <si>
    <t>gaisa kvalitātes un telpu klimata monitoringa sensoru, kā arī gaisa kvalitātes un telpu klimata monitoringa bāzes staciju iegādi Labklājības ministrijas valdījumā esošajām ēkām, Šampētera Nams</t>
  </si>
  <si>
    <t>piešķirt Labklājības ministrijai finansējumu, kas nepārsniedz 312 320 euro, lai nodrošinātu gaisa kvalitātes un telpu klimata monitoringa sensoru, kā arī gaisa kvalitātes un telpu klimata monitoringa bāzes staciju iegādi Labklājības ministrijas valdījumā esošajām ēkām un valsts sabiedrības ar ierobežotu atbildību "ŠAMPĒTERA NAMS" valdījumā esošajām ēkām, kurās  pakalpojumus nodrošina Labklājības ministrijas padotības iestādes, kā arī ilgstošas sociālās aprūpes un rehabilitācijas institūcijām</t>
  </si>
  <si>
    <t>piešķirt Veselības ministrijai (Neatliekamās medicīniskās palīdzības dienestam) finansējumu, kas nepārsniedz 206 004 euro, lai nodrošinātu personu ar pozitīviem Covid-19 testiem nogādāšanu uz dzīvesvietu vai uzturēšanās vietu</t>
  </si>
  <si>
    <t>Par CO2 gaisa kvalitātes mērītāju iegādi izglītības iestādēm</t>
  </si>
  <si>
    <t>Lai nodrošinātu C19 pozitīvu personu nogādāšanu uz dzīvesvietu</t>
  </si>
  <si>
    <t>08.06.2021
22.06.2021</t>
  </si>
  <si>
    <t>VM (NVD) informēt EK par Latvijas interesi 2022. gadā iegādāties 631 060 devu Moderna izstrādātās vakcīnas pret Covid-19 20 559 973 EUR (bez PVN) apmērā, kas ietver vakcīnas iegādes, loģistikas pakalpojuma un vakcīnas ievades izmaksas
22.06.2021. (prot.Nr.49 70.§) VM (NVD) informē EK par nodomu 2022. gadā iegādāties papildu 73 211 devu Moderna izstrādātās vakcīnas pret Covid-19 2 382 232 EUR (bez PVN)</t>
  </si>
  <si>
    <t>Valneva vakcīnas pret Covid-19 iegādei 2022.gadā</t>
  </si>
  <si>
    <t xml:space="preserve">MK rīkojums Nr. 513 "Par finanšu līdzekļu piešķiršanu no valsts budžeta programmas "Līdzekļi neparedzētiem gadījumiem"" </t>
  </si>
  <si>
    <t>Finanšu ministrijai no valsts budžeta programmas 02.00.00 "Līdzekļi neparedzētiem gadījumiem" piešķirt Veselības ministrijai finansējumu 3 673 822 euro apmērā, lai segtu izdevumus, kas radušies saistībā ar Covid-19 uzliesmojumu un seku novēršanu, no tiem:</t>
  </si>
  <si>
    <t xml:space="preserve">lai segtu izdevumus, kas radušies saistībā ar Covid-19 uzliesmojumu </t>
  </si>
  <si>
    <t>MK rīk. nr. 494 Par finanšu līdzekļu piešķiršanu no valsts budžeta programmas "Līdzekļi neparedzētiem gadījumiem"</t>
  </si>
  <si>
    <t>MK rīk. nr. 503 Par finanšu līdzekļu piešķiršanu no valsts budžeta programmas "Līdzekļi neparedzētiem gadījumiem"</t>
  </si>
  <si>
    <t>1. Finanšu ministrijai no valsts budžeta programmas 02.00.00 "Līdzekļi neparedzētiem gadījumiem" piešķirt Veselības ministrijai finansējumu 3 123 809 euro apmērā, lai segtu izdevumus, kas radušies saistībā ar Covid-19 uzliesmojumu un seku novēršanu, no tiem:</t>
  </si>
  <si>
    <t>17.12.2020
06.07.2021</t>
  </si>
  <si>
    <t>65 081 781 euro apmērā (noteikumu 243.1., 243.2., 243.3., 243.4., 244., 245., 246. punkts) nepieciešams segt no valsts budžeta programmas 02.00.00 “Līdzekļi neparedzētiem gadījumiem” 
Grozījumi 06.07.2021</t>
  </si>
  <si>
    <t>Aktualizētais plāns</t>
  </si>
  <si>
    <t>Novērtējums uz Budget 2022-2024</t>
  </si>
  <si>
    <t>Prognoze uz Budget 2022-2024</t>
  </si>
  <si>
    <t>Aizdevumi ar kapitāla atlaidi investīciju projektiem komersantiem konkurētspējas veicināšanai</t>
  </si>
  <si>
    <t>Noteikumi par aizdevumiem ar kapitāla atlaidi investīciju projektiem komersantiem konkurētspējas veicināšanai</t>
  </si>
  <si>
    <t xml:space="preserve">Aizdevums ar kapitāla atlaidi, kur pēc noteiktu kritēriju izpildes pēc projekta realizācijas tiek samazināta aizdevuma pamatsumma. Aizdevums paredzēts dzīvotspējīgu uzņēmējdarbības projektu īstenošanai ar mērķi atbalstīt lielus investīciju projektus, kuri ir vērsti uz jaunu iekārtu un tehnoloģisko procesu ieviešanu </t>
  </si>
  <si>
    <t xml:space="preserve">04.03.2021 18.03.2021
</t>
  </si>
  <si>
    <r>
      <t xml:space="preserve">Pašvaldību institūcijas iesniegušas aprēķinus par pašvaldību institūciju izdevumiem, kas radušies no 2021. gada 1. janvāra līdz 2021. gada 7. februārim, lai nodrošinātu virsstundu darbā iesaistītajiem pašvaldību policijas darbiniekiem, kuri veica iedzīvotāju pārvietošanās aizlieguma ievērošanas kontroli </t>
    </r>
    <r>
      <rPr>
        <sz val="11"/>
        <color theme="1"/>
        <rFont val="Calibri"/>
        <family val="2"/>
        <charset val="186"/>
        <scheme val="minor"/>
      </rPr>
      <t>laikposmā no plkst. 22.00 līdz plkst. 5.00, samaksu par virsstundu darbu un piemaksu par nakts darbu, kopsummā 141 058,83 euro (ar DD VSAOI), no kura 75% ir 105 795 euro.
MK rīk. nr. 452   29.06.20211. Finanšu ministrijai no valsts budžeta programmas 02.00.00 "Līdzekļi neparedzētiem gadījumiem" piešķirt Iekšlietu ministrijai finansējumu 11 393 euro apmērā pārskaitīšanai Daugavpils pilsētas domei izdevumu kompensēšanai</t>
    </r>
  </si>
  <si>
    <t>MK sēdes 08.06.2021 lēmums 
(prot. Nr.46 62.§)</t>
  </si>
  <si>
    <t>Veselības ministrijai (Nacionālajam veselības dienestam) informēt Eiropas Komisiju par Latvijas interesi 2022.gadā pieteikties iegādāties Valneva vakcīnas pret Covid-19 un piešķirt finansējumu 2 850 108 euro apmērā, lai segtu iegādes, ievades un loģistikas izmaksas (MK 14.07.2021. prot.Nr.52 18.§ IP)</t>
  </si>
  <si>
    <t>Vakcīnu Moderna iegādei 2022.gadā</t>
  </si>
  <si>
    <t>MK 14.07.2021. prot.Nr.52 18.§ IP</t>
  </si>
  <si>
    <t>Vkacīnu iegādei 2022.gadā</t>
  </si>
  <si>
    <t>23.02.2021 06.07.2021</t>
  </si>
  <si>
    <t>Specifiskas atbalsta programmas grūtībās nonākušajiem lielajiem komersantiem garantiju veidā investīcijām, par kuru novirzīšanu tiks pieņemts atsevišķs Ministru kabinets lēmums. Atcelts ar 06.07.2021. MK lēmumu</t>
  </si>
  <si>
    <t>MK 14.07.2020 sēdē izskatīts NP "Noteikumi par kapitāla ieguldījumiem komersantos, kuru darbību ietekmējusi Covid-19 izplatība" un RP "Par rezerves kapitāla palielināšanu". Atbalsta apmērs atbilstoši MK 02.09.2020. Informatīvajam ziņojumam "Par pasākumiem Covid-19 krīzes pārvarēšanai un ekonomikas atlabšanai 2020. un 2021.gadam" . Uz 20.11.2020. faktiski izmakstāti 25 milj. eiro, tomēr šim atbalstam nav ietekmes uz budžeta bilanci. Kapitāla investīciju programma, kuras ietvaros izveidots alternatīvo ieguldījumu fonds, kas darbojas uz komerciāliem principiem. Atbilstoši programmas novērtējumam fonda darbība noslēgsies ar pozitīvu atdevi. Kopējais atbalsta apmērs sadalīts uz diviem gadiem. 2021.g. finansējums 25 mEUR atcelts ar 06.07.2021. MK lēmumu.</t>
  </si>
  <si>
    <t>MK rīkojums Nr.453 Par atbalstītajiem pašvaldībuinvestīciju projektiem valsts aizdevumu piešķiršanai Covid-19izraisītās krīzes seku mazināšanai un novēršanai</t>
  </si>
  <si>
    <t>Vakcinācijas loterijas norisei</t>
  </si>
  <si>
    <t>Likumprojekts "Vakcinācijas loterijas likums"</t>
  </si>
  <si>
    <t>12.02.2021 21.04.2020
14.07.2021</t>
  </si>
  <si>
    <t>Lai no 2021.gada 1.janvāra līdz 2021.gada 31.jdecembrim institūcijās, kurās sociālos pakalpojumus ar izmitināšanu sniedz pašvaldības vai valsts dibināts sociālo pakalpojumu sniedzējs vai pakalpojumu sniedzējs, kuram ir noslēgts līgums ar pašvaldību vai valsti par minēto pakalpojumu sniegšanu, nodrošinātu izdevumus par  individuālajiem aizsarglīdzekļiem un dezinfekcijas līdzekļiem, kas iegādāti  Covid-19 infekcijas ierobežošanas pasākumiem</t>
  </si>
  <si>
    <r>
      <t xml:space="preserve">455 596  euro, institūcijām, kurās sociālos pakalpojumus sniedz pašvaldības dibināts sociālo pakalpojumu sniedzējs vai pakalpojumu sniedzējs, kuram noslēgts līgums ar pašvaldību par minēto pakalpojumu sniegšanu (50% apmērā no pašvaldību faktiskajiem papildu izdevumiem);
839 376 euro, valsts dibinātam sociālo pakalpojumu sniedzējam vai tādam pakalpojumu sniedzējam, kuram ir noslēgts līgums ar Labklājības ministriju par sociālo pakalpojumu sniegšanu (100% apmērā no institūciju faktiskajiem papildu izdevumiem).
</t>
    </r>
    <r>
      <rPr>
        <sz val="11"/>
        <color rgb="FFFF0000"/>
        <rFont val="Calibri"/>
        <family val="2"/>
        <charset val="186"/>
        <scheme val="minor"/>
      </rPr>
      <t>14.07.2021 grozījumi rīk. nr. 83, palielinot summu par 366909 eur, 2022.gadā par 148 353eur. MK grozījumi paredz arī radušos izdevumu kompensēšanas termiņa pagarināšanu līdz 2021.gada 31.decembrim.</t>
    </r>
  </si>
  <si>
    <t>Lai nodrošinātu piemaksas no 2020. gada 1. oktobra līdz 2020. gada 30. novembrim Iekšlietu ministrijas padotības iestāžu amatpersonām ar speciālajām dienesta pakāpēm par darbu paaugstināta riska un slodzes apstākļos sabiedrības veselības apdraudējuma situācijā saistībā ar Covid-19 uzliesmojumu un tā seku novēršanu</t>
  </si>
  <si>
    <t>Piemaksas Iekšlietu ministrijas padotības iestāžu amatpersonu ar speciālajām dienesta pakāpēm par darbu paaugstināta riska un slodzes apstākļos sabiedrības veselības apdraudējuma situācijā (t.sk. virsstundas) saistībā ar Covid-19 uzliesmojumu un seku novēršanu laikposmā no 2021. gada 1. aprīļa līdz 2021. gada 30. aprīlim</t>
  </si>
  <si>
    <t>MK rīkojums Nr.414 "Par finanšu līdzekļu piešķiršanu no valsts budžeta programmas "Līdzekļi neparedzētiem gadījumiem""</t>
  </si>
  <si>
    <t>Rīkojums Nr.413 "Par finanšu līdzekļu piešķiršanu no valsts budžeta programmas "Līdzekļi neparedzētiem gadījumiem""</t>
  </si>
  <si>
    <t>MK rīkojums Nr.363 “Par finanšu līdzekļu piešķiršanu no valsts budžeta programmas "Līdzekļi neparedzētiem gadījumiem"”</t>
  </si>
  <si>
    <t>Piemaksas Iekšlietu ministrijas padotības iestāžu amatpersonu ar speciālajām dienesta pakāpēm par darbu paaugstināta riska un slodzes apstākļos sabiedrības veselības apdraudējuma situācijā saistībā ar Covid-19 uzliesmojumu un seku novēršanu laikposmā no 2021. gada 1. jūnija līdz 2021. gada 30.jūnijam</t>
  </si>
  <si>
    <t>1.1. Valsts policijai – 349 610 euro;
1.2. Valsts policijas koledžai – 595euro;
1.3. Valsts robežsardzei – 298 383 euro; 
1.4. Valsts robežsardzes koledžai – 1847 euro.</t>
  </si>
  <si>
    <t>Nr._
10.08.2021
(prot. Nr.55 __.§)</t>
  </si>
  <si>
    <t>CSP vakcinācijas datu apstrādei</t>
  </si>
  <si>
    <t>Piešķirt Ekonomikas ministrijai 33 736 euro, lai segtu izdevumus Centrālajai statistikas pārvaldei par personu, kurām ir uzsākta un pabeigta vakcinācija pret Covid-19, datu apstrādi.</t>
  </si>
  <si>
    <t>Piešķirt Kultūras ministrijai (Valsts kultūrkapitāla fondam) 2 067 148 euro mērķprogrammas „Radošo personu nodarbinātības programma” 2.kārtas īstenošanai – atbalsta sniegšanai radošām personām no 2021.gada 1.aprīļa līdz 2021.gada 30.jūnijam, lai mazinātu Covid-19 krīzes radīto negatīvo seku ietekmi uz kultūras nozari.</t>
  </si>
  <si>
    <t>Piešķirt Kultūras ministrijai pārskaitīšanai valsts akciju sabiedrībai „Valsts nekustamie īpašumi” 469 847 euro Latvijas Nacionālā arhīva ēku telpu pielāgošanai arhīva funkcijas nodrošināšanai, lai Covid-19 krīzes seku pārvarēšanas un ekonomikas atlabšanas pasākumu ietvaros veiktu investīcijas kultūras infrastruktūrā, tai skaitā:
1. 147 946  euro nekustamā īpašuma Skandu ielā 14, Rīgā, pārbūves un remontdarbu veikšanai, 
2. 321 901  euro nekustamā īpašuma Komandanta ielā 9, Daugavpilī, pārbūves un remontdarbu veikšanai.</t>
  </si>
  <si>
    <t>Piešķirt Kultūras ministrijai pārskaitīšanai valsts akciju sabiedrībai „Valsts nekustamie īpašumi” 300 000 euro valsts sabiedrības ar ierobežotu atbildību „Valmieras drāmas teātris” teātra ēkas Lāčplēša ielā 4, Valmierā, pārbūves darbiem, lai Covid-19 krīzes seku pārvarēšanas un ekonomikas atlabšanas pasākumu ietvaros veiktu investīcijas kultūras infrastruktūrā.</t>
  </si>
  <si>
    <t>Pamatojoties uz Covid-19 infekcijas izplatības pārvaldības likuma 31.1 un 31.2 pantu, piešķirt Finanšu ministrijai (Valsts ieņēmumu dienestam) no valsts budžeta programmas 02.00.00 “Līdzekļi neparedzētiem gadījumiem” finansējumu 277 059 euro apmērā, tajā skaitā:
1.1.  99 734 euro apmērā, lai nodrošinātu samaksu par virsstundu darbu atbilstoši faktiskajam virsstundu apjomam laikposmā no 2021. gada 1. maija līdz 2021. gada 30. jūnijam Valsts ieņēmumu dienesta nodarbinātajiem, kuri nodrošina atbalsta izmaksu Covid-19 krīzes skartajiem uzņēmumiem;
1.2.  177 325 euro apmērā, lai segtu izdevumus, kas saistīti ar piemaksu izmaksu Valsts ieņēmumu dienesta Nodokļu un muitas policijas pārvaldes un Muitas pārvaldes amatpersonām ar speciālajām dienesta pakāpēm par darbu paaugstināta riska un slodzes apstākļos sabiedrības veselības apdraudējuma situācijā saistībā ar Covid-19 uzliesmojumu un seku novēršanu laikposmā no 2021. gada 1. jūnija līdz 2021. gada 30. jūnijam.</t>
  </si>
  <si>
    <t>06.07.2021
14.07.2020</t>
  </si>
  <si>
    <t>Vakcinācijas aptvere</t>
  </si>
  <si>
    <t>Piešķirt Veselības ministrijai finansējumu 
2 404 469 euro apmērā, lai kompensētu atbildīgajām institūcijām ārstniecības personu un pārējo nodarbināto virsstundu darba, kas saistīts ar Covid-19 jautājumu risināšanu un seku novēršanu, apmaksu, tai skaitā:
1. Nacionālajam veselības dienestam 2 036 878 euro apmērā, lai  veiktu samaksu ārstniecības iestādēm (1 928 597 euro) par laika periodu no 2021.gada 1.janvāra līdz 2021.gada 30.aprīlim un nodrošinātu samaksu Nacionālā veselības dienesta darbiniekiem (108 281 euro) par laika periodu no 2021.gada 1.marta līdz 2021.gada 31.maijam;
2. Neatliekamās medicīniskās palīdzības dienestam 220 593 euro apmērā par laika periodu no 2021.gada 1.marta līdz 2021.gada 31.maijam;
3. Slimību profilakses un kontroles centram 143 028 euro apmērā par laika periodu no 2021.gada 1.marta līdz 2021.gada 31.maijam;
4. Veselības ministrijai 3 970 euro apmērā par laika periodu no 2021.gada 1.maija līdz 2021.gada 31.maijam.</t>
  </si>
  <si>
    <t>Piemaksas atbildīgo institūciju ārstniecības personām un citiem nodarbinātajiem 2021.gada martā-maijā</t>
  </si>
  <si>
    <t>MK rīk.nr.523 Par finanšu līdzekļu piešķiršanu no valsts budžeta programmas "Līdzekļi neparedzētiem gadījumiem"</t>
  </si>
  <si>
    <t>MK rīk. Nr.520 "Par apropriācijas palielināšanu Izglītības un zinātnes ministrijai"
10.08.2021
(prot. Nr.55 26.§)</t>
  </si>
  <si>
    <t>10.08.2021
šis nav LNG</t>
  </si>
  <si>
    <t xml:space="preserve">piešķirt Izglītības un zinātnes ministrijai 1 350 559 euro augstas gatavības projektu (Rīgas Valsts tehnikuma mācību korpusa atjaunošanas papildus darbi, Rīgas Mākslas un mediju tehnikuma dienesta viesnīcas atjaunošanas 3. un 4. kārtas būvdarbi  un mācību korpusa atjaunošana, Daugavpils Būvniecības tehnikuma multifukncionālās halles 2. un 4.kārta - sporta nodarbību telpu grupa un darbnīcu materiālu novietne, Rēzeknes tehnikuma mācību darbnīcu korpusa pārbūve un Rīgas Stila un modes tehnikuma mācību korpusa energoefektivitātes paaugstināšanas darbi) īstenošanai, lai Covid-19 krīzes seku pārvarēšanas un ekonomikas atlabšanas pasākumu ietvaros veiktu investīcijas profesionālās izglītības iestāžu infrastruktūrā. (MK rīk.Nr.523, 10. augustā (prot. Nr. 55 82. §) </t>
  </si>
  <si>
    <t>MK rīk.Nr.529 Par apropriācijas palielināšanu Tieslietu ministrijai 
10.08.2021
(prot. Nr.55 89.§)</t>
  </si>
  <si>
    <t>Atbalstīt valsts sabiedrības ar ierobežotu atbildību "Tiesu namu aģentūra" pamatkapitāla palielināšanu, ieguldot tajā finanšu līdzekļus 5 460 000 euro apmērā, lai Covid-19 krīzes seku pārvarēšanas un ekonomikas atlabšanas pasākumu ietvaros īstenotu augstas gatavības projektu – Vienotas tiesu ekspertīžu iestādes izveidi, tai skaitā:
1. 2021. gadā 402 359 euro;
2. 2022. gadā 5 057 641 euro.
(MK rīk.nr 529 10. augustā (prot. Nr. 55 89. §)</t>
  </si>
  <si>
    <t>Atbalstīt valsts sabiedrības ar ierobežotu atbildību "Rīgas Tūrisma un radošo industriju tehnikums" pamatkapitāla palielināšanu, ieguldot tajā finanšu līdzekļus 316 613 euro apmērā augstas gatavības projekta īstenošanai – dienesta viesnīcas ēkas pārbūvei  Rīgā, Augusta Deglava ielā 41B –, lai Covid-19 krīzes seku pārvarēšanas un ekonomikas atlabšanas pasākumu ietvaros veiktu investīcijas profesionālās izglītības iestāžu infrastruktūrā. (MK rīk.Nr.  520   10. augustā (prot. Nr. 55 26. §)</t>
  </si>
  <si>
    <r>
      <t>valsts budžeta programmas 02.00.00 "Līdzekļi neparedzētiem gadījumiem" piešķirt finansējumu 3 590 256 euro apmērā, lai Covid-19 izplatības seku novēršanas un pārvarēšanas pasākumu ietvaros stabilizētu finanšu situāciju</t>
    </r>
    <r>
      <rPr>
        <b/>
        <sz val="11"/>
        <rFont val="Calibri"/>
        <family val="2"/>
        <charset val="186"/>
        <scheme val="minor"/>
      </rPr>
      <t xml:space="preserve"> kultūras mantojuma iestādēs</t>
    </r>
    <r>
      <rPr>
        <sz val="11"/>
        <rFont val="Calibri"/>
        <family val="2"/>
        <charset val="186"/>
        <scheme val="minor"/>
      </rPr>
      <t>, tai skaitā:
1.1. 82 000 euro - Vides aizsardzības un reģionālās attīstības ministrijai;
1.2. 3 458 256 euro - Kultūras ministrijai;
1.3. 50 000 euro - Veselības ministrijai.</t>
    </r>
  </si>
  <si>
    <t>MK rīkojums Nr.582 Par atbalstītajiem pašvaldību investīciju projektiem valsts aizdevumu piešķiršanai Covid-19izraisītās krīzes seku mazināšanai un novēršanai</t>
  </si>
  <si>
    <t>29.06.2021
17.08.2021</t>
  </si>
  <si>
    <r>
      <t xml:space="preserve">apstiprināt pašvaldību iesniegto investīciju projektu sarakstu valsts aizdevumu piešķiršanai Covid-19 izraisītās krīzes seku mazināšanai un novēršanai (pielikums) un </t>
    </r>
    <r>
      <rPr>
        <b/>
        <sz val="11"/>
        <rFont val="Calibri"/>
        <family val="2"/>
        <charset val="186"/>
        <scheme val="minor"/>
      </rPr>
      <t xml:space="preserve">piešķirt valsts aizdevumus: </t>
    </r>
    <r>
      <rPr>
        <sz val="11"/>
        <rFont val="Calibri"/>
        <family val="2"/>
        <scheme val="minor"/>
      </rPr>
      <t xml:space="preserve">
1.1.  2021. gadā – 4 666 478,24 euro apmērā no likuma "Par valsts budžetu 2021. gadam" 12. panta trešajā daļā minētā pašvaldību aizņēmumu palielinājuma 150 000 000 euro apmērā;
1.2.  2022. gadā – 3 683 598,22 euro apmērā no likuma "Par vidēja termiņa budžeta ietvaru 2021., 2022. un 2023. gadam" 14. pantā noteiktā pašvaldību kopējo aizņēmumu palielinājuma 118 138 258 euro apmērā</t>
    </r>
  </si>
  <si>
    <r>
      <t xml:space="preserve">1.1. 2021. gadā - 10 085 195,51 euro apmērā no likuma"Par valsts budžetu 2021. gadam" 12. panta trešajā daļā minētā pašvaldību aizņēmumu palielinājuma 150 000 000 euroapmērā;
</t>
    </r>
    <r>
      <rPr>
        <b/>
        <sz val="11"/>
        <rFont val="Calibri"/>
        <family val="2"/>
        <charset val="186"/>
        <scheme val="minor"/>
      </rPr>
      <t>2021. gada 17. augustā Rīkojums Nr. 583 (prot. Nr. 56 53. §) grozījums MK rīk. Nr.453</t>
    </r>
    <r>
      <rPr>
        <sz val="11"/>
        <rFont val="Calibri"/>
        <family val="2"/>
        <scheme val="minor"/>
      </rPr>
      <t xml:space="preserve">
Izteikt 1.1. apakšpunktu šādā redakcijā:  "1.1. 2021. gadā – </t>
    </r>
    <r>
      <rPr>
        <sz val="11"/>
        <color rgb="FFFF0000"/>
        <rFont val="Calibri"/>
        <family val="2"/>
        <charset val="186"/>
        <scheme val="minor"/>
      </rPr>
      <t xml:space="preserve">9 988 890,51 </t>
    </r>
    <r>
      <rPr>
        <sz val="11"/>
        <rFont val="Calibri"/>
        <family val="2"/>
        <scheme val="minor"/>
      </rPr>
      <t>euro apmērā no likuma "Par valsts budžetu 2021. gadam" 12. panta trešajā daļā minētā pašvaldību aizņēmumu palielinājuma 150 000 000 euro apmērā;".
1.2.  2022. gadā – 8 963 837,74 euro apmērā no likuma "Par vidēja termiņa budžeta ietvaru 2021., 2022. un 2023. gadam" 14. pantā minētā pašvaldību kopējo aizņēmumu palielinājuma 118 138 258 euro apmērā.</t>
    </r>
  </si>
  <si>
    <t>Piešķirt Sabiedrības integrācijas fondam 400 000 euro valsts budžeta finansētās programmas „Atbalsts NVO sabiedrības informēšanai par vakcināciju pret Covid-19” īstenošanai 2021.gadā, lai veicinātu vakcinācijas pret Covid-19 procesu visos Latvijas reģionos, tai skaitā:
1. 396 000 euro programmas projektu īstenošanai;
2. 4 000 euro programmas administrēšanai.</t>
  </si>
  <si>
    <t>„Atbalsts NVO sabiedrības informēšanai par vakcināciju pret Covid-19” īstenošanai 2021.gadā (SIF)</t>
  </si>
  <si>
    <t>Piešķirt Kultūras ministrijai pārskaitīšanai valsts akciju sabiedrībai „Valsts nekustamie īpašumi” 394 826 euro pārbūves darbu veikšanai valsts sabiedrības ar ierobežotu atbildību „Dailes teātris” skvēra labiekārtošanai Brīvības ielā 75, Rīgā, un Šarlotes ielā 1, Rīgā, lai Covid-19 krīzes seku pārvarēšanas un ekonomikas atlabšanas pasākumu ietvaros veiktu investīcijas kultūras infrastruktūrā.</t>
  </si>
  <si>
    <t>Tirdzniecības centru ieņēmumu krituma kompensēšanai</t>
  </si>
  <si>
    <t>Piešķirt Veselības ministrijai (Nacionālajam veselības dienestam) finansējumu ne vairāk kā 11 971 euro apmērā, lai nodrošinātu digitālā vakcinācijas sertifikāta ģenerēšanu personām, kurām ir tiesības uz vakcinācijas pret Covid-19 pakalpojumu Latvijā, bet kurām šī vakcinācija veikta ārvalstīs.</t>
  </si>
  <si>
    <t>Covid19 digitālā sertifikātu ģenerēšanai</t>
  </si>
  <si>
    <t>Air Baltic Corporation pamatkapitāla palielināšana</t>
  </si>
  <si>
    <t xml:space="preserve"> saistībā ar Covid-19 izplatību radītos zaudējumus, nodrošinātu sabiedrības likviditāti un ekonomiskās krīzes pārvarēšanu un stabilizēšanu nozarē, atbalstīt akciju sabiedrības "Air Baltic Corporation" (turpmāk – sabiedrība) pamatkapitāla palielināšanu, ieguldot tajā finanšu līdzekļus līdz 90 000 000 euro apmērā, Satiksmes ministrijai, piedaloties sabiedrības akcionāru sapulcēs, atbalstīt ieguldījuma veikšanu sabiedrības pamatkapitālā atbilstoši Eiropas Komisijas saskaņojumā norādītajam apjomam</t>
  </si>
  <si>
    <t>Rīkojums Nr.588 "Par akciju sabiedrības "Air Baltic Corporation" pamatkapitāla palielināšanu</t>
  </si>
  <si>
    <t>MK rīkojums Nr. 525 Par finanšu līdzekļu piešķiršanu no valsts budžeta programmas "Līdzekļi neparedzētiem gadījumiem"</t>
  </si>
  <si>
    <t>MK rīkojums Nr. 526 Par finanšu līdzekļu piešķiršanu no valsts budžeta programmas "Līdzekļi neparedzētiem gadījumiem"</t>
  </si>
  <si>
    <t>MK rīkojums Nr. 561 Par finanšu līdzekļu piešķiršanu no valsts budžeta programmas "Līdzekļi neparedzētiem gadījumiem"</t>
  </si>
  <si>
    <t>MK rīkojums Nr. 534 Par finanšu līdzekļu piešķiršanu no valsts budžeta programmas "Līdzekļi neparedzētiem gadījumiem"</t>
  </si>
  <si>
    <t>MK rīkojums Nr. 524 Par finanšu līdzekļu piešķiršanu no valsts budžeta programmas "Līdzekļi neparedzētiem gadījumiem"</t>
  </si>
  <si>
    <t>MK rīkojums Nr. 535 Par finanšu līdzekļu piešķiršanu no valsts budžeta programmas "Līdzekļi neparedzētiem gadījumiem"</t>
  </si>
  <si>
    <t>Piešķirt Veselības ministrijai (Nacionālajam veselības dienestam)  finansējumu 1 758 446 euro apmērā sabiedrības ar ierobežotu atbildību “Vidzemes slimnīca” augstas gatavības projekta “Vidzemes slimnīcas A, B un C korpusa energoefektivitātes paaugstināšana” īstenošanai, kas saistīts ar Covid-19 krīzes pārvarēšanu un ekonomikas atlabšanu.</t>
  </si>
  <si>
    <t>Atbalstīt valsts sabiedrības ar ierobežotu atbildību “Paula Stradiņa klīniskā universitātes slimnīca” pamatkapitāla palielināšanu, ieguldot tajā finanšu līdzekļus 1 211 170 euro apmērā, augstas gatavības projekta “VSIA “Paula Stradiņa klīniskās universitātes slimnīca” vēsturisko korpusu atjaunošana un energoefektivitātes paaugstināšana un renovācija” īstenošanai, valsts sabiedrības ar ierobežotu atbildību “Bērnu klīniskā universitātes slimnīca” pamatkapitāla palielināšanu, ieguldot tajā finanšu līdzekļus 1 225 900 euro apmērā augstas gatavības projekta “VSIA “Bērnu klīniskā universitātes slimnīca” infrastruktūras uzlabošana, palielinot veco korpusu energoefektivitāti un ventilāciju ierīkošana” īstenošanai, valsts sabiedrības ar ierobežotu atbildību “Nacionālais rehabilitācijas centrs “Vaivari”” pamatkapitāla palielināšanu, ieguldot tajā finanšu līdzekļus 417 919 euro apmērā augstas gatavības projekta “VSIA “Nacionālais rehabilitācijas centrs “Vaivari“”  telpu pielāgošana, lai retinātu pacientu plūsmu, sniegtu kvalitatīvākus rehabilitācijas pakalpojumus epidemioloģiski drošākās telpās” īstenošanai un 500 000 euro apmērā augstas gatavības projekta “VSIA “Nacionālais rehabilitācijas centrs “Vaivari””  jaunas ēkas būvniecība, lai  sadalītu pacientu plūsmu, sniegtu kvalitatīvākus ambulatorās rehabilitācijas pakalpojumus epidemioloģiski drošākās telpās” īstenošanai, kas saistīti ar Covid-19 krīzes pārvarēšanu un ekonomikas atlabšanu.</t>
  </si>
  <si>
    <r>
      <t xml:space="preserve">Piešķirt Veselības ministrijai (NVD) vakcinācijas loterijas norisei (naudas balvu fondam un loterijas organizatoriskajām izmaksām) ne vairāk kā 1 218 078 euro apmērā. </t>
    </r>
    <r>
      <rPr>
        <sz val="11"/>
        <color rgb="FFFF0000"/>
        <rFont val="Calibri"/>
        <family val="2"/>
        <charset val="186"/>
        <scheme val="minor"/>
      </rPr>
      <t>ATCELTS</t>
    </r>
  </si>
  <si>
    <r>
      <t>apstiprināt pašvaldību iesniegto investīciju projektu sarakstu valsts aizdevumu piešķiršanai Covid-19 izraisītās krīzes seku mazināšanai un novēršanai (pielikums) un</t>
    </r>
    <r>
      <rPr>
        <b/>
        <sz val="11"/>
        <rFont val="Calibri"/>
        <family val="2"/>
        <charset val="186"/>
        <scheme val="minor"/>
      </rPr>
      <t xml:space="preserve"> piešķirt valsts aizdevumus: </t>
    </r>
    <r>
      <rPr>
        <sz val="11"/>
        <rFont val="Calibri"/>
        <family val="2"/>
        <scheme val="minor"/>
      </rPr>
      <t xml:space="preserve">
1.1.  2021. gadā – 7 624 836,81 euro apmērā no likuma "Par valsts budžetu 2021. gadam" 12. panta trešajā daļā minētā pašvaldību aizņēmumu palielinājuma 150 000 000 euro apmērā;
1.2.  2022. gadā – 4 818 644,35 euro apmērā no likuma "Par vidēja termiņa budžeta ietvaru 2021., 2022. un 2023. gadam" 14. pantā noteiktā pašvaldību kopējo aizņēmumu palielinājuma 118 138 258 euro apmērā.</t>
    </r>
  </si>
  <si>
    <t>31.08.2021
http://tap.mk.gov.lv/lv/mk/tap/?pid=40506907&amp;mode=mk&amp;date=2021-08-31</t>
  </si>
  <si>
    <t>Nr.530
10.08.2021
(prot. Nr.55 90.§)</t>
  </si>
  <si>
    <t>Demogrāfijas uzlabošanai atvēlētais finansējums 2021.gadā- PĀRDALE STIPENDIJU PALIELINĀŠANAI</t>
  </si>
  <si>
    <t>07.09.2021. MK lēmis -  pārdalīt 2 040 000 euro, lai ar 2021. gada 1. septembri palielinātu stipendiju skaitu un apmēru pirmā līmeņa profesionālās augstākās izglītības (koledžas), bakalaura un maģistra līmeņa studijām augstākās izglītības iestādēs un mazinātu Covid-19 krīzes radīto negatīvo seku ietekmi uz izglītības nozari, tai skaitā:
1.1.  1 443 508 euro Izglītības un zinātnes ministrijai;
1.2.  254 411 euro Veselības ministrijai;
1.3.  202 387 euro Zemkopības ministrijai;
1.4.  138 040 euro Kultūras ministrijai;
1.5.  1 654 euro Labklājības ministrijai.</t>
  </si>
  <si>
    <t>Nr._
07.09.2021
(prot. Nr.60 _.§)</t>
  </si>
  <si>
    <t>Piešķirt Iekšlietu ministrijai finansējumu 619 868 euro apmērā, lai segtu izdevumus, kas saistīti ar piemaksu izmaksām Iekšlietu ministrijas padotības iestāžu amatpersonām ar speciālajām dienesta pakāpēm par darbu paaugstināta riska un slodzes apstākļos sabiedrības veselības apdraudējuma situācijā saistībā ar Covid-19 uzliesmojumu un seku novēršanu laikposmā no 2021. gada 1. jūlija līdz 2021. gada 31. jūlijam</t>
  </si>
  <si>
    <t xml:space="preserve">MK rīkojums Nr. 528 "Par finanšu līdzekļu piešķiršanu no valsts budžeta programmas "Līdzekļi neparedzētiem gadījumiem"" </t>
  </si>
  <si>
    <t xml:space="preserve">piemaksas IeM padotības iestāžu amatpersonām </t>
  </si>
  <si>
    <t>Komandu sporta spēļu halles izveidei Krišjāņa Barona ielā 99C, Rīgā
2021.gadā 182 284 eur
2022..gadā 13 467 716 (atbalstīts MK 07.09.2021)</t>
  </si>
  <si>
    <t>Pārskaitīšanai valsts akciju sabiedrībai "Valsts nekustamie īpašumi” 125 907 euro pārbūves darbu veikšanai sabiedrības ar ierobežotu atbildību “Latvijas Leļļu teātris” ēkā Krišjāņa Barona ielā 16/18, Rīgā
2022.gadā 1 833 702 (MK lēmums 07.09.2021)</t>
  </si>
  <si>
    <t>MK rīkojums Nr.584
17.08.2021
(prot. Nr.56 54.§)</t>
  </si>
  <si>
    <t>Piešķirt Kultūras ministrijai pārskaitīšanai valsts akciju sabiedrībai „Valsts nekustamie īpašumi” 244 902 euro remonta un būvdarbu veikšanai Staņislava Broka Daugavpils Mūzikas vidusskolā Kandavas ielā 2a, Daugavpilī, lai Covid-19 krīzes seku pārvarēšanas un ekonomikas atlabšanas pasākumu ietvaros veiktu investīcijas kultūras infrastruktūrā. 2022.gadā 50000 euro</t>
  </si>
  <si>
    <t>Piešķirt Kultūras ministrijai (profesionālās izglītības kompetences centram „Nacionālā Mākslu vidusskola”) 1 436 730 euro profesionālās izglītības kompetences centra „Nacionālā Mākslu vidusskola” darbības nodrošināšanai, pārbūvējot ēku Slokas ielā 52a, Rīgā, veicot neparedzētus būvdarbus Slokas ielā 52b, Rīgā, un papildu būvdarbus Kalnciema ielā 10 k-2 un Kalnciema ielā 10 k-3, Rīgā, lai Covid-19 krīzes seku pārvarēšanas un ekonomikas atlabšanas pasākumu ietvaros veiktu investīcijas kultūras infrastruktūrā. 2022.gadā 2 662 623</t>
  </si>
  <si>
    <t>Piešķirt Kultūras ministrijai (profesionālās izglītības kompetences centram „Liepājas Mūzikas, mākslas un dizaina vidusskola”) 1 382 553euro būvdarbu veikšanai profesionālās izglītības kompetences centra „Liepājas Mūzikas, mākslas un dizaina vidusskola”  ēkās Alejas ielā 18, Liepājā, tai skaitā veicot jaunbūves otrās kārtas būvniecību, pārbūvējot neatjaunotā korpusa ēku un savienojot mācību ēkas ar pārejām, lai Covid-19 krīzes seku pārvarēšanas un ekonomikas atlabšanas pasākumu ietvaros veiktu investīcijas kultūras infrastruktūrā. 2022.gadā 292715</t>
  </si>
  <si>
    <t>Piešķirt Kultūras ministrijai pārskaitīšanai valsts akciju sabiedrībai „Valsts nekustamie īpašumi” 1 197 551 euro profesionālās izglītības kompetences centra „Rīgas Dizaina un mākslas vidusskola” un Latvijas Mākslas akadēmijas prototipēšanas darbnīcu „Riga Makerspace” izbūvei Aristida Briāna ielā 13, Rīgā, lai Covid-19 krīzes seku pārvarēšanas un ekonomikas atlabšanas pasākumu ietvaros veiktu investīcijas kultūras infrastruktūrā. 2022.gada 263082</t>
  </si>
  <si>
    <t>MK rīk.Nr. 581 
17.08.2021
(prot. Nr.56 51.§)</t>
  </si>
  <si>
    <t>MK rīk.nr.533 Par finanšu līdzekļu piešķiršanu no valsts budžeta programmas "Līdzekļi neparedzētiem gadījumiem"</t>
  </si>
  <si>
    <r>
      <t xml:space="preserve">Grozījums MK 07.07.2021. rīkojumā Nr. 497 "Par finanšu līdzekļu piešķiršanu no valsts budžeta programmas "Līdzekļi neparedzētiem gadījumiem"" (palielinot kopējo summu no  1 910 236 uz 2 589 631 eur)
Piešķirt papildu Iekšlietu ministrijai (Nodrošinājuma valsts aģentūrai) </t>
    </r>
    <r>
      <rPr>
        <b/>
        <sz val="11"/>
        <color theme="1"/>
        <rFont val="Calibri"/>
        <family val="2"/>
        <scheme val="minor"/>
      </rPr>
      <t xml:space="preserve">679 395 </t>
    </r>
    <r>
      <rPr>
        <sz val="11"/>
        <color theme="1"/>
        <rFont val="Calibri"/>
        <family val="2"/>
        <scheme val="minor"/>
      </rPr>
      <t xml:space="preserve">euro apmērā augstas gatavības projektu (jaunu ugunsdzēsības depo būvniecība Aizputē, Dagdā, Iecavā, Ilūkstē, Kandavā, Priekulē, Rūjienā, Saulkrastos) īstenošanai Covid-19 krīzes seku pārvarēšanas un ekonomikas atlabšanas pasākuma “Infrastruktūras attīstības projektu īstenošana iekšlietu nozarē” ietvaros.
</t>
    </r>
    <r>
      <rPr>
        <b/>
        <sz val="11"/>
        <color theme="1"/>
        <rFont val="Calibri"/>
        <family val="2"/>
        <scheme val="minor"/>
      </rPr>
      <t xml:space="preserve">2022.gadā 9 189 882 eur </t>
    </r>
  </si>
  <si>
    <t>MK rīk. Nr. 593
24.08.2021
(prot. Nr.57 47.§)</t>
  </si>
  <si>
    <t>MK rīk. Nr. 592
24.08.2021
(prot. Nr.57 46.§)
(+ anotācija par 2022.gadu)</t>
  </si>
  <si>
    <t xml:space="preserve">Piešķirt Kultūras ministrijai (valsts sabiedrībai ar ierobežotu atbildību „Rīgas cirks”) 217 391 euro Rīgas cirka vēsturiskās ēkas Merķeļa ielā 4, Rīgā, pārbūves īstenošanai (papildus darbu veikšanai), lai Covid-19 krīzes seku pārvarēšanas un ekonomikas atlabšanas pasākumu ietvaros veiktu investīcijas kultūras infrastruktūrā. </t>
  </si>
  <si>
    <t>14.09.2021.</t>
  </si>
  <si>
    <t>Mk rīkojums Nr.626 Par finanšu līdzekļu piešķiršanu no valsts budžeta programmas "Līdzekļi neparedzētiem gadījumiem"
07.09.2021</t>
  </si>
  <si>
    <t>Piešķirt Kultūras ministrijai pārskaitīšanai profesionālās izglītības kompetences centram „Nacionālā mākslu vidusskola” 636 064 euro profesionālās izglītības kompetences centra „Nacionālā mākslu vidusskola” pārbūvēto un jaunizbūvēto telpu aprīkošanai</t>
  </si>
  <si>
    <t>piešķirt Izglītības un zinātnes ministrijai 173 594 euro augstas gatavības projekta īstenošanai - Kuldīgas Tehnoloģiju un tūrisma tehnikuma dienesta viesnīcas atjaunošanai un siltināšanai Kuldīgā, Pilsētas laukumā 6, lai Covid-19 krīzes seku pārvarēšanas un ekonomikas atlabšanas pasākumu ietvaros veiktu investīcijas profesionālās izglītības iestāžu infrastruktūrā.. 2022.gadā 112 086</t>
  </si>
  <si>
    <r>
      <t>piešķirt Iekšlietu ministrijai (Nodrošinājuma valsts aģentūrai) 1 910 236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r>
    <r>
      <rPr>
        <sz val="11"/>
        <color rgb="FFFF0000"/>
        <rFont val="Calibri"/>
        <family val="2"/>
        <charset val="186"/>
        <scheme val="minor"/>
      </rPr>
      <t>Grozījums MK 07.07.2021. rīkojumā Nr. 497 "Par finanšu līdzekļu piešķiršanu no valsts budžeta programmas "Līdzekļi neparedzētiem gadījumiem"" (palielinot kopējo summu no  1 910 236 uz 2 589 631 eur;</t>
    </r>
    <r>
      <rPr>
        <b/>
        <sz val="11"/>
        <color rgb="FFFF0000"/>
        <rFont val="Calibri"/>
        <family val="2"/>
        <charset val="186"/>
        <scheme val="minor"/>
      </rPr>
      <t xml:space="preserve"> ielikts zemāk</t>
    </r>
    <r>
      <rPr>
        <sz val="11"/>
        <color rgb="FFFF0000"/>
        <rFont val="Calibri"/>
        <family val="2"/>
        <charset val="186"/>
        <scheme val="minor"/>
      </rPr>
      <t xml:space="preserve"> pie rīk.Nr. 497 , </t>
    </r>
    <r>
      <rPr>
        <b/>
        <sz val="11"/>
        <color rgb="FFFF0000"/>
        <rFont val="Calibri"/>
        <family val="2"/>
        <charset val="186"/>
        <scheme val="minor"/>
      </rPr>
      <t>679 395 euro)</t>
    </r>
  </si>
  <si>
    <t>Piešķirt Kultūras ministrijai pārskaitīšanai 1991.gada barikāžu dalībnieku biedrībai 21 704 euro, lai Covid-19 izplatības seku novēršanas un pārvarēšanas pasākumu ietvaros stabilizētu finanšu situāciju biedrības struktūrvienībā – 1991.gada barikāžu muzejā.</t>
  </si>
  <si>
    <t>MK rīkojums Nr. 580 Par finanšu līdzekļu piešķiršanu no valsts budžeta programmas "Līdzekļi neparedzētiem gadījumiem"</t>
  </si>
  <si>
    <t xml:space="preserve"> „Radošo personu nodarbinātības programma” 2.kārtas īstenošanai</t>
  </si>
  <si>
    <t>lai stabilizētu finanšu situāciju biedrības struktūrvienībā - 1991. gada barikāžu muzejā.</t>
  </si>
  <si>
    <t>Novērtējums uz DBP 2022</t>
  </si>
  <si>
    <t>Prognoze uz DBP 2022</t>
  </si>
  <si>
    <t>18.05.2021 24.08.2021</t>
  </si>
  <si>
    <t>Informatīvais ziņojums "Par pieteikumu Janssen vakcīnai"; Informatīvais ziņojums "Par vakcīnu pieejamību un krājumiem, un atteikšanos no Janssen vakcīnu piegādes 2022. gada II ceturksnī"</t>
  </si>
  <si>
    <t>14.07.2021 10.08.2021</t>
  </si>
  <si>
    <t>06.07.2021 24.09.2021</t>
  </si>
  <si>
    <t>MK rīkojums Nr. 625 Par finanšu līdzekļu piešķiršanu no valsts budžeta programmas "Līdzekļi neparedzētiem gadījumiem"</t>
  </si>
  <si>
    <t>Indikatīvi vērtējams, ka fiskālā ietekme (t.sk. VSAOI iemaksas 2.pensiju līmenī) prognozēta: 2021.gadā -75 milj.euro; 2022.gadā +7,5 milj.euro; 2023.gadā +15 milj.euro un 2024.gadā +30 milj.euro. Fiskālā ietekme prognozēta, pieņemot, ka 2020. gada 1.pusgadā piešķirto termiņpagarinājumu apmērs veidos 50% no 2020.gadā piešķirtajiem ~150 milj.euro. Attiecīgi turpmākajos trīs gados tiks atmaksāti kopā 70% no piešķirtā termiņpagarinājumu apjoma.</t>
  </si>
  <si>
    <t>Rīkojums Nr.418 "Par finanšu līdzekļu piešķiršanu no valsts budžeta programmas "Līdzekļi neparedzētiem gadījumiem""</t>
  </si>
  <si>
    <t>Pašvaldība piešķirs ģimenei (personai) pabalstu krīzes situācijā, ja ģimenei (personai) nav ienākumu, ir radušies papildus izdevumi, ko tā pati nespēj segt, atrodoties pašizolācijā vai ir atradusies karantīnā un tai nav iztikas līdzekļu (50 procentu apmērā no ģimenei (personai) izmaksātā pabalsta krīzes situācijā, bet ne vairāk kā 40 euro mēnesī (2021.g. februārī-decembrī 75 euro) vienai personai triju mēnešu periodā)</t>
  </si>
  <si>
    <t>MK rīkojums Nr.636 “Par apropriācijas pārdali no budžeta resora “74. Gadskārtējā valsts budžeta izpildes procesā pārdalāmais finansējums” programmas 11.00.00 “Demogrāfijas pasākumi” uz Izglītības un zinātnes ministrijas, Veselības ministrijas, Zemkopības ministrijas, Kultūras ministrijas un Labklājības ministrijas budžetu</t>
  </si>
  <si>
    <t>MK rīkojums Nr.512 “Par finanšu līdzekļu piešķiršanu no valsts budžeta programmas “Līdzekļi neparedzētiem gadījumiem”</t>
  </si>
  <si>
    <t>MK rīk. Nr.586 "Par finanšu līdzekļu piešķiršanu no valsts budžeta programmas "Līdzekļi neparedzētiem gadījumiem""</t>
  </si>
  <si>
    <t>MK rīk. Nr.531 "Par finanšu līdzekļu piešķiršanu no valsts budžeta programmas "Līdzekļi neparedzētiem gadījumiem""</t>
  </si>
  <si>
    <t>Piešķirt Veselības ministrijai (Nacionālajam veselības dienestam) finansējumu 2 812 894 euro apmērā, lai segtu izdevumus, kas radušies saistībā ar COVID-19 uzliesmojumu un seku novēršanu, tai skaitā:
1.1. 1 920 454 euro par ambulatorajiem veselības aprūpes pakalpojumiem;
1.2. 729 384 euro par stacionārajiem veselības aprūpes pakalpojumiem;
1.3. 163 056 euro par laboratorisko izmeklējumu organizēšanu.</t>
  </si>
  <si>
    <t>MK rīk. Nr.532 "Par finanšu līdzekļu piešķiršanu no valsts budžeta programmas "Līdzekļi neparedzētiem gadījumiem""</t>
  </si>
  <si>
    <t>Piešķirt Veselības ministrijai 69,6 milj. euro, lai segtu vakcīnas pret Covid-19 iegādes, loģistikas un ievades izdevumus (nepārdalītā daļa)</t>
  </si>
  <si>
    <t>Veselības ministrijai (Nacionālajam veselības dienestam) pieteikties kopējā iepirkumā Comirnaty vakcīnu devu iegādei 2021.-2023. gadā. Ietekmes noņemtas/precizētas atbilstoši MK 21.09.2021 lemtajam</t>
  </si>
  <si>
    <t xml:space="preserve">Informatīvais ziņojums “Par vakcīnu ražotāja Sanofi, Astra Zeneca, CUREVAC AG un BioNTech/Pfizer vakcīnu pret Covid-19 iegādi” </t>
  </si>
  <si>
    <t>Veselības ministrijai (Nacionālajam veselības dienestam) Comirnaty vakcīnu pret Covid-19 iegādes, loģistikas un ievades izdevumi 2022. un 2023. gadam nepārsniedz 122 226 195 euro (ar PVN), tai skaitā 2022.gadam 58 823 680 euro un 2023.gadam 63 402 515 euro”</t>
  </si>
  <si>
    <t>Veselības ministrijai (Nacionālajam veselības dienestam) 2022.gadā iegādāties ražotāja Astra Zeneca izstrādātās vakcīnas pret Covid-19 263 870 devas 3 539 457 euro (bez PVN)</t>
  </si>
  <si>
    <t>Veselības ministrijai (Nacionālajam veselības dienestam) 2022.gadā iegādāties Sanofi izstrādātās vakcīnas pret Covid-19 158 400 devas 2 502 030 euro (bez PVN)</t>
  </si>
  <si>
    <t>Veselības ministrijai (Nacionālajam veselības dienestam) 2022.gadā iegādāties ražotāja CUREVAC AG izstrādātās vakcīnas pret Covid-19 946 510 devas 21  999 220 euro (bez PVN)</t>
  </si>
  <si>
    <t>Veselības ministrijai (Nacionālajam veselības dienestam) loģistikas izdevumu segšanai 2022.gadam 400 613 euro apmērā, tai skaitā: Janssen vakcīnas loģistikas izdevumiem 101 697 euro, Moderna vakcīnas loģistikas izdevumiem 170 243 euro,  Novavax vakcīnas loģistikas izdevumiem 98 164 euro, Valneva vakcīnas loģistikas izdevumiem 30 509 euro.</t>
  </si>
  <si>
    <t>Vakcīnu loģistikas izdevumu segšanai</t>
  </si>
  <si>
    <t>Piešķirt Valsts kancelejai finansējumu 48 988 euro, lai segtu vienotā informatīvā tālruņa 8345 izdevumus, nodrošinot personu informēšanu par Latvijā noteiktajiem Covid-19 epidemioloģiskās drošības pasākumiem</t>
  </si>
  <si>
    <t>MK rīkojums Nr.676
28.09.2021
(prot. Nr.56 54.§)</t>
  </si>
  <si>
    <t xml:space="preserve"> informatīvā tālruņa "8345" izdevumiem</t>
  </si>
  <si>
    <t xml:space="preserve">Veselības ministrijai (Nacionālajam veselības dienestam) pieteikties kopējā iepirkumā Novavax vakcīnu iegādei un piešķirt finansējumu, kas nepārsniedz 10 158 374 euro,  lai segtu iegādes, ievades un loģistikas izmaksas 
</t>
  </si>
  <si>
    <t>16.02.2021 01.03.2021 27.05.2021
05.10.2021</t>
  </si>
  <si>
    <t>24.11.2020.
01.12.2020. 07.01.2021 11.01.2021
01.04.2021
05.10.2021</t>
  </si>
  <si>
    <t>24.11.2020 01.12.2020 10.12.2020 07.01.2021 11.01.2021 12.03.2021 05.10.2021</t>
  </si>
  <si>
    <t>MK Nr.661"Par finanšu līdzekļu piešķiršanu no valsts budžeta programmas "Līdzekļi neparedzētiem gadījumiem"
17.09.2021
(prot. Nr.61 52.§)</t>
  </si>
  <si>
    <t>Piešķirt Finanšu ministrijai (Valsts ieņēmumu dienestam) 313 614 euro apmērā, tajā skaitā:
1. 191 565 euro apmērā, lai segtu izdevumus, kas saistīti ar piemaksu izmaksu Valsts ieņēmumu dienesta Muitas pārvaldes amatpersonām ar speciālajām dienesta pakāpēm par darbu paaugstināta riska apstākļos sabiedrības veselības apdraudējuma situācijā saistībā ar Covid-19 uzliesmojumu laikposmā no 2021. gada 1. jūlija līdz 2021. gada 31. jūlijam atbilstoši faktiski nostrādātajām darba stundām tiešā un uzskaitāmi pierādāmā saskarē ar Covid-19 inficētām vai iespējami inficētām personām, kā arī atbilstoši pārrēķinātajai piemaksu summai laikposmā no 2021. gada 1. marta līdz 2021. gada 31. aprīlim;
2.  122 049 euro apmērā, lai nodrošinātu atvaļinājuma naudas pieauguma segšanu, kas saistīts ar VID amatpersonām izmaksāto piemaksu par darbu paaugstināta riska apstākļos sabiedrības veselības apdraudējuma situācijā saistībā ar Covid-19 uzliesmojumu laikposmā no 2021. gada 1. marta līdz 2021. gada 31. jūlijam.</t>
  </si>
  <si>
    <t>Finansējums Labklājības ministrjai VSAA virsstundu darba apmaksai</t>
  </si>
  <si>
    <t>Finansējums Labklājības ministrijai</t>
  </si>
  <si>
    <t>Piešķirt Labklājības ministrijai (Valsts sociālās apdrošināšanas aģentūrai) finansējumu 62 332 euro apmērā izdevumu kompensēšanai saistībā ar virsstundu darbu atbilstoši faktiskajam virsstundu apjomam, veiktajām piemaksām par papildu pienākumu veikšanu un piemaksām par personisko darba ieguldījumu un darba kvalitāti laikposmā no 2021. gada 1. janvāra līdz 2021. gada 30. aprīlim Valsts sociālās apdrošināšanas aģentūras darbiniekiem, kuri nodrošināja ar Covid-19 ietekmes mazināšanu saistīto pakalpojumu piešķiršanu un izmaksu, kā arī klientu neklātienes konsultēšanu.</t>
  </si>
  <si>
    <t>MK rīk. Nr.417 "Par finanšu līdzekļu piešķiršanu no valsts budžeta programmas "Līdzekļi neparedzētiem gadījumiem""</t>
  </si>
  <si>
    <t>Iekšlietu ministrijai finansējumu 1 690 868 euro apmērā, 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tā seku novēršanu laikposmā no 2021. gada 1. augusta līdz 2021. gada 31. augustam, kā arī samaksu par virsstundu darbu (samaksa par dienesta pienākumu izpildi virs noteiktā dienesta pienākumu izpildes laika) ārkārtas uzdevumu veikšanai Covid-19 izplatības ierobežošanai atbilstoši faktiskajam virsstundu apjomam, kas izveidojies laikposmā no 2021. gada 1. maija līdz 2021. gada 31. augustam, tai skaitā:
1. Valsts policijai – 1 175 859 euro;
2. Valsts policijas koledžai – 5 917 euro;
3. Valsts robežsardzei – 509 020 euro;
4. Valsts robežsardzes koledžai – 72 euro.</t>
  </si>
  <si>
    <t>MK rīk. Nr.705 "Par finanšu līdzekļu piešķiršanu no valsts budžeta programmas "Līdzekļi neparedzētiem gadījumiem"
06.10.2021
(prot. Nr.66 33.§)</t>
  </si>
  <si>
    <t>MK rīk. Nr.527 "Par finanšu līdzekļu piešķiršanu no valsts budžeta programmas "Līdzekļi neparedzētiem gadījumiem"
10.08.2021
(prot. Nr.55 86.§)</t>
  </si>
  <si>
    <t>MK rīk. Nr.709 "Par finanšu līdzekļu piešķiršanu no valsts budžeta programmas "Līdzekļi neparedzētiem gadījumiem"
06.10.2021
(prot. Nr.66 40.§)</t>
  </si>
  <si>
    <t>Piešķirt Veselības ministrijai finansējumu, kas nepārsniedz 15 927 641 euro, lai nodrošinātu piemaksas un atvaļinājuma rezerves uzkrājumu atbilstoši aprēķinātājai piemaksu summai no 2021. gada 1. oktobra līdz 2021. gada 30. novembrim atbildīgo institūciju ārstniecības personām un citiem nodarbinātajiem par darbu paaugstināta riska un slodzes apstākļos sabiedrības veselības apdraudējuma situācijā saistībā ar Covid-19 uzliesmojumu un seku novēršanu, tai skaitā:
 1.1. finansējumu, kas nepārsniedz 14 715 834 euro, piemaksu nodrošināšanai;
 1.2. finansējumu, kas nepārsniedz 1 211 807 euro, atvaļinājuma rezerves uzkrājumu nodrošināšanai.</t>
  </si>
  <si>
    <t>Piemaksām  un atvaļinājuma rezervēm</t>
  </si>
  <si>
    <t>Pabalsts peronām vecumā 60+                  (20 eur/ mēn)</t>
  </si>
  <si>
    <t>Covid-19 infekcijas izplatības seku pārvarēšanas likums https://likumi.lv/ta/id/315287-covid-19-infekcijas-izplatibas-seku-parvaresanas-likums</t>
  </si>
  <si>
    <t>ikmēneša atbalsts 20 euro apmērā katram Latvijas iedzīvotājam, kas saniedzis 60 gadu vecumu un ir vakcinējies (no 01.11.2021.  līdz 31.03.2022)</t>
  </si>
  <si>
    <t>Piešķirt Finanšu ministrijai (Valsts ieņēmumu dienestam)  finansējumu 287 712 euro apmērā, tai skaitā:
1. 17 839 euro, lai nodrošinātu samaksu par virsstundu darbu atbilstoši faktiskajam virsstundu apjomam laikposmā no 2021. gada 1. jūlija līdz 2021. gada 31. augustam Valsts ieņēmumu dienesta nodarbinātajiem, kuri nodrošina atbalsta izmaksu Covid-19 krīzes skartajiem uzņēmumiem;
2.  176 922 euro, lai segtu izdevumus, kas saistīti ar piemaksu izmaksu Valsts ieņēmumu dienesta Muitas pārvaldes amatpersonām ar speciālajām dienesta pakāpēm par darbu paaugstināta riska apstākļos sabiedrības veselības apdraudējuma situācijā saistībā ar Covid-19 uzliesmojumu laikposmā no 2021. gada 1. augusta līdz 2021. gada 31. augustam atbilstoši faktiski nostrādātajām darba stundām tiešā un uzskaitāmi pierādāmā saskarē ar Covid-19 inficētām vai iespējami inficētām personām;
3.  56 107 euro, lai nodrošinātu atvaļinājuma naudas pieauguma segšanu, kas saistīts ar Valsts ieņēmumu dienesta amatpersonām izmaksāto piemaksu par darbu paaugstināta riska apstākļos sabiedrības veselības apdraudējuma situācijā saistībā ar Covid-19 uzliesmojumu laikposmā no 2021. gada 1. marta līdz 2021. gada 31. augustam;
4. 36 844 euro, lai nodrošinātu atvaļinājuma naudas pieauguma segšanu, kas saistīts ar Valsts ieņēmumu dienesta nodarbinātajiem izmaksāto piemaksu par virsstundu darbu, nodrošinot atbalsta izmaksu Covid-19 krīzes skartajiem uzņēmumiem, laikposmā no 2021. gada 1. janvāra līdz 2021. gada 31. augustam.</t>
  </si>
  <si>
    <t>10.11.2020. 01.12.2020 08.12.2020 07.01.2021 12.01.2021 18.02.2021 29.04.2021 27.05.2020</t>
  </si>
  <si>
    <t>ambulatorajiem un stacionārajiem veselības aprūpes pakalpojumiem</t>
  </si>
  <si>
    <t>Piešķirt Veselības ministrijai finansējumu 2 487 793 euro apmērā, lai segtu izdevumus, kas radušies saistībā ar Covid-19 uzliesmojumu un seku novēršanu, no tiem:
1.1. Nacionālajam veselības dienestam – 2 359 026 euro, lai segtu izdevumus, kas radušies 2021. gada augustā, tai skaitā:
1.1.1. par ambulatorajiem veselības aprūpes pakalpojumiem 1 734 082 euro;
1.1.2. par stacionārajiem veselības aprūpes pakalpojumiem 496 441 euro;
1.1.3. par laboratorisko izmeklējumu organizēšanu 128 503 euro;
1.2. Neatliekamās medicīniskās palīdzības dienestam – 128 767 euro, lai segtu izdevumus par dezinfekcijas un individuālo aizsardzības līdzekļu iegādi no 2021. gada 1. septembra līdz 30. septembrim.</t>
  </si>
  <si>
    <t>https://tapportals.mk.gov.lv/annotation/9cf3c111-c2b5-413a-bc88-d577bc4dd60c</t>
  </si>
  <si>
    <t>Ministru kabineta rīkojums Nr. 773 "Par finanšu līdzekļu piešķiršanu no valsts budžeta programmas "Līdzekļi neparedzētiem gadījumiem"
Rīgā 2021. gada 27. oktobrī (prot. Nr. 72 51. §)</t>
  </si>
  <si>
    <t>23.02.2021
26.10.2021. groz.</t>
  </si>
  <si>
    <t>28.01.2021
groz. 26.10.2021</t>
  </si>
  <si>
    <r>
      <t xml:space="preserve">Pedagogu likmju skaits – 14790,032 x 300 euro = 4 437 124 euro
4 437 124 euro veidojas no kopsummas, kas aprēķināta katrai izglītības iestādei (kopumā – 1011 iestāde).  
Aukles, skolotāju palīgi (slodžu skaits) – 6 342,9795 x 300 = 1 902 894 euro
Kopā nepieciešams = 6 340 018 euro, tajā skaitā:
➡ 5 816 300 euro Izglītības un zinātnes ministrijai (62. resors "Mērķdotācijas pašvaldībām");
➡ 523 718 euro Izglītības un zinātnes ministrijai (15. resors "Izglītības un zinātnes ministrija").
</t>
    </r>
    <r>
      <rPr>
        <b/>
        <sz val="11"/>
        <rFont val="Calibri"/>
        <family val="2"/>
        <charset val="186"/>
        <scheme val="minor"/>
      </rPr>
      <t>Grozījumi MK 28.01.2021 rīkojumā Nr.56</t>
    </r>
    <r>
      <rPr>
        <sz val="11"/>
        <rFont val="Calibri"/>
        <family val="2"/>
        <scheme val="minor"/>
      </rPr>
      <t>. Aizstāt 1. punkta ievaddaļā skaitļus un vārdus "6 340 018 euro – 5 816 300 euro 62. resoram "Mērķdotācijas pašvaldībām" un 523 718 euro 15. resoram "Izglītības un zinātnes ministrija"" ar skaitļiem un vārdiem "5 959 806 euro – 5 440 610 euro 62. resoram "Mērķdotācijas pašvaldībām" un 519 196 euro 15. resoram "Izglītības un zinātnes ministrija"
 (</t>
    </r>
    <r>
      <rPr>
        <sz val="11"/>
        <color rgb="FFFF0000"/>
        <rFont val="Calibri"/>
        <family val="2"/>
        <charset val="186"/>
        <scheme val="minor"/>
      </rPr>
      <t>= SAMAZINA FINANSĒJUMU PAR 375 690 EURO)</t>
    </r>
  </si>
  <si>
    <t>Piešķirt Veselības ministrijai (Nacionālajam veselības dienestam) finansējumu 1 045 916 euro apmērā papildus gultu izvēršanai un atbilstošam materiāltehniskajam nodrošinājumam, tai skaitā:
 1. sabiedrībai ar ierobežotu atbildību "Rīgas 1. slimnīca" finansējumu 381 795 euro apmērā;
 2. sabiedrībai ar ierobežotu atbildību "Rīgas 2. slimnīca" finansējumu 376 625 euro apmērā;
 3. sabiedrībai ar ierobežotu atbildību "Rēzeknes slimnīca" finansējumu 49 075 euro apmērā;
 4. sabiedrībai ar ierobežotu atbildību "Jelgavas pilsētas slimnīca" finansējumu 175 421 euro apmērā;
 5. sabiedrībai ar ierobežotu atbildību "Ziemeļkurzemes reģionālā slimnīca" finansējumu 63 000 euro apmērā</t>
  </si>
  <si>
    <t xml:space="preserve">virsstundu darba apmaksa  </t>
  </si>
  <si>
    <t>Piešķirt Veselības ministrijai finansējumu 2 872 778 euro apmērā, lai kompensētu atbildīgajām institūcijām samaksu par ārstniecības personu un pārējo nodarbināto virsstundu darbu, kas saistīts ar Covid-19 jautājumu risināšanu un seku novēršanu, tai skaitā:
 1.1. Nacionālajam veselības dienestam – 2 834 391 euro, lai nodrošinātu samaksu ārstniecības iestādēm (2 779 026 euro) par laikposmu no 2021. gada 1. maija līdz 2021. gada 31. augustam un samaksu Nacionālā veselības dienesta darbiniekiem (55 365 euro) par laikposmu no 2021. gada 1. septembra līdz 2021. gada 30. septembrim;
 1.2. Slimību profilakses un kontroles centram – 28 837 euro par laikposmu no 2021. gada 1. septembra līdz 2021. gada 30. septembrim;
 1.3. Valsts asinsdonoru centram – 1 590 euro par laikposmu no 2021. gada 1. septembra līdz 2021. gada 30. septembrim;
 1.4. Veselības ministrijai – 7 960 euro par laikposmu no 2021. gada 1. septembra līdz 2021. gada 30. septembrim.</t>
  </si>
  <si>
    <t>papildus gultu izvēršanai un atbilstošam materiāltehniskajam nodrošinājumam,</t>
  </si>
  <si>
    <t>autobusu mobilā vakcinācijas punkta izveidei.</t>
  </si>
  <si>
    <t>Piešķirt Veselības ministrijai (Nacionālajam veselības dienestam)  finansējumu 67 880 euro apmērā, lai segtu izdevumus, kas radušies saistībā ar Covid-19 infekcijas uzliesmojumu un seku novēršanu 2021.gada novembrī, nodrošinot nepieciešamos autobusus mobilā vakcinācijas punkta izveidei.</t>
  </si>
  <si>
    <t>Piešķirt Izglītības un zinātnes ministrijai 1 582 153 euro izglītojamo atbalstam, mazinot Covid-19 pandēmijas radīto seku ietekmi uz mācību satura apguvi un iesaisti izglītībā, tai skaitā: 
1.1. 1 151 038 euro individuālo konsultāciju nodrošināšanai valsts un pašvaldību vispārējās izglītības iestādēs un pašvaldību profesionālās izglītības iestādēs Eiropas Savienības struktūrfondu un Kohēzijas fonda 2014.-2020.gada plānošanas perioda darbības programmas „Izaugsme un nodarbinātība” 8.3.4.specifiskā atbalsta mērķa „Samazināt priekšlaicīgu mācību pārtraukšanu, īstenojot preventīvus un intervences pasākumus” ietvaros;
1.2. 381 115  euro mācīšanās grupu atbalsta pasākumu īstenošanai un pedagogu palīgu nodrošināšanai valsts un pašvaldību vispārējās izglītības iestādēs Eiropas Savienības struktūrfondu un Kohēzijas fonda 2014.-2020.gada plānošanas perioda darbības programmas „Izaugsme un nodarbinātība” 8.3.2. specifiskā atbalsta mērķa „Palielināt atbalstu vispārējās izglītības iestādēm izglītojamo individuālo kompetenču attīstībai” 8.3.2.2. pasākuma „Atbalsts izglītojamo individuālo kompetenču attīstībai” ietvaros;
 1.3. 50 000 euro mācību priekšmetu olimpiāžu un zinātniski pētniecisko pasākumu īstenošanai pārraudzītas tiešsaistes režīmā Eiropas Savienības struktūrfondu un Kohēzijas fonda 2014.-2020.gada plānošanas perioda darbības programmas „Izaugsme un nodarbinātība” 8.3.2. specifiskā atbalsta mērķa „Palielināt atbalstu vispārējās izglītības iestādēm izglītojamo individuālo kompetenču attīstībai” 8.3.2.1. pasākuma „Atbalsts nacionāla un starptautiska mēroga pasākumu īstenošanai izglītojamo talantu attīstībai” ietvaros.</t>
  </si>
  <si>
    <t xml:space="preserve"> izglītojamo atbalstam</t>
  </si>
  <si>
    <t>Piešķirt Satiksmes ministrijai finansējumu 23 390 194  euro, lai kompensētu zaudējumus sabiedriskā transporta pakalpojumu sniedzējiem par sniegtajiem sabiedriskā transporta pakalpojumiem 2021. gadā, no tiem:
 1.1. reģionālās nozīmes pārvadājumos ar autobusiem  14 940 953  euro, tostarp  4 678 433 euro par Covid-19 infekcijas izplatības mazināšanu un ierobežojošo pasākumu seku rezultātā pasažieru skaita mazināšanos;
 1.2. reģionālās nozīmes pārvadājumos ar vilcieniem  8 449 241 euro, tostarp   3 282 335 euro par Covid-19 infekcijas izplatības mazināšanu un ierobežojošo pasākumu seku rezultātā pasažieru skaita mazināšanos.</t>
  </si>
  <si>
    <t xml:space="preserve">lai kompensētu zaudējumus sabiedriskā transporta pakalpojumu sniedzējiem par sniegtajiem sabiedriskā transporta pakalpojumiem </t>
  </si>
  <si>
    <t>Atbalsta grupa</t>
  </si>
  <si>
    <t>MK Nr. 772
27.10.2021
(prot. Nr.72 47.§)</t>
  </si>
  <si>
    <t>Ministru kabineta rīkojums Nr. 791
Rīgā 2021. gada 2. novembrī (prot. Nr. 73 31. §)</t>
  </si>
  <si>
    <r>
      <t xml:space="preserve">Līdzfinansējuma nodrošinājums dalībai Eiropas Savienības pētniecības un tehnoloģiju attīstības programmās, t.sk. </t>
    </r>
    <r>
      <rPr>
        <b/>
        <sz val="11"/>
        <color theme="9" tint="-0.249977111117893"/>
        <rFont val="Calibri"/>
        <family val="2"/>
        <charset val="186"/>
        <scheme val="minor"/>
      </rPr>
      <t xml:space="preserve">Apvārsnis </t>
    </r>
  </si>
  <si>
    <t xml:space="preserve"> </t>
  </si>
  <si>
    <t>UIN apliekamajā bāzē neiekļaut procentu maksājumus</t>
  </si>
  <si>
    <t>"Covid-19 infekcijas izplatības seku pārvarēšanas likums"</t>
  </si>
  <si>
    <t>UIN apliekamajā bāzē 2021. un 2022.gadā neiekļaut procentu maksājumus</t>
  </si>
  <si>
    <t>Priekšlikums, kas paredz ar UIN apliekamajā bāzē 2021. un 2022.gadā neiekļaut procentu maksājumus (Uzņēmumu ienākuma nodokļa  likuma 10.panta pirmās daļas normas), fiskālā ietekme vērtējama -5,5 milj. euro 2022. un 2023.gadā (šo pozīciju uzrāda decembra apkopojošā UIN deklarācijā, kā rezultātā nodokli maksā nākamā gada janvārī).
Aprēķinos par pamatu ņemti dati no maksātāju UIN deklarācijām par 2020.gadu (informācija uz 2021.gada 7.septembri), kur procentu maksājumi, kas tiek iekļauti ar UIN apliekamajā bāzē, veido ~22 milj. euro, kā rezultātā fiskālā ietekme vērtējama 22*20/80=5,5 milj. euro.</t>
  </si>
  <si>
    <t>20.03.2020 05.06.2020 24.11.2020 02.11.2021</t>
  </si>
  <si>
    <t>Tai skaitā 2020.gadā pašvaldību budžetā  -28,0 milj. eiro. Ņemot vērā, ka vēl nav ieviests vienotais konts un uzkrājumu princips, nav iespējams precīzi noteikti faktisko atbalstu.
Pēc VID datiem - 2019.gadā veicamo IIN avansa maksājumu summa bija 31,81 milj. EUR, 2020.gadā tie ir tikai 4,30 milj. EUR. Vienlaikus arī pēc gada ienākumu deklarāciju rezultātiem piemaksājamā IIN summa ir samazinājusies. Ja deklarācijās par 2018.gadu piemaksājamā summa bija 45,07 milj. EUR, tad par 2019.gadu tā ir 42,74 milj. EUR. Pagarināts atbalsts arī uz 2021.gadu un 2022.gadu</t>
  </si>
  <si>
    <t>Ietekme uz vispārējās valdības budžeta bilanci, % no IKP</t>
  </si>
  <si>
    <t>Ietekme uz vispārējās valdības budžeta bilanci, milj. eiro</t>
  </si>
  <si>
    <t>Ietekme uz budžeta bilanci</t>
  </si>
  <si>
    <t>Atbalsts tautsaimniecībai</t>
  </si>
  <si>
    <t>Dīkstāves pabalsts</t>
  </si>
  <si>
    <t>Algu subsīdijas</t>
  </si>
  <si>
    <t>Slimības pabalsta apmaksa no valsts budžeta līdzekļiem saistībā ar Covid-19</t>
  </si>
  <si>
    <t>Pabalsts personām vecumā virs 60 gadiem (20 eur mēnesī)</t>
  </si>
  <si>
    <t>Slimības palīdzības pabalsts</t>
  </si>
  <si>
    <t>Citi pabalsti</t>
  </si>
  <si>
    <t>Portfeļgarantijas</t>
  </si>
  <si>
    <t>Citas ALTUM programmas</t>
  </si>
  <si>
    <t>Pārējais atbalsts</t>
  </si>
  <si>
    <t>Veselības nozarei</t>
  </si>
  <si>
    <t>Satiksmes nozarei</t>
  </si>
  <si>
    <t>Izglītības un zinātnes nozarei</t>
  </si>
  <si>
    <t>Kultūras nozarei</t>
  </si>
  <si>
    <t>Zemkopības nozarei</t>
  </si>
  <si>
    <t>Granti apgrozāmajiem līdzekļiem uzņēmumiem</t>
  </si>
  <si>
    <t>x</t>
  </si>
  <si>
    <t>KOPĀ, milj. EUR</t>
  </si>
  <si>
    <t>KOPĀ, % no IKP</t>
  </si>
  <si>
    <t>Visas</t>
  </si>
  <si>
    <t>Slimnīcu pamatkapitāls</t>
  </si>
  <si>
    <t>Individuālie aizsardzības līdzekļi</t>
  </si>
  <si>
    <t>Piemaksas/atlīdzība</t>
  </si>
  <si>
    <t>Veselības aprūpes pakalpojumiem</t>
  </si>
  <si>
    <t>Cits finansējums</t>
  </si>
  <si>
    <t>Covid-19 testu iegāde</t>
  </si>
  <si>
    <t>Medikamentu iegāde</t>
  </si>
  <si>
    <t>Pasākumi</t>
  </si>
  <si>
    <t>ATBALSTA APJOMS</t>
  </si>
  <si>
    <t>% no attiecīgā gada IKP</t>
  </si>
  <si>
    <t>t.sk. Nodokļu samaksas termiņa pagarinājumi</t>
  </si>
  <si>
    <t>t.sk. Ātrāka PVN pārmaksas atmaksa</t>
  </si>
  <si>
    <t>t.sk. Iespēja nemaksāt IIN avansus</t>
  </si>
  <si>
    <t>t.sk. Dīkstāves pabalsti</t>
  </si>
  <si>
    <t>t.sk. Algu subsīdijas</t>
  </si>
  <si>
    <t>t.sk. Bezdarbnieku palīdzības pabalsts</t>
  </si>
  <si>
    <t>t.sk. Slimības pabalsts 1.-10.diena no valsts budžeta dēļ Covid-19</t>
  </si>
  <si>
    <t>t.sk. Vienreizējs pabalsts (500 EUR) ģimenēm par katru bērnu</t>
  </si>
  <si>
    <t>t.sk. Vienreizējs pabalsts (200 EUR) senioriem un cilvēkiem ar invaliditāti</t>
  </si>
  <si>
    <t>t.sk. Kredītu garantijas, t.sk. piesaistītais līdzfinansējums</t>
  </si>
  <si>
    <t>t.sk. Portfeļgarantijas, t.sk. piesaistītais līdzfinansējums</t>
  </si>
  <si>
    <t>t.sk. Aizdevumi apgrozāmiem līdzekļiem, t.sk. piesaistītais līdzfinansējums</t>
  </si>
  <si>
    <t>t.sk. Kapitāla fonds lielajiem komersantiem (ALTUM atbalsts no valsts budžeta finansējuma)</t>
  </si>
  <si>
    <t>t.sk. Aizdevumi ar kapitāla atlaidi investīciju projektiem komersantiem konkurētspējas veicināšanai</t>
  </si>
  <si>
    <t>t.sk. Pašvaldību aizņēmumu limita palielināšana</t>
  </si>
  <si>
    <t>t.sk. Satiksmes nozarei (t.sk. avio nozarei)</t>
  </si>
  <si>
    <t>t.sk. Granti apgrozāmajiem līdzekļiem</t>
  </si>
  <si>
    <t>t.sk. Zemkopības nozarei</t>
  </si>
  <si>
    <t>t.sk. Kultūras nozarei</t>
  </si>
  <si>
    <t>t.sk. Izglītības un zinātnes nozarei (t.sk. sportam un attālinātajām mācībām)</t>
  </si>
  <si>
    <t>Measures</t>
  </si>
  <si>
    <t>Total support (Plan)</t>
  </si>
  <si>
    <t>TOTAL SUPPORT</t>
  </si>
  <si>
    <t>incl. Grant for current assets</t>
  </si>
  <si>
    <t>incl. Agriculture sector</t>
  </si>
  <si>
    <t>incl. Culture sector</t>
  </si>
  <si>
    <t>incl. High readiness projects submitted by ministries related to overcoming the Covid-19 crisis and economic recovery</t>
  </si>
  <si>
    <t>incl. Redistribution of EU funds</t>
  </si>
  <si>
    <t>t.sk. Augstas gatavības projekti (bez autoceļiem)</t>
  </si>
  <si>
    <r>
      <t xml:space="preserve">1 </t>
    </r>
    <r>
      <rPr>
        <sz val="10"/>
        <color theme="1"/>
        <rFont val="Times New Roman"/>
        <family val="1"/>
        <charset val="186"/>
      </rPr>
      <t>FM novērtējums, ņemot vērā Valsts kases, VID, Altum, VSAA, LIAA, ZM u.c. institūciju iesniegto informāciju.</t>
    </r>
  </si>
  <si>
    <t>incl. EU funds over-commitments</t>
  </si>
  <si>
    <t>Piešķirt Iekšlietu ministrijai finansējumu 979 646 euro apmērā, tai skaitā:
 1.1. 803 688 euro, lai segtu izdevumus, kas saistīti ar piemaksu Iekšlietu ministrijas padotības iestāžu amatpersonām ar speciālajām dienesta pakāpēm par darbu paaugstināta riska un slodzes apstākļos sabiedrības veselības apdraudējuma situācijā saistībā ar Covid-19 uzliesmojumu un tā seku novēršanu laikposmā no 2021. gada 1. septembra līdz 2021. gada 30. septembrim, no tiem:
 1.1.1. Valsts policijai – 470 257 euro;
 1.1.2. Valsts robežsardzei – 333 431 euro;
 1.2. 175 958 euro Valsts policijai, lai kompensētu papildu izdevumus (vidējās izpeļņas pieaugums), kas radušies, nosakot atlīdzību  par darbu paaugstināta riska un slodzes apstākļos saistībā ar Covid-19 infekcijas slimības uzliesmojumu un tā seku novēršanu.</t>
  </si>
  <si>
    <t xml:space="preserve">Mk rīkojums Nr.627 Par finanšu līdzekļu piešķiršanu no valsts budžeta programmas "Līdzekļi neparedzētiem gadījumiem"
07.09.2021
</t>
  </si>
  <si>
    <t>MK rīk. Nr.744 Par finanšu līdzekļu piešķiršanu no valsts budžeta programmas "Līdzekļi neparedzētiem gadījumiem"
20.10.2021
(prot. Nr.70 42.§)</t>
  </si>
  <si>
    <t>MK rīk. Nr.824 Par finanšu līdzekļu piešķiršanu no valsts budžeta programmas "Līdzekļi neparedzētiem gadījumiem"
11.11.2021
(prot. Nr.74 43.§)</t>
  </si>
  <si>
    <t>Piešķirt Veselības ministrijai 1 528 euro epidemioloģisko nosacījumu, loģistikas un darba organizācijas procesa nodrošināšanai izglītības iestādē.</t>
  </si>
  <si>
    <t>Ministru kabineta rīkojums Nr. 827
(prot. Nr. 74 44. §)
Par finanšu līdzekļu piešķiršanu no valsts budžeta programmas "Līdzekļi neparedzētiem gadījumiem"</t>
  </si>
  <si>
    <t>Lai veiktu  epidemioloģisko nosacījumu, loģistikas un darba organizācijas procesa nodrošināšanu izglītības iestādēs</t>
  </si>
  <si>
    <t>AIM</t>
  </si>
  <si>
    <t>Piešķirt Aizsardzības  ministrijai 5190  euro epidemioloģisko nosacījumu, loģistikas un darba organizācijas procesa nodrošināšanai izglītības iestādē.</t>
  </si>
  <si>
    <r>
      <t xml:space="preserve">Piešķirt Izglītības un zinātnes ministrijai </t>
    </r>
    <r>
      <rPr>
        <b/>
        <sz val="11"/>
        <rFont val="Calibri"/>
        <family val="2"/>
        <charset val="186"/>
        <scheme val="minor"/>
      </rPr>
      <t>2 843 426</t>
    </r>
    <r>
      <rPr>
        <sz val="11"/>
        <rFont val="Calibri"/>
        <family val="2"/>
        <charset val="186"/>
        <scheme val="minor"/>
      </rPr>
      <t xml:space="preserve">  euro  (</t>
    </r>
    <r>
      <rPr>
        <sz val="11"/>
        <rFont val="Calibri"/>
        <family val="2"/>
        <scheme val="minor"/>
      </rPr>
      <t>361 892 euro Izglītības un zinātnes ministrijai un  2 481 534 euro Izglītības un zinātnes ministrijai (62. resors "Mērķdotācijas pašvaldībām").,  epidemioloģisko nosacījumu, loģistikas un darba organizācijas procesa nodrošināšanai izglītības iestādē.</t>
    </r>
  </si>
  <si>
    <t>Piešķirt Zemkopības  ministrijai 3210   euro epidemioloģisko nosacījumu, loģistikas un darba organizācijas procesa nodrošināšanai izglītības iestādē.</t>
  </si>
  <si>
    <t>Piešķirt Kultūras ministrijai 106 838  euro epidemioloģisko nosacījumu, loģistikas un darba organizācijas procesa nodrošināšanai izglītības iestādē.</t>
  </si>
  <si>
    <t>piemaksām VID Nodokļu un muitas policijas pārvaldes un Muitas pārvaldes amatpersonām, par nostrādāto laikposmā no 2021. gada 1. septembra līdz 2021. gada 30. septembrim</t>
  </si>
  <si>
    <t>lai segtu izdevumus, kas radušies saistībā ar Covid-19 uzliesmojumu un seku novēršanu</t>
  </si>
  <si>
    <t>Piešķirt Veselības ministrijai  finansējumu 18 983 278 euro apmērā, lai segtu izdevumus, kas radušies saistībā ar Covid-19 uzliesmojumu un seku novēršanu, tai skaitā:
1.1. Nacionālajam veselības dienestam – 18 725 744 euro, lai segtu izdevumus par  ambulatorajiem un stacionārajiem veselības aprūpes pakalpojumiem un laboratorisko izmeklējumu organizēšanu 2021. gada oktobrī un novembrī;
1.2. Neatliekamās medicīniskās palīdzības dienestam – 257 534 euro, lai segtu izdevumus par dezinfekcijas un individuālo aizsardzības līdzekļu iegādi  2021. gada oktobrī un novembrī.</t>
  </si>
  <si>
    <t>07.07.2021
16.11.2021</t>
  </si>
  <si>
    <t>piešķirt Veselībasministrijai (Nacionālajam veselības dienestam) finansējumu 206500 euro apmērā, lai nodrošinātu kombinēta monoklonāloantivielu preparāta REGN-CoV2 (casirivimabs/imdevimabs(firma Roche)) pieejamību Covid-19 ārstēšanas procesā.
16.11.2021 groz. MK rīk.nr. 502, palielinot fin par 0,4 milj. eiro</t>
  </si>
  <si>
    <r>
      <t xml:space="preserve">Vides aizsardzības un reģionālās attīstības ministrijai finansējumu, kas nepārsniedz 4 550 616 euro apmērā, lai segtu izdevumus, kas pašvaldībām radušies 2021.gadā, nodrošinot nacionāla mēroga vakcinācijas kompleksu darbību
</t>
    </r>
    <r>
      <rPr>
        <sz val="11"/>
        <color rgb="FFFF0000"/>
        <rFont val="Calibri"/>
        <family val="2"/>
        <charset val="186"/>
        <scheme val="minor"/>
      </rPr>
      <t>16.11.2021 ar groz.rīk. 247, samazina VARAM daļu 3,4 milj. (BD LNG fails uz 17.11.2021</t>
    </r>
    <r>
      <rPr>
        <sz val="11"/>
        <rFont val="Calibri"/>
        <family val="2"/>
        <charset val="186"/>
        <scheme val="minor"/>
      </rPr>
      <t>)</t>
    </r>
  </si>
  <si>
    <r>
      <t xml:space="preserve">Veselības ministrijai (Nacionālajam veselības dienestam) finansējumu, kas nepārsniedz 1 036 913 euro apmērā, lai nodrošinātu nacionāla mēroga vakcinācijas kompleksu darbību
</t>
    </r>
    <r>
      <rPr>
        <sz val="11"/>
        <color rgb="FFFF0000"/>
        <rFont val="Calibri"/>
        <family val="2"/>
        <charset val="186"/>
        <scheme val="minor"/>
      </rPr>
      <t>16.11.2021 palielināts par 175 009 eur ((BD LNG fails uz 17.11.2021))</t>
    </r>
  </si>
  <si>
    <t>14.04.2021
07.07.2021 groz.
16.11.2021 groz.</t>
  </si>
  <si>
    <t>14.04.2021
16.11.2021 groz.</t>
  </si>
  <si>
    <t>24.03.2021
16.11.2021 groz.</t>
  </si>
  <si>
    <r>
      <t xml:space="preserve">1.finansējums, kas nepārsniedz 1 186 783 euro, lai nodrošinātu tālruņa numura “8989” darbību;
2. finansējums 16 270 euro apmērā, lai segtu izdevumus, kas radušies saistībā ar tālruņa numura “8989” darbības nodrošināšanu
</t>
    </r>
    <r>
      <rPr>
        <sz val="11"/>
        <color rgb="FFFF0000"/>
        <rFont val="Calibri"/>
        <family val="2"/>
        <charset val="186"/>
        <scheme val="minor"/>
      </rPr>
      <t>16.11.2021 palielināts fin. 101 954 eur</t>
    </r>
  </si>
  <si>
    <t>P.1</t>
  </si>
  <si>
    <t>medicīnas inventāram un tā rezerves daļām, medicīnas gāzēm</t>
  </si>
  <si>
    <t>„Kultūras pasākumu rīkotāju biļešu kompensācija” 4. kārta</t>
  </si>
  <si>
    <t>mērķprogrammas “Kultūras pasākumu rīkotāju biļešu kompensācija” 4.kārtai, biļešu kompensācijai 80% apmērā un atbalsta programmas administrēšanai; 730 220 eur</t>
  </si>
  <si>
    <t>05.05.2020 30.06.2020 10.12.2020 21.12.2020 07.01.2021 11.01.2021 12.03.2021 14.04.2021 16.11.2021</t>
  </si>
  <si>
    <r>
      <t>Plānotais bezdarbnieka palīdzības pabalsta saņēmēju skaits vidēji mēnesī – 18 653 (izmaksai aprīlis – decembris); 
Vidējais palīdzības pabalsta apmērs – 180 euro mēnesī personai ne ilgāk kā 4 mēnešus pēc bezdarbnieka pabalsta izmaksas perioda beigām.
Atbilstoši Ministru kabineta 30.06.2020 rīkojumam Nr.366 (prot. Nr.42 53.§), kas veic grozījumu Ministru kabineta 05.05.2020. rīkojumā Nr.238 (prot. Nr.29 4.§), tiek paredzēts bezdarbnieka palīdzības pabalsta izmaksas nodrošināšanu un bezdarbnieka pabalsta izdevumu nepārtrauktības risku novēršanu (20 145 240 eur pārdalīti bezdarbnieku pabalstiem). Ņemot vērā izpildi, pārrēķināts nepieciešamais finansējums (FM 30.10.2020. rīkojums Nr.436). Grozījumi likumā "Par apdrošināšanu bezdarba gadījumam" (izskatīts MK 10.12.2020. sēdē) pabalsta piešķiršanas termiņs pagarināts līdz 30.06.2021. Finansiālā ietekme 3 314 520 euro (2021.gadā no LNG)</t>
    </r>
    <r>
      <rPr>
        <sz val="11"/>
        <color theme="1"/>
        <rFont val="Calibri"/>
        <family val="2"/>
        <charset val="186"/>
        <scheme val="minor"/>
      </rPr>
      <t xml:space="preserve">. ar MK 11.01.2021. rīkojumu Nr.16 (ar grozījumiem) piešķirts finansējums 14 830 016 euro apmērā. </t>
    </r>
    <r>
      <rPr>
        <sz val="11"/>
        <color rgb="FFFF0000"/>
        <rFont val="Calibri"/>
        <family val="2"/>
        <charset val="186"/>
        <scheme val="minor"/>
      </rPr>
      <t xml:space="preserve">
2021.gadā samazināts ar MK 11.01.21. rīk. Nr.16 piešķirtais finansējums par 1,7 milj. eiro bezdarbnieka palīdzības pabalsta izmaksai 180 eiro  apmērā; 
</t>
    </r>
  </si>
  <si>
    <r>
      <t xml:space="preserve">Ar MK 01.12.2020. rīkojumu Nr.707 “Par finanšu līdzekļu iešķiršanu no valsts budžeta programmas “Līdzekļi neparedzētiem gadījumiem”  tika piešķirts finansējums 2020.gadam 10 505 162 euro. Sākotnēji piešķirti arī 23 595 euro VSAA IS funkcionalitātes nodrošināšanai. 2021.gadā pie nosacījuma, ja personu loks, kas nevar strādāt attālināti, sasniegs 30% no nodarbinātajiem, 2021.gadā nepieciešamais finansējums provizoriski tiek plānots 67 554 834 euro apmērā (t.sk. 23 595 euro VSAA IS funkcionalitātes nodrošināšanai). </t>
    </r>
    <r>
      <rPr>
        <sz val="11"/>
        <color rgb="FFFF0000"/>
        <rFont val="Calibri"/>
        <family val="2"/>
        <charset val="186"/>
        <scheme val="minor"/>
      </rPr>
      <t xml:space="preserve">No LNG sākotnēji piešķirti 11 255 206  euro. 18.03.2021 MK lēma par zemāku nepieciešamo finansējumu 55 039 882 euro. 27.05.2021. MK nolēma, ka nepieciešami 14 727 412  euro.
05.10.2021 MK veic grozījumus  "Grozījums Ministru kabineta 2021. gada 11. janvāra rīkojumā Nr. 13 "Par finanšu līdzekļu piešķiršanu no valsts budžeta programmas "Līdzekļi neparedzētiem gadījumiem""", tomēr samazinot piešķirto apmēru par 1,4 m euro  (jaunā summa </t>
    </r>
    <r>
      <rPr>
        <b/>
        <sz val="11"/>
        <color rgb="FFFF0000"/>
        <rFont val="Calibri"/>
        <family val="2"/>
        <charset val="186"/>
        <scheme val="minor"/>
      </rPr>
      <t>13 368 214</t>
    </r>
    <r>
      <rPr>
        <sz val="11"/>
        <color rgb="FFFF0000"/>
        <rFont val="Calibri"/>
        <family val="2"/>
        <charset val="186"/>
        <scheme val="minor"/>
      </rPr>
      <t xml:space="preserve">  euro)
16.11.2021 </t>
    </r>
    <r>
      <rPr>
        <b/>
        <sz val="11"/>
        <color rgb="FFFF0000"/>
        <rFont val="Calibri"/>
        <family val="2"/>
        <charset val="186"/>
        <scheme val="minor"/>
      </rPr>
      <t>samazināts ar MK 11.01.21. rīk. Nr.13 piešķirtais finansējums 8 417 724 eiro</t>
    </r>
    <r>
      <rPr>
        <sz val="11"/>
        <color rgb="FFFF0000"/>
        <rFont val="Calibri"/>
        <family val="2"/>
        <charset val="186"/>
        <scheme val="minor"/>
      </rPr>
      <t xml:space="preserve"> slimības palīdzības pabalstu izmaksai;
</t>
    </r>
  </si>
  <si>
    <t>26.11.2020 01.12.2020 10.12.2020 11.01.2021 18.03.2021 27.05.2021
05.10.2021
16.11.2021</t>
  </si>
  <si>
    <t xml:space="preserve">Finansējums 2 431 560 euro, lai nodrošinātu medikamenta Veclury ar aktīvo vielu remdesivīrs pieejamību medikamentozās ārstēšanas procesā no 2021. gada janvāra līdz 2021. gada 30.jūnijam. 18.05.2021 MK piešķīris papildus 4 657 500 euro. 
23.11.2021 MK  Nr.876  (prot. Nr.76 29.§), piešķirti papildus 4 554 000 euro
</t>
  </si>
  <si>
    <t>ambulatorajiem, stacionārajiem veselības aprūpes pakalpojumiem un laboratoriskajiem izmeklējumiem;</t>
  </si>
  <si>
    <r>
      <t>Piešķirt Veselības ministrijai (Nacionālajam veselības dienestam) finansējumu</t>
    </r>
    <r>
      <rPr>
        <b/>
        <sz val="11"/>
        <rFont val="Calibri"/>
        <family val="2"/>
        <charset val="186"/>
        <scheme val="minor"/>
      </rPr>
      <t xml:space="preserve"> 4 284 321 euro</t>
    </r>
    <r>
      <rPr>
        <sz val="11"/>
        <rFont val="Calibri"/>
        <family val="2"/>
        <charset val="186"/>
        <scheme val="minor"/>
      </rPr>
      <t xml:space="preserve"> apmērā gultu izveidei un atbilstošu medicīnisko iekārtu un papildaprīkojuma iegādei, FINANSĒJUMA SLIMNĪCĀM REĢIONOS. + </t>
    </r>
    <r>
      <rPr>
        <b/>
        <sz val="11"/>
        <rFont val="Calibri"/>
        <family val="2"/>
        <charset val="186"/>
        <scheme val="minor"/>
      </rPr>
      <t xml:space="preserve"> 397 211 euro</t>
    </r>
    <r>
      <rPr>
        <sz val="11"/>
        <rFont val="Calibri"/>
        <family val="2"/>
        <charset val="186"/>
        <scheme val="minor"/>
      </rPr>
      <t xml:space="preserve">  gultu izveidei un atbilstošu medicīnisko iekārtu un papildaprīkojuma iegādei, kā arī skābekļa pievades vai izveides sistēmu uzlabošanai.</t>
    </r>
  </si>
  <si>
    <t>gultu izveidei un atbilstošu medicīnisko iekārtu un papildaprīkojuma iegādei</t>
  </si>
  <si>
    <t>finansējums valsts drošības dienestam</t>
  </si>
  <si>
    <t>D.6</t>
  </si>
  <si>
    <t>Piešķirt Satiksmes ministrijai finansējumu 116 532 euro apmērā, lai kompensētu mobilo sakaru operatoru izdevumus, kas radušies, nosūtot viesabonentiem, kuri ir reģistrējušies Latvijas mobilo sakaru operatora tīklā, SMS paziņojumu laikposmā no 2021. gada 1.aprīļa līdz 2021. gada 30. septembrim, tai skaitā:
 1. 36 056 euro – sabiedrībai ar ierobežotu atbildību „Latvijas Mobilais Telefons”;
 2. 53 110  euro – sabiedrībai ar ierobežotu atbildību „Tele2”;
3. 27 366 euro – sabiedrībai ar ierobežotu atbildību „BITE Latvija”.</t>
  </si>
  <si>
    <t xml:space="preserve">Ministru kabineta rīkojuma projekts (turpmāk – Projekts) sagatavots, lai segtu izdevumus mājokļu pieejamības pasākumiem ģimenēm ar bērniem, izsniedzot valsts garantijas un subsīdiju attiecībā uz mājokļa iegādei vai būvniecībai ņemto aizdevumu.
Projekts paredz pārdalīt finansējumu 8 000 000 euro apmērā no budžeta resora “74. Gadskārtējā valsts budžeta izpildes procesā pārdalāmais finansējums” programmas 11.00.00 "Demogrāfijas pasākumi" uz Ekonomikas ministrijas budžeta programmu 35.00.00 "Valsts atbalsta programmas".
 </t>
  </si>
  <si>
    <r>
      <t xml:space="preserve">iešķirt Iekšlietu ministrijai finansējumu </t>
    </r>
    <r>
      <rPr>
        <b/>
        <sz val="11"/>
        <color theme="1"/>
        <rFont val="Calibri"/>
        <family val="2"/>
        <charset val="186"/>
        <scheme val="minor"/>
      </rPr>
      <t>879 481 euro a</t>
    </r>
    <r>
      <rPr>
        <sz val="11"/>
        <color theme="1"/>
        <rFont val="Calibri"/>
        <family val="2"/>
        <charset val="186"/>
        <scheme val="minor"/>
      </rPr>
      <t>pmērā</t>
    </r>
    <r>
      <rPr>
        <sz val="11"/>
        <color theme="1"/>
        <rFont val="Calibri"/>
        <family val="2"/>
        <scheme val="minor"/>
      </rPr>
      <t>, lai segtu izdevumus, kas saistīti ar Iekšlietu ministrijas sistēmas iestāžu amatpersonu ar speciālajām dienesta pakāpēm piemaksām par darbu paaugstināta riska un slodzes apstākļos sabiedrības veselības apdraudējuma situācijā saistībā ar Covid-19 uzliesmojumu un seku novēršanu laikposmā no 2021. gada 1. oktobra līdz 2021. gada 31. oktobrim, kā arī piemaksām par nakts darbu iedzīvotāju pārvietošanās aizlieguma ievērošanas kontrolē no 2021. gada 21. oktobra līdz 2021. gada 14. novembrim laikposmā no plkst. 22.00 līdz plkst. 5.00, tai skaitā:
1.1.Valsts policijai – 546 185 euro;
1.2.Valsts policijas koledžai – 5 199 euro;
1.3.Valsts robežsardzei – 328 097 euro.</t>
    </r>
  </si>
  <si>
    <t>Ministru kabineta rīkojums Nr. 819
Rīgā 2021. gada 9. novembrī (prot. Nr. 74 37. §)</t>
  </si>
  <si>
    <r>
      <t>lai  segtu izdevumus mājokļu pieejamības pasākumiem ģimenēm ar bērniem, izsniedzot valsts garantijas un subsīdiju attiecībā uz mājokļa iegādei vai būvniecībai ņemto aizdevumu.</t>
    </r>
    <r>
      <rPr>
        <b/>
        <sz val="11"/>
        <rFont val="Calibri"/>
        <family val="2"/>
        <charset val="186"/>
        <scheme val="minor"/>
      </rPr>
      <t xml:space="preserve"> APRO PĀRDALE</t>
    </r>
  </si>
  <si>
    <t xml:space="preserve">14.01.2021 18.05.2021
23.11.2021 </t>
  </si>
  <si>
    <r>
      <t xml:space="preserve">Tiek plānots veikt ārpakalpojuma iegādi, lai veiktu personu aptauju apstiprinātas Covid-19 diagnozes gadījumā līdz 300 cilvēkstundām dienā. Finansējums 5 mēnešiem
</t>
    </r>
    <r>
      <rPr>
        <b/>
        <sz val="11"/>
        <rFont val="Calibri"/>
        <family val="2"/>
        <charset val="186"/>
        <scheme val="minor"/>
      </rPr>
      <t>23.11.  MK rīk.877 vekti grozījumi Mk rīk.55 Izdarīt Ministru kabineta 2021. gada 28. janvāra rīkojumā Nr. 55</t>
    </r>
    <r>
      <rPr>
        <sz val="11"/>
        <rFont val="Calibri"/>
        <family val="2"/>
        <charset val="186"/>
        <scheme val="minor"/>
      </rPr>
      <t xml:space="preserve"> "Par finanšu līdzekļu piešķiršanu no valsts budžeta programmas "Līdzekļi neparedzētiem gadījumiem"" (Latvijas Vēstnesis, 2021, 19B. nr.) šādus grozījumus:
1.
Izteikt 1. punktu šādā redakcijā:
"1. Finanšu ministrijai no valsts budžeta programmas 02.00.00 "Līdzekļi neparedzētiem gadījumiem" piešķirt Veselības ministrijai (Slimību profilakses un kontroles centram) finansējumu </t>
    </r>
    <r>
      <rPr>
        <b/>
        <sz val="11"/>
        <rFont val="Calibri"/>
        <family val="2"/>
        <charset val="186"/>
        <scheme val="minor"/>
      </rPr>
      <t>700 797 euro</t>
    </r>
    <r>
      <rPr>
        <sz val="11"/>
        <rFont val="Calibri"/>
        <family val="2"/>
        <charset val="186"/>
        <scheme val="minor"/>
      </rPr>
      <t xml:space="preserve"> apmērā, lai nodrošinātu Slimību profilakses un kontroles centra kapacitātes</t>
    </r>
  </si>
  <si>
    <t>MK rīkojums Nr. 844 Par finanšu līdzekļu piešķiršanu no valsts budžeta programmas "Līdzekļi neparedzētiem gadījumiem"</t>
  </si>
  <si>
    <t>Ministru kabineta rīkojums Nr. 842
Rīgā 2021. gada 16. novembrī (prot. Nr. 75 43. §)
Par finanšu līdzekļu piešķiršanu no valsts budžeta programmas "Līdzekļi neparedzētiem gadījumiem"</t>
  </si>
  <si>
    <t>Ministru kabineta rīkojums Nr. 796
Rīgā 2021. gada 2. novembrī (prot. Nr. 73 34. §)</t>
  </si>
  <si>
    <t>Ministru kabineta rīkojums Nr. 907
Rīgā 2021. gada 1. decembrī (prot. Nr. 78 49. §)</t>
  </si>
  <si>
    <t>Ministru kabineta rīkojums Nr. 843
Rīgā 2021. gada 16. novembrī (prot. Nr. 75 44. §)
Par finanšu līdzekļu piešķiršanu no valsts budžeta programmas "Līdzekļi neparedzētiem gadījumiem"</t>
  </si>
  <si>
    <r>
      <t xml:space="preserve">Piešķirt Veselības ministrijai (NVD) finansējumu, kas nepārsniedz 1 407 423 euro, lai palielinātu vakcinācijas aptveri uzlabojot sabiedrības veselības drošību.
16.11.2021 Mk rīk. Nr. 856, </t>
    </r>
    <r>
      <rPr>
        <b/>
        <sz val="11"/>
        <rFont val="Calibri"/>
        <family val="2"/>
        <charset val="186"/>
        <scheme val="minor"/>
      </rPr>
      <t>Grozījumi</t>
    </r>
    <r>
      <rPr>
        <sz val="11"/>
        <rFont val="Calibri"/>
        <family val="2"/>
        <charset val="186"/>
        <scheme val="minor"/>
      </rPr>
      <t xml:space="preserve">  "1. Finanšu ministrijai no valsts budžeta programmas 02.00.00 "Līdzekļi neparedzētiem gadījumiem" piešķirt Veselības ministrijai (Nacionālajam veselības dienestam) finansējumu, kas nepārsniedz 1 320 868 euro, lai palielinātu vakcinācijas aptveri un uzlabotu sabiedrības veselības drošību."</t>
    </r>
    <r>
      <rPr>
        <b/>
        <sz val="11"/>
        <rFont val="Calibri"/>
        <family val="2"/>
        <charset val="186"/>
        <scheme val="minor"/>
      </rPr>
      <t xml:space="preserve"> samazināts finansējums 86 555 eur apmērā</t>
    </r>
  </si>
  <si>
    <t>10.08.2021
16.11.2021</t>
  </si>
  <si>
    <t>Ministru kabineta rīkojums Nr. 745 "Par finanšu līdzekļu piešķiršanu no valsts budžeta programmas "Līdzekļi neparedzētiem gadījumiem"
Rīgā 2021. gada 20. oktobrī (prot. Nr. 70 43. §)</t>
  </si>
  <si>
    <t>Ministru kabineta  rīkojums Nr.799 "Par finanšu līdzekļu piešķiršanu no valsts budžeta programmas "Līdzekļi neparedzētiem gadījumiem" 02.11.2021 (prot. Nr.73 39.§)</t>
  </si>
  <si>
    <t>Ministru kabineta rīkojums Nr. 794 "Par finanšu līdzekļu piešķiršanu no valsts budžeta programmas "Līdzekļi neparedzētiem gadījumiem"
Rīgā 2021. gada 2. novembrī (prot. Nr. 73 42. §)</t>
  </si>
  <si>
    <t xml:space="preserve">Ministru kabineta rīkojums Nr.795 "Par finanšu līdzekļu piešķiršanu no valsts budžeta programmas ''Līdzekļi neparedzētiem gadījumiem''
02.11.2021 (prot. Nr. 73 46. §)
</t>
  </si>
  <si>
    <r>
      <t>Pamatojoties uz Covid-19 infekcijas izplatības seku pārvarēšanas likuma 25.pantu, atbalstīt valsts sabiedrības ar ierobežotu atbildību "Paula Stradiņa klīniskā universitātes slimnīca" pamatkapitāla palielināšanu, ieguldot tajā finanšu līdzekļus 2 330 332 euro apmērā, sabiedrības ar ierobežotu atbildību "Rīgas Austrumu klīniskā universitātes slimnīca" pamatkapitāla palielināšanu, ieguldot tajā finanšu līdzekļus 7 113 884 euro apmērā un valsts sabiedrības ar ierobežotu atbildību "Traumatoloģijas un ortopēdijas slimnīca" pamatkapitāla palielināšanu, ieguldot tajā finanšu līdzekļus 106 012 euro apmērā, jaunu gultu izveidei, medicīnisko iekārtu un papildaprīkojuma iegādei</t>
    </r>
    <r>
      <rPr>
        <b/>
        <sz val="11"/>
        <rFont val="Calibri"/>
        <family val="2"/>
        <charset val="186"/>
        <scheme val="minor"/>
      </rPr>
      <t>. KOPĀ 9 550 228 EUR PAMATKAPITĀLĀ</t>
    </r>
  </si>
  <si>
    <t>jaunu gultu izveidei, medicīnisko iekārtu un papildaprīkojuma iegādei_APRO PĀRDALE PAMATKAPITĀLA PALIELINĀŠANA</t>
  </si>
  <si>
    <t>Ministru kabineta rīkojums Nr. 797
Rīgā 2021. gada 4. novembrī (prot. Nr. 73 40. §)
Par apropriācijas palielināšanu Veselības ministrijai</t>
  </si>
  <si>
    <r>
      <t xml:space="preserve">Piešķirt Veselības ministrijai (Neatliekamās medicīniskās palīdzības dienestam) finansējumu </t>
    </r>
    <r>
      <rPr>
        <b/>
        <sz val="11"/>
        <rFont val="Calibri"/>
        <family val="2"/>
        <charset val="186"/>
        <scheme val="minor"/>
      </rPr>
      <t>873 348 euro</t>
    </r>
    <r>
      <rPr>
        <sz val="11"/>
        <rFont val="Calibri"/>
        <family val="2"/>
        <charset val="186"/>
        <scheme val="minor"/>
      </rPr>
      <t xml:space="preserve"> apmērā, lai segtu izdevumus, kas radušies saistībā ar koronavīrusa “Covid-19” uzliesmojumu un seku novēršanu, tai skaitā:
</t>
    </r>
    <r>
      <rPr>
        <sz val="8"/>
        <rFont val="Calibri"/>
        <family val="2"/>
        <charset val="186"/>
        <scheme val="minor"/>
      </rPr>
      <t xml:space="preserve">1.par medicīniskā inventāra un tā rezervju daļu iegādes izdevumiem – 38 408 euro;
2.par medicīniskās gāzes (skābekļa) iegādes un medicīniskās gāzes  (skābekļa) balonu nomas pakalpojumu izdevumiem – 39 372 euro;3.  par medicīnisko atkritumu savākšanas, izvešanas un utilizācijas pakalpojumu izdevumiem – 18 365 euro;
4.par operatīvo medicīnisko transportlīdzekļu rezerves daļu iegādes izdevumiem – 161 761 eur                                                                                                                                          5.par neatliekamās medicīniskās palīdzības brigāžu medicīniskā  aprīkojuma iegādes izdevumiem – 528 873 euro (Ministru kabineta 2020.gada 8.decembra sēdes protokols Nr. 81 7.§);                                                                                                               6.par neatliekamās medicīniskās palīdzības brigāžu pacientu pārvešanas izdevumiem – 86 569 euro (Ministru kabineta 2021.gada 2.novembra sēdes protokols Nr. 73 47.§). </t>
    </r>
  </si>
  <si>
    <t>20.04.2021
16.11.2021</t>
  </si>
  <si>
    <t xml:space="preserve">Piešķirt Veselības ministrijai finansējumu, kas nepārsniedz 52 247 703 euro, lai stiprinātu veselības nozares kapacitāti un noturību, no tiem:
1. Nacionālajam veselības dienestam finansējumu, kas nepārsniedz 52 087 557 euro, no tiem:
1.1.  51 027 000 euro apmērā, lai nodrošinātu Covid-19 vakcīnas iegādi, loģistiku un ievadi;
1.2. 640 000 euro apmērā piemaksai ģimenes ārstiem par sasniegtajiem Covid-19 vakcinācijas aptveres rādītājiem senioru un hronisko pacientu grupā;
1.3. 2 057 euro apmērā, lai nodrošinātu adrenalīna injekcijas;
1.4. 418 500 euro apmērā, lai nodrošinātu komunikācijas pasākumus saistībā ar vakcinēšanos.
2. Neatliekamās medicīniskās palīdzības dienestam  160 146 euro apmērā, lai sniegtu neatliekamo medicīnisko palīdzību personām vakcinācijas izraisīto komplikāciju (blakusparādību) gadījumos.
16.11.2021 Ministru kabineta rīkojums Nr. 852 palielināt summu par 1 412 083 euro </t>
  </si>
  <si>
    <t>Ministru kabineta rīkojums Nr. 850
Rīgā 2021. gada 17. novembrī (prot. Nr. 75 56. §)
Par finanšu līdzekļu piešķiršanu no valsts budžeta programmas "Līdzekļi neparedzētiem gadījumiem"</t>
  </si>
  <si>
    <r>
      <t xml:space="preserve">Pamatojoties uz Covid-19 infekcijas izplatības seku pārvarēšanas likuma 25.pantu, atbalstīt valsts sabiedrības ar ierobežotu atbildību “Rīgas psihiatrijas un narkoloģijas centrs” pamatkapitāla palielināšanu, ieguldot tajā finanšu līdzekļus 192 865 euro apmērā un v alsts sabiedrības ar ierobežotu atbildību “Slimnīca “Ģintermuiža”” pamatkapitāla palielināšanu, ieguldot tajā finanšu līdzekļus 26 502 euro apmērā, medicīnisko iekārtu un papildaprīkojuma iegādei. </t>
    </r>
    <r>
      <rPr>
        <b/>
        <sz val="11"/>
        <rFont val="Calibri"/>
        <family val="2"/>
        <charset val="186"/>
        <scheme val="minor"/>
      </rPr>
      <t>SUMMA 219 367 EUR PAMATKAPITĀLĀ</t>
    </r>
  </si>
  <si>
    <t>Ministru kabineta rīkojums Nr. 905
Rīgā 2021. gada 1. decembrī (prot. Nr. 78 47. §)
Par apropriācijas palielināšanu Veselības ministrijai</t>
  </si>
  <si>
    <t>Ministru kabineta rīkojums Nr. 900
Rīgā 2021. gada 1. decembrī (prot. Nr. 78 40. §)
Par apropriācijas palielināšanu Veselības ministrijai</t>
  </si>
  <si>
    <t>medicīnisko iekārtu un papildaprīkojuma iegādei
APRO PĀRDALE PAMATKAPITĀLA PALIELINĀŠANAI</t>
  </si>
  <si>
    <t>jaunu gultu izveidei, medicīnisko iekārtu un papildaprīkojuma iegādei. APRO PĀRDALE PAMATKAPITĀLA PALIELINĀŠANAI</t>
  </si>
  <si>
    <r>
      <t>Pamatojoties uz Covid-19 infekcijas izplatības seku pārvarēšanas likuma 25.pantu, atbalstīt valsts sabiedrības ar ierobežotu atbildību "Daugavpils psihoneiroloģiskā slimnīca" pamatkapitāla palielināšanu, ieguldot tajā finanšu līdzekļus 19 200 euro apmērā, valsts sabiedrības ar ierobežotu atbildību "Strenču psihoneiroloģiskā slimnīca" pamatkapitāla palielināšanu, ieguldot tajā finanšu līdzekļus 143 250 euro apmērā un valsts sabiedrības ar ierobežotu atbildību "Rīgas psihiatrijas un narkoloģijas centrs" pamatkapitāla palielināšanu, ieguldot tajā finanšu līdzekļus 1 200 euro apmērā, jaunu gultu izveidei, medicīnisko iekārtu un papildaprīkojuma iegādei.</t>
    </r>
    <r>
      <rPr>
        <b/>
        <sz val="11"/>
        <rFont val="Calibri"/>
        <family val="2"/>
        <charset val="186"/>
        <scheme val="minor"/>
      </rPr>
      <t>PAMATKAPITĀLAM 163 650 EUR</t>
    </r>
  </si>
  <si>
    <t>Ministru kabineta rīkojums Nr. 906
Rīgā 2021. gada 1. decembrī (prot. Nr. 78 48. §)
Par finanšu līdzekļu piešķiršanu no valsts budžeta programmas "Līdzekļi neparedzētiem gadījumiem"</t>
  </si>
  <si>
    <t>Ministru kabineta rīkojums Nr. 899
Rīgā 2021. gada 1. decembrī (prot. Nr. 78 39. §)
Par finanšu līdzekļu piešķiršanu no valsts budžeta programmas "Līdzekļi neparedzētiem gadījumiem"</t>
  </si>
  <si>
    <t>27.10.2021 MK rīk. nr. 777 apstiprināt pašvaldību iesniegto investīciju projektu sarakstu valsts aizdevumu piešķiršanai Covid-19 izraisītās krīzes seku mazināšanai un novēršanai (​pielikums) un piešķirt valsts aizdevumus:
1. 2021. gadā – 1 930 396,78 euro apmērā no likuma "Par valsts budžetu 2021. gadam" 12. panta trešajā daļā minētā pašvaldību aizņēmumu palielinājuma 150 000 000 euro apmērā;
2. 2022. gadā – 2 681 655,48 euro apmērā no likuma "Par vidēja termiņa budžeta ietvaru 2021., 2022. un 2023. gadam" 14. pantā noteiktā pašvaldību kopējo aizņēmumu palielinājuma 118 138 258 euro apmērā.</t>
  </si>
  <si>
    <t>06.10.2021 Mk rīk. nr. 716, apstiprināt pašvaldību iesniegto investīciju projektu sarakstu valsts aizdevumu piešķiršanai Covid-19 izraisītās krīzes seku mazināšanai un novēršanai (​pielikums) un piešķirt valsts aizdevumus:
1.1. 2021. gadā – 8 138 093,65 euro apmērā no likuma "Par valsts budžetu 2021. gadam" 12. panta trešajā daļā minētā pašvaldību aizņēmumu palielinājuma 150 000 000 euro apmērā;
1.2. 2022. gadā – 13 741 387,69 euro apmērā no likuma "Par vidēja termiņa budžeta ietvaru 2021., 2022. un 2023. gadam" 14. pantā noteiktā pašvaldību kopējo aizņēmumu palielinājuma 118 138 258 euro apmērā.
2. Jautājumu par pašvaldību kopējā aizņēmumu limita palielināšanas iespējām 2022. gadā skatīt likumprojekta "Par valsts budžetu 2022. gadam" un likumprojekta "Par vidēja termiņa budžeta ietvaru 2022., 2023. un 2024. gadam" izstrādes procesā.</t>
  </si>
  <si>
    <t>Ministru kabineta rīkojums Nr. 716
Rīgā 2021. gada 6. oktobrī (prot. Nr. 66 43. §)</t>
  </si>
  <si>
    <t>Ministru kabineta rīkojums Nr. 777
Rīgā 2021. gada 27. oktobrī (prot. Nr. 72 55. §)</t>
  </si>
  <si>
    <t>apstiprināt pašvaldību iesniegto investīciju projektu sarakstu valsts aizdevumu piešķiršanai Covid-19 izraisītās krīzes seku mazināšanai un novēršanai (​pielikums) un piešķirt valsts aizdevumus:
1. 2021. gadā – 2 128 381,49 euro apmērā no likuma "Par valsts budžetu 2021. gadam" 12. panta trešajā daļā minētā pašvaldību aizņēmumu palielinājuma 150 000 000 euro apmērā;
2. 2022. gadā – 4 966 223,51 euro apmērā no likuma "Par vidēja termiņa budžeta ietvaru 2021., 2022. un 2023. gadam" 14. pantā noteiktā pašvaldību kopējo aizņēmumu palielinājuma 118 138 258 euro apmērā.</t>
  </si>
  <si>
    <t>Ministru kabineta rīkojums Nr. 901
Rīgā 2021. gada 30. novembrī (prot. Nr. 78 41. §)</t>
  </si>
  <si>
    <t>Ministru kabineta rīkojums Nr. 902
"Par finanšu līdzekļu piešķiršanu no valsts budžeta programmas "Līdzekļi neparedzētiem gadījumiem""
Rīgā 2021. gada 1. decembrī (prot. Nr. 78 42. §)</t>
  </si>
  <si>
    <t xml:space="preserve">Ministru kabineta rīkojums Nr. 903
Par finanšu līdzekļu piešķiršanu no valsts budžeta programmas "Līdzekļi neparedzētiem gadījumiem"
Rīgā 2021. gada 1. decembrī (prot. Nr. 78 43. §)
</t>
  </si>
  <si>
    <r>
      <t xml:space="preserve">Piešķirt Aizsardzības ministrijai finansējumu 45 734 760 euro, lai saistībā ar ārkārtējo situāciju, kas izsludināta Covid-19 izplatības ierobežošanai, nodrošinātu institūciju un pašvaldību prioritāro un vajadzību sarakstā noteikto individuālo aizsarglīdzekļu un dezinfekcijas līdzekļu preču iegādes un transportēšanas izdevumu segšanu. 2021.g. piešķirti papildus 12,4 milj. eiro.
</t>
    </r>
    <r>
      <rPr>
        <sz val="11"/>
        <color rgb="FFFF0000"/>
        <rFont val="Calibri"/>
        <family val="2"/>
        <charset val="186"/>
        <scheme val="minor"/>
      </rPr>
      <t>14.12.2021 palielināts finansējums 312 442 eur apmērā</t>
    </r>
  </si>
  <si>
    <t>27.04.2020 07.01.2021
14.12.2021</t>
  </si>
  <si>
    <t xml:space="preserve"> VID Nodokļu un muitas policijas pārvaldes un Muitas pārvaldes amatpersonām, par nostrādāto laikposmā no 2021. gada 1. oktobra līdz 2021. gada 31. oktobrim atbilstoši faktiski nostrādātajām darba stundām tiešā un uzskaitāmi pierādāmā saskarē ar Covid-19 inficētām vai iespējami inficētām personām;</t>
  </si>
  <si>
    <t>Ministru kabineta rīkojums Nr. 924
Rīgā 2021. gada 7. decembrī (prot. Nr. 79 41. §)
Par finanšu līdzekļu piešķiršanu no valsts budžeta programmas "Līdzekļi neparedzētiem gadījumiem"</t>
  </si>
  <si>
    <t>Ministru kabineta rīkojums Nr. 822
Rīgā 2021. gada 11. novembrī (prot. Nr. 74 40. §)
Par finanšu līdzekļu piešķiršanu no valsts budžeta programmas "Līdzekļi neparedzētiem gadījumiem"</t>
  </si>
  <si>
    <t>VID informācijas  sistēmām</t>
  </si>
  <si>
    <t>26.10.2021
11.11.2021</t>
  </si>
  <si>
    <t>Rīk.Nr. 882 
291 312 euro, lai nodrošinātu nepieciešamo izmaiņu veikšanu Valsts ieņēmumu dienesta informācijas sistēmās saistībā ar pieņemtajiem lēmumiem Covid-19 krīzes atbalsta pasākumu ieviešanai.</t>
  </si>
  <si>
    <t>Covid-19 krīzes skarto uzņēmumu apgrozāmo līdzekļu plūsmas nodrošināšanai.</t>
  </si>
  <si>
    <t>lai nodrošinātu atbalsta sniegšanu darba devēju nodarbināto, pašnodarbināto personu, individuālo komersantu un patentmaksātāju atlīdzības kompensēšanai</t>
  </si>
  <si>
    <t>Ministru kabineta rīkojums Nr. 929
Rīgā 2021. gada 7. decembrī (prot. Nr. 79 44. §)
Par finanšu līdzekļu piešķiršanu no valsts budžeta programmas "Līdzekļi neparedzētiem gadījumiem"</t>
  </si>
  <si>
    <t>Piešķirt Iekšlietu ministrijai (Valsts drošības dienestam) finansējumu 160 694 euro apmērā, lai segtu izdevumus, kas saistīti ar Covid-19 infekcijas seku pārvarēšanas pasākumiem</t>
  </si>
  <si>
    <t>piešķirt Iekšlietu ministrijai finansējumu 227 674 euro apmērā pārskaitīšanai šā rīkojuma pielikumā minētajām pašvaldību institūcijām, lai kompensētu izdevumus, kas saistīti ar:
1.1. piemaksām pašvaldību policijas darbiniekiem par darbu paaugstināta riska un slodzes apstākļos saistībā ar Covid-19 infekcijas slimības uzliesmojumu un tās seku novēršanu laikposmā no 2021. gada 11. oktobra līdz 2021. gada 31. oktobrim;</t>
  </si>
  <si>
    <t>26.10.2021
11.11.2021
30.11.2021
07.12.2021</t>
  </si>
  <si>
    <r>
      <rPr>
        <b/>
        <sz val="11"/>
        <rFont val="Calibri"/>
        <family val="2"/>
        <charset val="186"/>
        <scheme val="minor"/>
      </rPr>
      <t xml:space="preserve">26.10.2021 </t>
    </r>
    <r>
      <rPr>
        <sz val="11"/>
        <rFont val="Calibri"/>
        <family val="2"/>
        <charset val="186"/>
        <scheme val="minor"/>
      </rPr>
      <t xml:space="preserve">algu subsīdijas  laika periodam no 01.10.2021. līdz 30.11.2021. atbalsta kompensēšanai kopumā nepieciešami 64 milj. euro. (20 milj. izmaksās 2021.g., 2022.gadā 44 milj.)
https://tapportals.mk.gov.lv/annotation/9cf3c111-c2b5-413a-bc88-d577bc4dd60c
</t>
    </r>
    <r>
      <rPr>
        <b/>
        <sz val="11"/>
        <rFont val="Calibri"/>
        <family val="2"/>
        <charset val="186"/>
        <scheme val="minor"/>
      </rPr>
      <t>11.11.2021</t>
    </r>
    <r>
      <rPr>
        <sz val="11"/>
        <rFont val="Calibri"/>
        <family val="2"/>
        <charset val="186"/>
        <scheme val="minor"/>
      </rPr>
      <t xml:space="preserve"> algu subsīdijas atbalsta kompensēšanai - 20 milj. euro)  </t>
    </r>
    <r>
      <rPr>
        <b/>
        <sz val="11"/>
        <rFont val="Calibri"/>
        <family val="2"/>
        <charset val="186"/>
        <scheme val="minor"/>
      </rPr>
      <t>Ministru kabineta rīkojums Nr. 822
              MK 26.10.2021 noteikumi Nr. 723 (prot. Nr. 72 58. §)	44 000 000
              MK 30.11.2021 noteikumi Nr.784 (prot. Nr. 78 51. §)	9 000 000
              MK 7.12.2021 noteikumi Nr. 806 (prot. Nr. 79 52. §)	4 000 000</t>
    </r>
  </si>
  <si>
    <t>Ministru kabineta rīkojums Nr. 730
Rīgā 2021. gada 13. oktobrī (prot. Nr. 69 38. §)
Par finanšu līdzekļu piešķiršanu no valsts budžeta programmas "Līdzekļi neparedzētiem gadījumiem"</t>
  </si>
  <si>
    <t>piešķirt Iekšlietu ministrijai (Nodrošinājuma valsts aģentūrai) 86 152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</si>
  <si>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Piešķirt Tieslietu ministrijai finansējumu 25 486 euro apmērā, lai nodrošinātu finansējuma piešķiršanu biedrībai “Katoļu Baznīcas informācijas aģentūra” dievkalpojumu translāciju nodrošināšanai laika posmā no 2021. gada 21. oktobra līdz 2021. gada 14. novembrim.</t>
  </si>
  <si>
    <t>Ministru kabineta rīkojums Nr. 820
Rīgā 2021. gada 9. novembrī (prot. Nr. 74 46. §)
Par finanšu līdzekļu piešķiršanu no valsts budžeta programmas "Līdzekļi neparedzētiem gadījumiem"</t>
  </si>
  <si>
    <t>Finansējums KaBIA
dievkalpojumu translēšanai lokdauna laikā</t>
  </si>
  <si>
    <t>lai kompensētu atbildīgajām institūcijām samaksu par ārstniecības personu un pārējo nodarbināto virsstundu darbu, kas saistīts ar Covid-19 jautājumu risināšanu un seku novēršanu</t>
  </si>
  <si>
    <t>Piešķirt Veselības ministrijai (Nacionālajam veselības dienestam) finansējumu 3 659 342 euro apmērā, lai segtu izdevumus, kas radušies saistībā ar COVID-19 uzliesmojumu un seku novēršanu 2021.gada septembrī, no tiem:
 1. par ambulatorajiem veselības aprūpes pakalpojumiem 2 793  631 euro,  tai skaitā veicot izmaksu korekciju par periodu no 2021.gada 1.janvāra līdz 30.jūnijam.
 2. par stacionārajiem veselības aprūpes pakalpojumiem  706 185 euro;
 3. par laboratorisko izmeklējumu organizēšanu 158 522 euro; 
 4. par transporta pakalpojumiem 1 004 euro.</t>
  </si>
  <si>
    <t>piešķirt Veselības ministrijai finansējumu 5 405 376 euro apmērā, lai kompensētu atbildīgajām institūcijām samaksu par ārstniecības personu un pārējo nodarbināto virsstundu darbu, kas saistīts ar Covid-19 jautājumu risināšanu un seku novēršanu, tai skaitā:</t>
  </si>
  <si>
    <t>Ministru kabineta rīkojums Nr. 733
Rīgā 2021. gada 13. oktobrī (prot. Nr. 69 44. §)
Par finanšu līdzekļu piešķiršanu no valsts budžeta programmas "Līdzekļi neparedzētiem gadījumiem"</t>
  </si>
  <si>
    <t>Informatīvais ziņojums "Priekšlikumi Covid-19 testēšanas politikas izmaiņām" 21.09.2021
(prot. Nr.62 36.§)</t>
  </si>
  <si>
    <t>Izdevumi  testēšanas nodrošināšanai par laika periodu no 2021. gada 1. decembra līdz 2021. gada 31. decembrim</t>
  </si>
  <si>
    <t>Veselības ministrijai noteiktā kārtībā sagatavot un iesniegt izskatīšanai Ministru kabinetā rīkojuma projektu par finanšu līdzekļu piešķiršanu no valsts budžeta programmas 02.00.00 "Līdzekļi neparedzētiem gadījumiem", ja nepieciešamais finansējums 2021. gadā saskaņā ar šī protokollēmuma 2. punktu pārsniedz 2021. gada 19. februāra rīkojuma Nr. 100 "Par finanšu līdzekļu piešķiršanu no valsts budžeta programmas "Līdzekļi neparedzētiem gadījumiem"" 1. punktā norādīto finansējumu.
4.
Izdevumus testēšanas nodrošināšanai par laika periodu no 2021. gada 1. decembra līdz 2021. gada 31. decembrim, kas indikatīvi nepārsniedz 14 636 985 EUR, 2022. gadā segt no valsts budžeta programmas 02.00.00 "Līdzekļi neparedzētiem gadījumiem".
21-TA-128
(iekļauts papildus) Informatīvais ziņojums "Priekšlikumi Covid-19 testēšanas politikas izmaiņām"
[3 dokumenti]</t>
  </si>
  <si>
    <t>Informatīvais ziņojums "Par drošu veselības aprūpes pakalpojumu nodrošināšanu" 26.10.2021
(prot. Nr.72 59.§)</t>
  </si>
  <si>
    <t>Ministru kabineta rīkojums Nr. 890
Rīgā 2021. gada 30. novembrī (prot. Nr. 78 18. §)
Par finanšu līdzekļu piešķiršanu no valsts budžeta programmas "Līdzekļi neparedzētiem gadījumiem"</t>
  </si>
  <si>
    <t>„Kultūras pasākumu rīkotāju biļešu kompensācija” 5.kārta</t>
  </si>
  <si>
    <t xml:space="preserve">Ministru kabineta rīkojums Nr. 953
Par finanšu līdzekļu piešķiršanu no valsts budžeta programmas "Līdzekļi neparedzētiem gadījumiem"
Rīgā 2021. gada 14. decembrī (prot. Nr. 80 80. §)
</t>
  </si>
  <si>
    <t>iešķirt Kultūras ministrijai (Valsts kultūrkapitāla fondam) 115 775 euro, lai atbilstoši mērķprogrammas "Kultūras pasākumu rīkotāju biļešu kompensācija" 5. kārtas rezultātiem kultūras pasākumu rīkotājiem nodrošinātu biļešu kompensāciju 80 % apmērā.</t>
  </si>
  <si>
    <t>Lai nodrošinātu ātro  paštestu izmantošanu izglītības iestādēs un publiskā sektora prioritārajās 2022.gadā</t>
  </si>
  <si>
    <t>Ministru kabineta noteikumi Nr. 772
Rīgā 2021. gada 9. novembrī (prot. Nr. 74 48. §)
Noteikumi par atbalstu Covid-19 krīzes skartajiem tirdzniecības un sporta centriem un kultūras, atpūtas un izklaides vietām</t>
  </si>
  <si>
    <r>
      <t xml:space="preserve">Atbalstīt valsts budžeta finansējuma 3 722 255 euro apmērā piešķiršanu CO2 gaisa kvalitātes mērītāju iegādei valsts un pašvaldību vispārējās un profesionālās izglītības iestādēm
</t>
    </r>
    <r>
      <rPr>
        <b/>
        <sz val="11"/>
        <rFont val="Calibri"/>
        <family val="2"/>
        <charset val="186"/>
        <scheme val="minor"/>
      </rPr>
      <t>2022.gadā 4 336 640</t>
    </r>
  </si>
  <si>
    <r>
      <t xml:space="preserve">12.11.2020 01.06.2021
19.10.2021
</t>
    </r>
    <r>
      <rPr>
        <sz val="11"/>
        <color rgb="FFC00000"/>
        <rFont val="Calibri"/>
        <family val="2"/>
        <charset val="186"/>
        <scheme val="minor"/>
      </rPr>
      <t>16.11.2021
30.11.2021</t>
    </r>
  </si>
  <si>
    <t>Valsts kultūrkapitāla fonda Programmas īstenošanai</t>
  </si>
  <si>
    <t>26.10.2021
(prot. Nr.72 _.§)</t>
  </si>
  <si>
    <t>Valsts kultūrkapitāla fonda Programmas īstenošanai, tostarp administratīvo izdevumu pamatojošo dokumentu izvērtēšanai, nepieciešamais finansējums 2022.gadā nepārsniegs 1 799 128 euro, tiks piešķirts no valsts budžeta programmas 02.00.00 „Līdzekļi neparedzētiem gadījumiem”.</t>
  </si>
  <si>
    <t>MK noteikumu projekta “Grozījumi Ministru kabineta 2018.gada 28.augusta noteikumos Nr.555 “Veselības aprūpes pakalpojumu organizēšanas un samaksas kārtība”” 245.3. un 245.4apakšpunktā iekļautajiem pasākumiem nepieciešami izdevumi ne vairāk kā 5 003 416 euro apmērā.</t>
  </si>
  <si>
    <t>08.10.2021 (prot. Nr.67 2.§)</t>
  </si>
  <si>
    <t xml:space="preserve">MK noteikumu projekta “Grozījumi Ministru kabineta 2018.gada 28.augusta noteikumos Nr.555 “Veselības aprūpes pakalpojumu organizēšanas un samaksas kārtība”” 245.3. un 245.4apakšpunktā iekļautajiem pasākumiem </t>
  </si>
  <si>
    <t xml:space="preserve"> Piešķirt Veselības ministrijai (Nacionālajam veselības dienestam) finansējumu 447 752 euro apmērā samaksai ģimenes ārstu praksēm par sasniegtajiem Covid-19 vakcinācijas aptveres rādītājiem par laikposmu no 2021.gada 1.janvāra līdz 2021.gada 30.septembrim.</t>
  </si>
  <si>
    <t>19.10.2021 (prot. Nr.70 43.§)</t>
  </si>
  <si>
    <r>
      <t xml:space="preserve">Piemaksām un atvaļinājuma rezerves uzkrājumam atbilstoši aprēķinātajai piemaksu summai par laika periodu no 2021.gada 1.novembra līdz 2021.gada 31.decembrim atbildīgo institūciju ārstniecības personām un citiem nodarbinātajiem par darbu paaugstināta riska un slodzes apstākļos ārkārtas sabiedrības veselības apdraudējumā saistībā ar Covid-19 uzliesmojumu un seku novēršanu, nepieciešami izdevumi, kas nepārsniedz </t>
    </r>
    <r>
      <rPr>
        <sz val="11"/>
        <color rgb="FFFF0000"/>
        <rFont val="Calibri"/>
        <family val="2"/>
        <charset val="186"/>
        <scheme val="minor"/>
      </rPr>
      <t>31 339 444 euro.(2022.g.)</t>
    </r>
  </si>
  <si>
    <t>Lai nodrošinātu papildus gultu izvēršanu un atbilstošu materiāltehnisko nodrošinājumu, kā arī skābekļa pievades vai izveides sistēmu uzlabošanu  2022. gadā, Veselības ministrijai normatīvajos aktos noteiktā kārtībā sagatavot un iesniegt izskatīšanai Ministru kabinetā rīkojumu projektus par finanšu līdzekļu piešķiršanu no valsts budžeta programmas 02.00.00 "Līdzekļi neparedzētiem gadījumiem", kas nepārsniedz 1 976 769 euro</t>
  </si>
  <si>
    <t>02.11.2021
(prot. Nr.73 _.§)
21-TA-953</t>
  </si>
  <si>
    <t xml:space="preserve">Lai nodrošinātu papildus gultu izvēršanu un atbilstošu materiāltehnisko nodrošinājumu, kā arī skābekļa pievades vai izveides sistēmu uzlabošanu  2022. gadā, </t>
  </si>
  <si>
    <t>Lai Neatliekamās medicīniskās palīdzības dienests var veidot papildus neatliekamās medicīniskās palīdzības brigādes pacientu, pārvešanai  no daudzprofilu klīniskās universitātes slimnīcas VSIA “PSKUS” un SIA “RAKUS” uz  to sadarbības iestādēm 2022. gadā, Veselības ministrijai normatīvajos aktos noteiktā kārtībā sagatavot un iesniegt izskatīšanai Ministru kabinetā rīkojumu projektus par finanšu līdzekļu piešķiršanu no valsts budžeta programmas 02.00.00 "Līdzekļi neparedzētiem gadījumiem", kas nepārsniedz 43 284 euro par periodu 2022. gada janvāri.</t>
  </si>
  <si>
    <t xml:space="preserve"> medicīniskās palīdzības brigādes pacientu, pārvešanai  no daudzprofilu klīniskās universitātes slimnīcas VSIA “PSKUS” un SIA “RAKUS” uz  to sadarbības iestādēm 2022. gadā, V</t>
  </si>
  <si>
    <t>Covid - 19 infekcijas uzliesmojumu un seku novēršanai</t>
  </si>
  <si>
    <t>Nr._
16.11.2021
(prot. Nr.75 _.§)
21-TA-695</t>
  </si>
  <si>
    <t>Rīkojumā iekļautajiem pasākumiem, kas ir radušies saistībā ar Covid - 19 infekcijas uzliesmojumu un seku novēršanu 2021. gada decembra mēnesī, nepieciešamos izdevumus ne vairāk kā 6 264 205 euro apmērā segt no valsts budžeta programmas 02.00.00 “Līdzekļi neparedzētiem gadījumiem” 2022. gadā</t>
  </si>
  <si>
    <t>. Lai nodrošinātu papildus izvērsto gultu aprīkošanu un atbilstošu materiāltehnisko nodrošinājumu, kā arī skābekļa pievades vai izveides sistēmu uzlabošanu 2022. gadā finansējumu, kas nepārsniedz 120 338 euro (MK 23.11.21. sēdes prot. Nr.76 40.§).</t>
  </si>
  <si>
    <t xml:space="preserve"> papildus izvērsto gultu aprīkošanu un atbilstošu materiāltehnisko nodrošinājumam</t>
  </si>
  <si>
    <t>23.11.2021 
(prot. Nr.76 40.§)</t>
  </si>
  <si>
    <t xml:space="preserve">Covid-19 pasākumu izdevumu segšanai </t>
  </si>
  <si>
    <t xml:space="preserve"> Lai nodrošinātu personu vecumā no 60 gadiem vakcinācijas aptveres paaugstināšanu, Veselības ministrijai (Nacionālajam veselības dienestam) nepieciešamos izdevumus ne vairāk kā 1 195 737 euro apmērā, 2022. gadā segt no valsts budžeta programmas 02.00.00 “Līdzekļi neparedzētiem gadījumiem".</t>
  </si>
  <si>
    <t xml:space="preserve"> personu vecumā no 60 gadiem vakcinācijas aptveres paaugstināšanai</t>
  </si>
  <si>
    <t>D.632+D.63</t>
  </si>
  <si>
    <t>Piešķirt Labklājības ministrijai finansējumu, kas nepārsniedz 263 875 euro, lai 2022.gadā segtu izdevumus, kas saistīti ar slimības palīdzības pabalsta izmaksu personām, ja tām ir sadarbspējīgs vakcinācijas vai pārslimošanas sertifikāts vai tās ir saņēmušas klīniskās universitātes slimnīcas speciālista vai speciālistu konsilija atzinumu par nepieciešamību atlikt personas vakcināciju pret Covid-19, par laikposmu no 2021.gada 1.decembra līdz 2021.gada 31.decembrim.</t>
  </si>
  <si>
    <r>
      <t xml:space="preserve">Precīzi ietekmi novērtēt nevar, jo nav paredzama Covid-19 slimības tālāka izplatība. Plānotie izdevumi norādīti atbilstoši Valsts kases datiem par izdevumiem Covid-19 sakarā par 1-10 dienu (faktiskās izpildes apmērā, jo LM nevar prognozēt slimības tālāku izpaltību), ko līdz grozījumiem apmaksāja darba devējs. Izmaksātās summas 22250717 eiro t.sk,  6906 eiro par darbnespējas 2.-10.dienu; 11640982 eiro par darbanespējas 1.-10.dienu  un  10 602 829 euro darbnespējas turpinājums pēc 10.dienas.
 Izmaksātās summas 34812470 eiro t.sk,  124851 eiro par darbnespējas 2.-10.dienu; 19691287 eiro par darbanespējas 1.-10.dienu.
</t>
    </r>
    <r>
      <rPr>
        <sz val="11"/>
        <color rgb="FFC00000"/>
        <rFont val="Calibri"/>
        <family val="2"/>
        <charset val="186"/>
        <scheme val="minor"/>
      </rPr>
      <t xml:space="preserve">16.11.2021 Piešķirt Labklājības ministrijai (Valsts sociālās apdrošināšanas aģentūrai) finansējumu 22 250 717 euro apmērā, veicot valsts budžeta uzturēšanas izdevumu transfertu no valsts pamatbudžeta uz valsts speciālā budžeta apakšprogrammu 04.04.00 “Invaliditātes, maternitātes un slimības speciālais budžets”, lai segtu izdevumus par slimības pabalstiem saistībā ar Covid-19 izplatības sekām par 2021.gada II ceturksni. (MK Nr.846 , 17.11.2021  (prot. Nr.75 47.§).
</t>
    </r>
    <r>
      <rPr>
        <sz val="11"/>
        <color theme="1"/>
        <rFont val="Calibri"/>
        <family val="2"/>
        <charset val="186"/>
        <scheme val="minor"/>
      </rPr>
      <t xml:space="preserve">30.11.2021 Piešķirt Labklājības ministrijai (Valsts sociālās apdrošināšanas aģentūrai) finansējumu 6 991 811 euro apmērā, veicot valsts budžeta uzturēšanas izdevumu transfertu no valsts pamatbudžeta uz valsts speciālā budžeta apakšprogrammu 04.04.00 "Invaliditātes, maternitātes un slimības speciālais budžets", lai atbilstoši likuma "Par maternitātes un slimības apdrošināšanu" pārejas noteikumu 55. un 56. punktam personām, kurām ir sadarbspējīgs vakcinācijas vai pārslimošanas sertifikāts vai atzinums par nepieciešamību atlikt personas vakcināciju pret Covid-19, </t>
    </r>
    <r>
      <rPr>
        <b/>
        <sz val="11"/>
        <color theme="1"/>
        <rFont val="Calibri"/>
        <family val="2"/>
        <charset val="186"/>
        <scheme val="minor"/>
      </rPr>
      <t>izmaksātu slimības pabalstu no pirmās darbnespējas dienas, ja tām izsniegta darbnespējas lapa sakarā ar saslimšanu ar Covid-19 vai atrašanos mājas karantīnā no 2021. gada 6. novembra līdz 2021. gada 31. decembrim</t>
    </r>
    <r>
      <rPr>
        <sz val="11"/>
        <color theme="1"/>
        <rFont val="Calibri"/>
        <family val="2"/>
        <charset val="186"/>
        <scheme val="minor"/>
      </rPr>
      <t xml:space="preserve">, vai no darbnespējas pirmās dienas līdz darbnespējas trešajai dienai, ja tām izsniegta darbnespējas lapa akūtu augšējo elpceļu infekciju dēļ.
</t>
    </r>
    <r>
      <rPr>
        <b/>
        <sz val="11"/>
        <color rgb="FFFF0000"/>
        <rFont val="Calibri"/>
        <family val="2"/>
        <charset val="186"/>
        <scheme val="minor"/>
      </rPr>
      <t>19.10.2021 (prot. Nr.70 45.§) 2022.gadam no valsts budžeta programmas 02.00.00 "Līdzekļi neparedzētiem gadījumiem” 5 593 449 euro apmērā,</t>
    </r>
  </si>
  <si>
    <t>Mājokļu pabalsts</t>
  </si>
  <si>
    <t>Valsts mērķdotāciju pašvaldībām mājokļa pabalstam (50%)</t>
  </si>
  <si>
    <t xml:space="preserve">No LNG Satiksmes ministrijai piešķirt:
- finansējumu 11 870 485 euro apmērā 2021. gadā uzsākto valsts reģionālo un vietējo autoceļu būvniecības projektu īstenošanai 2022. gadā (ceļu saraksts informatīvā ziņojuma pielikumā);
- finansējumu 11 918 449 euro apmērā autoceļiem, kas nepieciešami investīciju programmas īstenošanai autoceļu attīstībai administratīvi teritoriālās reformas kontekstā 2022. gadā.
</t>
  </si>
  <si>
    <r>
      <t xml:space="preserve">
Piešķirt Ekonomikas ministrijai atbilstoši MK noteikumiem "Noteikumiem par atbalstu Covid-19 krīzes skartajiem tirdzniecības un sporta centriem un kultūras, atpūtas un izklaides vietām” Kopā ir 50 mln: 30 mln tirdzn centriem(EM), 15 mln sporta c.(IZM), 5 mln kultūras un izklaides iestādēm (KM). </t>
    </r>
    <r>
      <rPr>
        <b/>
        <sz val="11"/>
        <rFont val="Calibri"/>
        <family val="2"/>
        <charset val="186"/>
        <scheme val="minor"/>
      </rPr>
      <t xml:space="preserve">
 2022.gadā 50 mln  + 125 tūkst.administrēšanas izmaksām  EM </t>
    </r>
    <r>
      <rPr>
        <sz val="11"/>
        <rFont val="Calibri"/>
        <family val="2"/>
        <scheme val="minor"/>
      </rPr>
      <t xml:space="preserve">
ANOTĀCIJA https://tapportals.mk.gov.lv/annotation/c6714d05-eccd-4be2-83c3-f123748033aa</t>
    </r>
  </si>
  <si>
    <t xml:space="preserve">Atbilstoši sporta nozares iesniegtajiem datiem sporta centri ar platību virs 500 m2 ir 109, savukārt kopējā iekštelpu platība ir aptuveni 320 000 m2.
Līdz ar to kopējais atbalsts sporta centriem ir 25*320 000=8 000 000 euro.
</t>
  </si>
  <si>
    <t xml:space="preserve">29.04.2021 27.05.2021
</t>
  </si>
  <si>
    <r>
      <t xml:space="preserve">Pēc  VSAA sniegtās informācijas 2021.gada janvārī Latvijā dzīvojoši pensiju saņēmēji ir 511,9 tūkst. (no tiem, vecuma pensiju saņēmēji – 431,3 tūkst, invaliditātes pensiju saņēmēji – 73,0 tūkst.), atlīdzību saņēmēji – 9,8 tūkst., valsts sociālā nodrošinājuma pabalsta saņēmēji – 21,8 tūkst., bērna īpašas kopšanas pabalsta saņēmēji – 2,6 tūkst. un pilngadīgas personas ar invaliditāti, kuras saņem īpašas kopšanas pabalstu, – 16,2 tūkst. 37 752 euro, lai nodrošinātu VSAA IT sistēmu pielāgošanu.
</t>
    </r>
    <r>
      <rPr>
        <sz val="11"/>
        <color rgb="FFFF0000"/>
        <rFont val="Calibri"/>
        <family val="2"/>
        <charset val="186"/>
        <scheme val="minor"/>
      </rPr>
      <t xml:space="preserve">Pieskaitīts klāt pie plāna  arī 16 800 eur AiM sektora  kontingenta pabalsta izmaksām </t>
    </r>
  </si>
  <si>
    <t>Piešķirt veselības ministrijai ne vairāk kā 7 760 334 euro, t.sk.:
2.1.Vakcinācijas procesa infrastruktūras uzturēšanu un citu resursu nodrošināšanu, tai skaitā 2 lielo vakcinācijas centru darbību uzsākšanu no 2021.gada 27.decembra;
2.2.Vakcinācijas informācijas tehnoloģijas sistēmas uzturēšanu;
2.3.Komunikācijas un iedzīvotāju informēšanas aktivitātes īstenošanu;
2.4.Zvanu un klientu apkalpošanas centra “8989” darbības nodrošināšanu;
2.5.Digitālo sertifikātu uzturēšanu;</t>
  </si>
  <si>
    <r>
      <t xml:space="preserve">KOPĀ Lai nodrošinātu antigēnu testēšanu ambulatorajās ārstniecības iestādēs laika periodā no 2021. gada 1. novembra līdz 2022. gada 11. janvārim, papildus nepieciešams finansējums 12 396 674 euro apmērā.
2021.GADĀ Piešķirt Veselības ministrijai 5 264 338 euro, lai nodrošinātu antigēnu testēšanu ambulatorajās ārstniecības iestādēs laika periodā 2021. gada novembrī 2021. gadā 5 264 338 euro apmērā
2022.GADĀ 
Informatīvajā ziņojumā iekļautajiem pasākumiem, kas ir radušies saistībā ar antigēnu testēšanas nodrošināšanu ārstniecības iestādēs laika periodā no 2021. gada 1. decembra līdz </t>
    </r>
    <r>
      <rPr>
        <sz val="11"/>
        <color rgb="FFFF0000"/>
        <rFont val="Calibri"/>
        <family val="2"/>
        <charset val="186"/>
        <scheme val="minor"/>
      </rPr>
      <t>2022. gada</t>
    </r>
    <r>
      <rPr>
        <sz val="11"/>
        <rFont val="Calibri"/>
        <family val="2"/>
        <charset val="186"/>
        <scheme val="minor"/>
      </rPr>
      <t xml:space="preserve"> 11. janvārim, nepieciešamos izdevumus ne vairāk kā </t>
    </r>
    <r>
      <rPr>
        <sz val="11"/>
        <color rgb="FFFF0000"/>
        <rFont val="Calibri"/>
        <family val="2"/>
        <charset val="186"/>
        <scheme val="minor"/>
      </rPr>
      <t>7 132 336 euro</t>
    </r>
    <r>
      <rPr>
        <sz val="11"/>
        <rFont val="Calibri"/>
        <family val="2"/>
        <charset val="186"/>
        <scheme val="minor"/>
      </rPr>
      <t xml:space="preserve"> apmērā segt no valsts budžeta programmas 02.00.00 "Līdzekļi neparedzētiem gadījumiem" 2022. gadā.</t>
    </r>
  </si>
  <si>
    <t>antigēnu testēšanas nodrošināšanai  ambulatorajās ārstniecības iestādēs
FINANSĒJUMS 2021. UN 2022.GADAM</t>
  </si>
  <si>
    <t xml:space="preserve">Vakcinācijas procesa infrastruktūras uzturēšanai 2022.g. </t>
  </si>
  <si>
    <t>nav MK  lēmuma un datuma</t>
  </si>
  <si>
    <t>23.12.2021
(prot. Nr.82 4.§)
21-TA-1650
Informatīvais ziņojums "Par  Covid-19 vakcināciju 2022. gadā"</t>
  </si>
  <si>
    <t>pasākumiem, kas ir  radušies saistībā ar Covid - 19 uzliesmojumu un seku novēršanu 2022.g.</t>
  </si>
  <si>
    <t>Grozījumi Ministru kabineta 2018. gada 28. augusta noteikumos Nr. 555 "Veselības aprūpes pakalpojumu organizēšanas un samaksas kārtība"
 (MK 29.12.2021
(prot. Nr.83 1.§)).</t>
  </si>
  <si>
    <t>Aizdevumi apgrozāmiem līdzekļiem </t>
  </si>
  <si>
    <t>COVID-19 uzliesmojumu un seku novēršanai</t>
  </si>
  <si>
    <t>Ministru kabineta rīkojums Nr. 689 "Par finanšu līdzekļu piešķiršanu no valsts budžeta programmas "Līdzekļi neparedzētiem gadījumiem"</t>
  </si>
  <si>
    <t>Ministru kabineta rīkojums Nr. 688 "Par finanšu līdzekļu piešķiršanu no valsts budžeta programmas "Līdzekļi neparedzētiem gadījumiem"</t>
  </si>
  <si>
    <t>Piešķirt Veselības ministrijai finansējumu 2 857 581 euro apmērā, lai segtu izdevumus, kas radušies saistībā ar COVID-19 uzliesmojumu un seku novēršanu, no tiem:
1. Nacionālajam veselības dienestam par periodu 2021.gada jūnijs 2 482 940 euro apmērā, tai skaitā:
1.1. par ambulatorajiem veselības aprūpes pakalpojumiem 1 706 781 euro;
1.2. par stacionārajiem veselības aprūpes pakalpojumiem 632 227 euro;
1.3. par laboratorisko izmeklējumu organizēšanu 127 644 euro;
1.4. par transporta pakalpojumiem 16 288 euro.
 2. Neatliekamās medicīniskās palīdzības dienestam par periodu 2021.gada jūnijs – augusts 374 641 euro apmērā dezinfekcijas un individuālo aizsardzības līdzekļu iegādei.</t>
  </si>
  <si>
    <t>Piešķirt Veselības ministrijai (Nacionālajam veselības dienestam finansējumu 2 335 085 euro apmērā, lai segtu izdevumus, kas radušies saistībā ar COVID-19 uzliesmojumu un seku novēršanu 2021.gada jūlijā, tai skaitā:
1. par ambulatorajiem veselības aprūpes pakalpojumiem 1 673  033 euro;
2. par stacionārajiem veselības aprūpes pakalpojumiem 530  051 euro, tai skaitā veicot izmaksu korekciju par pacientu ar pozitīvu COVID-19 transportēšanu 2021.gada maijā un jūnijā;
3. par laboratorisko izmeklējumu organizēšanu 132 001 euro.</t>
  </si>
  <si>
    <t>MK rīk. Nr.996 "Par finanšu līdzekļu piešķiršanu no valsts budžeta programmas "Līdzekļi neparedzētiem gadījumiem""</t>
  </si>
  <si>
    <t>Piešķirt Veselības ministrijai (Nacionālajam veselības dienestam) finansējumu 20 920 744 euro, lai segtu izdevumus saistībā ar Covid-19 testēšanas politikas mērķu sasniegšanu, veicinot Covid-19 testēšanas jaudas palielināšanai Latvijā un ņemot vērā laboratoriju kopējo testēšanas kapacitāti</t>
  </si>
  <si>
    <t>Ministriju iesniegtie augstas gatavības projekti, kas saistīti ar Covid-19 krīzes pārvarēšanu un ekonomikas atlabšanu. Pamatkapitāla palielināšana</t>
  </si>
  <si>
    <t>Ministru kabineta rīkojums Nr. 17
Rīgā 2022. gada 12. janvārī (prot. Nr. 2 62. §)
Par finanšu līdzekļu piešķiršanu no valsts budžeta programmas "Līdzekļi neparedzētiem gadījumiem"</t>
  </si>
  <si>
    <t>Piešķirt Labklājības ministrijai (Valsts sociālās apdrošināšanas aģentūrai) finansējumu, kas nepārsniedz 91 800 euro, lai atbilstoši Covid-19 infekcijas izplatības seku pārvarēšanas likuma 63.1 panta otrajai daļai un 68.1 pantam nodrošinātu vienreizēja atbalsta izmaksu bērna vecākam, aizbildnim, audžuģimenei vai ilgstošas sociālās aprūpes un sociālās rehabilitācijas institūcijas vadītājam 500 euro apmērā par katru bērnu, kuram piešķirts alternatīvās personas statuss, un vienreizēju pabalstu 200 euro apmērā personai ar alternatīvo statusu, kura ir sasniegusi vecuma pensijas piešķiršanai nepieciešamo vecumu vai tai ir noteikta invaliditāte, vai personai ir Veselības un darbspēju ekspertīzes ārstu valsts komisijas izsniegts atzinums par īpašas kopšanas nepieciešamību.</t>
  </si>
  <si>
    <t xml:space="preserve"> Covid-19 infekcijas izplatības seku pārvarēšanas likuma 63.1 panta otrajai daļai un 68.1 pants
MK 11.01.2022  Nr.19
(prot. Nr.2 64.§)</t>
  </si>
  <si>
    <t>vienreizēja atbalsta izmaksām bērna vecākam, aizbildnim,SAC vadītājam (500 eur), vai personai ar alternatīvo statusu,kura sasniegusu pensijas vecumu/ ir invaliditate (200 eur)</t>
  </si>
  <si>
    <t>Ministru kabineta rīkojums Nr. 18
Rīgā 2022. gada 11. janvārī (prot. Nr. 2 63. §)
Par finanšu līdzekļu piešķiršanu no valsts budžeta programmas "Līdzekļi neparedzētiem gadījumiem"</t>
  </si>
  <si>
    <t>Vienreizējs pabalsts</t>
  </si>
  <si>
    <t>Piešķirt Iekšlietu ministrijai finansējumu 338 999 euro apmērā pārskaitīšanai šā rīkojuma pielikumā minētajām pašvaldību institūcijām, lai kompensētu izdevumus, kas saistīti ar:
1.1. piemaksām pašvaldību policijas darbiniekiem par darbu paaugstināta riska un slodzes apstākļos saistībā ar Covid-19 infekcijas slimības uzliesmojumu un tās seku novēršanu laikposmā no 2021. gada 1. novembra līdz 2021. gada 30. novembrim;
1.2. piemaksām par nakts darbu pašvaldību policijas darbiniekiem, kuri tika iesaistīti virsstundu darbā (dienesta pienākumu izpildē virs noteiktā dienesta pienākumu izpildes laika) no 2021. gada 1. novembra līdz 2021. gada 14. novembrim, lai kontrolētu iedzīvotāju pārvietošanās aizlieguma ievērošanu laikposmā no plkst. 22.00 līdz plkst. 5.00, – 75 procentu apmērā no aprēķinātās atlīdzības summas (ar darba devēja valsts sociālās apdrošināšanas obligātajām iemaksām).</t>
  </si>
  <si>
    <t>Piešķirt Iekšlietu ministrijai finansējumu  838 080 euro apmērā,</t>
  </si>
  <si>
    <t>Ministru kabineta rīkojums Nr. 16
Rīgā 2022. gada 11. janvārī (prot. Nr. 2 61. §)
Par finanšu līdzekļu piešķiršanu no valsts budžeta programmas "Līdzekļi neparedzētiem gadījumiem"</t>
  </si>
  <si>
    <t xml:space="preserve">apgrozāmo līdzekļu atbalsta sniegšanai 120 milj
https://tapportals.mk.gov.lv/annotation/342f3394-25d8-4234-b5d5-fcf22cdc98dd
https://tapportals.mk.gov.lv/annotation/0c9b8061-896c-4991-a301-b5b02af240dc
MK 26.10. 2021 noteikumi Nr.722 (prot. Nr. 72 57. §)	120 000 000
MK 16.11.2021 noteikumi Nr.760 (prot. Nr. 75 58. §)	30 000 000
MK 30.11.2021 noteikumi Nr.783 (prot. Nr. 78 45. §)	8 400 000
MK 7.12.2021 noteikumi Nr. 805 (prot. Nr. 79 51. §)	1 635 000
</t>
  </si>
  <si>
    <t>Atbalsts kultūras nozares komersantiem</t>
  </si>
  <si>
    <t>Noteikumi par atbalstu mākslas, izklaides un atpūtas nozaru komersantiem, kuru darbību ietekmējusi Covid-19 izplatība</t>
  </si>
  <si>
    <r>
      <t xml:space="preserve">Piešķirt Kultūras ministrijai 6 000 000 euro pārskaitīšanai akciju sabiedrībai „Attīstības finanšu institūcija Altum” atbalsta piešķiršanai komersantiem, kuri organizē pastāvīgu publisku mākslas, izklaides un atpūtas pasākumu norisi, lai mazinātu Covid-19 krīzes radīto negatīvo seku ietekmi uz mākslas, izklaides un atpūtas nozarēm. </t>
    </r>
    <r>
      <rPr>
        <b/>
        <sz val="11"/>
        <color rgb="FFFF0000"/>
        <rFont val="Calibri"/>
        <family val="2"/>
        <charset val="186"/>
        <scheme val="minor"/>
      </rPr>
      <t>Pārcelts pie ALTUM programmām.</t>
    </r>
  </si>
  <si>
    <t>piešķirt Veselības ministrijai finansējumu, kas nepārsniedz 49 522 230 euro, lai nodrošinātu piemaksas un atvaļinājuma rezerves uzkrājumu atbilstoši aprēķinātajai piemaksu summai no 2022. gada 1. janvāra līdz 2022. gada 31. martam atbildīgo institūciju ārstniecības personām un citiem nodarbinātajiem par darbu paaugstināta riska un slodzes apstākļos sabiedrības veselības apdraudējuma situācijā saistībā ar Covid-19 uzliesmojumu un seku novēršanu</t>
  </si>
  <si>
    <t>piemaksas un atvaļinājuma rezerves uzkrājums mediķiem</t>
  </si>
  <si>
    <t>Izpilde</t>
  </si>
  <si>
    <t>Atbalsta apjoms</t>
  </si>
  <si>
    <t xml:space="preserve">Ietekme uz budžeta bilanci </t>
  </si>
  <si>
    <t>incl. Transport sector (incl. aviation)</t>
  </si>
  <si>
    <t>Ministru kabineta rīkojums Nr. 40
Rīgā 2022. gada 27. janvārī (prot. Nr. 4 35. §)
Par finanšu līdzekļu piešķiršanu no valsts budžeta programmas "Līdzekļi neparedzētiem gadījumiem"</t>
  </si>
  <si>
    <t xml:space="preserve">piešķirt Kultūras ministrijai (profesionālās izglītības kompetences centram "Liepājas Mūzikas, mākslas un dizaina vidusskola") 470 420 euro, lai Covid-19 krīzes seku pārvarēšanas un ekonomikas atlabšanas pasākumu ietvaros veiktu investīcijas kultūras infrastruktūrā un atjaunotu profesionālās izglītības kompetences centra "Liepājas Mūzikas, mākslas un dizaina vidusskola" </t>
  </si>
  <si>
    <t>Ministru kabineta rīkojums Nr. 46
Rīgā 2022. gada 1. februārī (prot. Nr. 5 36. §)
Par finanšu līdzekļu piešķiršanu no valsts budžeta programmas "Līdzekļi neparedzētiem gadījumiem"</t>
  </si>
  <si>
    <t>piešķirt Iekšlietu ministrijai finansējumu 2 725 548 euro apmērā, tai skaitā:</t>
  </si>
  <si>
    <t>piešķirt Veselības ministrijai (Nacionālajam veselības dienestam) finansējumu 446 320 euro apmērā, lai nodrošinātu medikamentu pieejamību Covid-19 ārstēšanas procesā, no tiem:</t>
  </si>
  <si>
    <t>Ministru kabineta rīkojums Nr. 49
Rīgā 2022. gada 1. februārī (prot. Nr. 5 40. §)
Par finanšu līdzekļu piešķiršanu no valsts budžeta programmas "Līdzekļi neparedzētiem gadījumiem"</t>
  </si>
  <si>
    <t>medikamentu iegādei</t>
  </si>
  <si>
    <t>Ministru kabineta rīkojums Nr. 41
Rīgā 2022. gada 25. janvārī (prot. Nr. 4 36. §)
Par finanšu līdzekļu piešķiršanu no valsts budžeta programmas "Līdzekļi neparedzētiem gadījumiem</t>
  </si>
  <si>
    <t xml:space="preserve"> Piešķirt Veselības ministrijai finansējumu, kas nepārsniedz 724 049  euro apmērā Covid-19 gadījumu efektīvai epidemioloģiskajai pārvaldīšanai zvanu veikšanai izmantojot ārpakalpojumus laikposmā no 2022.gada 1.februāra līdz 2022.gada 30.jūnijam, tai skaitā:
 1.1. Slimību profilakses un kontroles centram – finansējumu, kas nepārsniedz 489 805 euro;
 1.2. Veselības inspekcijai – finansējumu, kas nepārsniedz 234 244 euro.</t>
  </si>
  <si>
    <t>Covid-19 gadījumu efektīvai epidemioloģiskajai pārvaldīšanai zvanu veikšanai</t>
  </si>
  <si>
    <t>MK rīkojums Nr. 48
Rīgā 2022. gada 1. februārī (prot. Nr. 5 39. §)
Par finanšu līdzekļu piešķiršanu no valsts budžeta programmas "Līdzekļi neparedzētiem gadījumiem"</t>
  </si>
  <si>
    <t>3.
Veselības ministrijai atbilstoši Ministru kabineta 2022. gada 29. decembra sēdes protokollēmuma (prot. Nr. 83 1. §) 3. punktam normatīvajos aktos noteiktā kārtībā sagatavot un iesniegt izskatīšanai Ministru kabinetā rīkojuma projektu par finanšu līdzekļu piešķiršanu no valsts budžeta programmas 02.00.00 "Līdzekļi neparedzētiem gadījumiem" par 2021. gada otro ceturksni ne vairāk kā 62 415 501 euro, ņemot vērā 2022. gada pirmā ceturkšņa faktisko izpildi.</t>
  </si>
  <si>
    <t>Covid-19 uzliesmojuma un seku novēršanai šā gada pirmajā ceturksnī.</t>
  </si>
  <si>
    <t>Piešķirt Finanšu ministrijai (Valsts ieņēmumu dienestam)  245 061 euro, lai segtu izdevumus, kas saistīti ar piemaksu izmaksu Valsts ieņēmumu dienesta Muitas pārvaldes un Nodokļu un muitas policijas pārvaldes amatpersonām ar speciālajām dienesta pakāpēm par darbu paaugstināta riska un slodzes apstākļos sabiedrības veselības apdraudējuma situācijā saistībā ar Covid-19 uzliesmojumu un seku novēršanu laikposmā no 2021. gada 1. decembra līdz 2021. gada 31. decembrim</t>
  </si>
  <si>
    <t>Ministru kabineta rīkojums Nr. 80
Rīgā 2022. gada 11. februārī (prot. Nr. 6 44. §)
Par finanšu līdzekļu piešķiršanu no valsts budžeta programmas "Līdzekļi neparedzētiem gadījumiem"</t>
  </si>
  <si>
    <t>Piešķirt finansējumu ne vairāk ka 8 438 952  euro  apmērā Veselības ministrijai (Nacionālajam veselības dienestam), lai nodrošinātu efektīvu vakcināciju pret Covid-19 un personu vecumā no 60 gadiem vakcinācijas aptveres paaugstināšanu.</t>
  </si>
  <si>
    <t>Ministru kabineta rīkojums Nr. 81
Rīgā 2022. gada 9. februārī (prot. Nr. 6 45. §)</t>
  </si>
  <si>
    <t>Ministru kabineta rīkojums Nr. 82
Rīgā 2022. gada 9. februārī (prot. Nr. 6 46. §)</t>
  </si>
  <si>
    <t>Piešķirt Ekonomikas ministrijai (Centrālajai statistikas pārvaldei) finansējumu, kas nepārsniedz 42 272 euro, lai nodrošinātu personu, kuras saslimušas ar Covid-19 un kurām ir uzsākta un pabeigta vakcinācija pret Covid-19, datu apstrādi.</t>
  </si>
  <si>
    <t>Ministru kabineta rīkojums Nr. 79
Rīgā 2022. gada 9. februārī (prot. Nr. 6 43. §)</t>
  </si>
  <si>
    <r>
      <t xml:space="preserve">Lai laika periodā no 2020.gada 1.decembra līdz 2021.gada 30.jūnijam nodrošinātu piemaksu līdz 50% apmērā no mēnešalgas paaugstināta riska apstākļos aprūpē iesaistītajam personālam, ja institūcijā, kurā  sociālos pakalpojumus ar izmitināšanu, klientiem ir konstatēta Covid-19 infekcija, tai skaitā:
1) līdz 2 897 857 euro apmērā institūcijās, kurā sociālos pakalpojumus sniedz pašvaldības dibināts sociālo pakalpojumu sniedzējs vai tāds, kuram noslēgts līgums ar pašvaldību par minēto pakalpojumu sniegšanu (50% apmērā no pašvaldību faktiskajiem papildu atlīdzības izdevumiem);
2) līdz 5 076 644 euro apmērā valsts dibinātam sociālo pakalpojumu sniedzējam vai tādam pakalpojumu sniedzējam,  kuram ir noslēgts līgums ar Labklājības ministriju par sociālo pakalpojumu sniegšanu (100% apmērā no institūciju faktiskajiem papildu atlīdzības izdevumiem). 
14.07.2021 grozījums MK rīk. Nr.17, samazina summu par 649 229 eur
12.10.2021 grozījums MK rīk. Nr.17- samazina summu par 6 092 168 eur
</t>
    </r>
    <r>
      <rPr>
        <b/>
        <sz val="11"/>
        <rFont val="Calibri"/>
        <family val="2"/>
        <charset val="186"/>
        <scheme val="minor"/>
      </rPr>
      <t>MK 12.10.2021 (prot. Nr.69 39.§) finansējums 2022.gadam 135 700 eur
15.02.2022 piešķirti 392 910 euro,</t>
    </r>
    <r>
      <rPr>
        <sz val="11"/>
        <rFont val="Calibri"/>
        <family val="2"/>
        <charset val="186"/>
        <scheme val="minor"/>
      </rPr>
      <t xml:space="preserve"> (MK rīk Nr.106
15.02.2022 (prot. Nr.8 51.§)
</t>
    </r>
  </si>
  <si>
    <t>Piešķirt Kultūras ministrijai (Valsts kultūrkapitāla fondam) 1 020 044 euro, lai mazinātu Covid-19 krīzes radīto negatīvo seku ietekmi uz kultūras nozari, tai skaitā:
1.1.  1 008 428 euro, lai atbilstoši mērķprogrammas “Kultūras pasākumu rīkotāju biļešu kompensācija” 6. kārtas rezultātiem kultūras pasākumu rīkotājiem nodrošinātu biļešu kompensāciju 80 % apmērā;
1.2.  11 616 euro, lai Valsts kultūrkapitāla fonds nodrošinātu mērķprogrammas “Kultūras pasākumu rīkotāju biļešu kompensācija” 6. un 7. kārtas pieteikumu (pamatojošo dokumentu) izvērtēšanu.</t>
  </si>
  <si>
    <t>“Kultūras pasākumu rīkotāju biļešu kompensācija” 6. kārta</t>
  </si>
  <si>
    <t xml:space="preserve">Ministru kabineta rīkojums Nr. 107, Rīgā 2022. gada 15. februārī (prot. Nr. 8 52. §)
Par finanšu līdzekļu piešķiršanu no valsts budžeta programmas "Līdzekļi neparedzētiem gadījumiem"
</t>
  </si>
  <si>
    <t>Execution</t>
  </si>
  <si>
    <t>Ministru kabineta rīkojums Nr. 55
Rīgā 2022. gada 1. februārī (prot. Nr. 5 50. §)</t>
  </si>
  <si>
    <t>informatīvā tālruņa 8345 izdevumi</t>
  </si>
  <si>
    <t>piešķirt Valsts kancelejai finansējumu ne vairāk kā 64 847 euro apmērā, lai segtu vienotā informatīvā tālruņa 8345 izdevumus, kas radušies, informējot personas par Latvijā noteiktajiem Covid-19 epidemioloģiskās drošības pasākumiem.</t>
  </si>
  <si>
    <r>
      <t xml:space="preserve">29.12.2021
</t>
    </r>
    <r>
      <rPr>
        <sz val="11"/>
        <color rgb="FFFF0000"/>
        <rFont val="Calibri"/>
        <family val="2"/>
        <charset val="186"/>
        <scheme val="minor"/>
      </rPr>
      <t>09.02.2022</t>
    </r>
  </si>
  <si>
    <t xml:space="preserve">Veselības ministrijai noteikumu 243.1., 243.2., 243.3., 243.4., 243.6., 245.1., 245.2., 246.1., 246.2., 246.3., 246.4., 254.1., 254.2., 254.3.apakšpunktā un 243.1, 245.5 punktā iekļautajiem pasākumiem, kas ir  radušies saistībā ar Covid - 19 uzliesmojumu un seku novēršanu, nepieciešamos izdevumus ne vairāk kā 124 831 005 euro apmērā segt no valsts budžeta programmas 02.00.00 “Līdzekļi neparedzētiem gadījumiem”. 
</t>
  </si>
  <si>
    <t>Lai nodrošinātu Covid-19 testēšanas politikas mērķu sasniegšanu, veicinot Covid-19 testēšanas jaudas palielināšanu Latvijā un ņemot vērā laboratoriju kopējo testēšanas kapacitāti 2021.gada decembrī papildus finansējumu, kas nepārsniedz 1 739 480 euro,</t>
  </si>
  <si>
    <t>Ministru kabineta sēdes protokols Nr. 81
Rīgā 2021. gada 21. decembrī</t>
  </si>
  <si>
    <t>Covid-19 testēšanai</t>
  </si>
  <si>
    <t>D.0</t>
  </si>
  <si>
    <t>Piešķirt Labklājības ministrijai finansējumu 46 002 euro apmērā, lai institūcijām, kurās sociālos pakalpojumus ar izmitināšanu sniedz pašvaldības vai valsts dibināts sociālo pakalpojumu sniedzējs vai pakalpojumu sniedzējs, kuram ir noslēgts līgums ar pašvaldību vai valsti par minēto pakalpojumu sniegšanu, segtu izdevumus par individuālajiem aizsarglīdzekļiem un dezinfekcijas līdzekļiem</t>
  </si>
  <si>
    <t>Ministru kabineta rīkojums Nr. 47
Rīgā 2022. gada 1. februārī (prot. Nr. 5 38. §)
Par finanšu līdzekļu piešķiršanu no valsts budžeta programmas "Līdzekļi neparedzētiem gadījumiem"</t>
  </si>
  <si>
    <t>soc.pakalpojumu snidzejām,  institūcijām, dezinfekc.līdz.</t>
  </si>
  <si>
    <r>
      <t xml:space="preserve">20.03.2020 01.04.2020 16.04.2020 07.01.2021 11.01.2021 11.02.2021 05.03.2021
</t>
    </r>
    <r>
      <rPr>
        <sz val="11"/>
        <color rgb="FFFF0000"/>
        <rFont val="Calibri"/>
        <family val="2"/>
        <charset val="186"/>
        <scheme val="minor"/>
      </rPr>
      <t xml:space="preserve">17.08.2021
01.02.2022
</t>
    </r>
  </si>
  <si>
    <r>
      <t xml:space="preserve">Atbilstoši MK 05.03.2021. rīkojuma Nr.143 anotācijā norādītajam, lai nodrošinātu pabalstu krīzes situācijā kompensēšanu pašvaldībām par pieciem mēnešiem (2021.gada februāri (atbilstoši plānotajam valsts nodrošinātās mērķdotācijas palielinājumam no 40 euro uz 75 euro), martu, aprīli, maiju un jūniju).
</t>
    </r>
    <r>
      <rPr>
        <sz val="11"/>
        <color rgb="FFFF0000"/>
        <rFont val="Calibri"/>
        <family val="2"/>
        <charset val="186"/>
        <scheme val="minor"/>
      </rPr>
      <t>MK 17.08.2021-Piešķirt Labklājības ministrijai finansējumu, kas nepārsniedz 22 969 euro, lai 2022.gadā</t>
    </r>
    <r>
      <rPr>
        <sz val="11"/>
        <rFont val="Calibri"/>
        <family val="2"/>
        <scheme val="minor"/>
      </rPr>
      <t xml:space="preserve"> par 2021.gada decembri atbilstoši Sociālo pakalpojumu un sociālās palīdzības likuma pārejas noteikumu 37.1 punktam kompensētu pašvaldībām izdevumus 50 procentu apmērā no mājsaimniecībai izmaksātā pabalsta krīzes situācijā. Atbilstoši MK 17.08.2021. rīkojuma Nr.585 anotācijā norādītajam, lai nodrošinātu krīzes pabalsta izmaksu termiņa pagarināšanu no 2021.gada 1.jūlija līdz 31.decembrim, izdevumi tiks veikti ar MK 11.01.2021. rīkojumu Nr.11 piešķirto līdzekļu līdz 375 000 euro apmērā ietvaros.”
</t>
    </r>
    <r>
      <rPr>
        <sz val="11"/>
        <color rgb="FFFF0000"/>
        <rFont val="Calibri"/>
        <family val="2"/>
        <charset val="186"/>
        <scheme val="minor"/>
      </rPr>
      <t>01.02.2022. piešķir vēl finansējumu 7 645 euro, lai segtu izdevumus par 2021.g. decembri (pievienots 2022.g. plānam)</t>
    </r>
  </si>
  <si>
    <t xml:space="preserve">incl. Health sector </t>
  </si>
  <si>
    <t>incl. Education and science (incl. sports and distance learning)</t>
  </si>
  <si>
    <t>Ministru kabineta rīkojums Nr. 125
Rīgā 2022. gada 22. februārī (prot. Nr. 9 34. §)
Par finanšu līdzekļu piešķiršanu no valsts budžeta programmas "Līdzekļi neparedzētiem gadījumiem"</t>
  </si>
  <si>
    <t>piešķirt Zemkopības ministrijai (valsts zinātniskajam institūtam "Pārtikas drošības, dzīvnieku veselības un vides zinātniskais institūts "BIOR"") finansējumu 50 148 euro apmērā, lai laikposmā no 2022. gada 1. janvāra līdz 2022. gada 30. jūnijam nodrošinātu ūdeļu, citu Mustelidae dzimtas dzīvnieku un jenotsuņu populācijā ņemto paraugu laboratorisko izmeklēšanu Covid-19 infekcijas ierosinātāja noteikšanai, kā arī dzīvnieku līķu sekciju un iznīcināšanu.</t>
  </si>
  <si>
    <t xml:space="preserve">C19 analīžu veikšanai  ūdeļu, citu Mustelidae dzimtas dzīvnieku un jenotsuņu populācijā </t>
  </si>
  <si>
    <t>Ministru kabineta rīkojums Nr. 124
Rīgā 2022. gada 22. februārī (prot. Nr. 9 33. §)
Par finanšu līdzekļu piešķiršanu no valsts budžeta programmas "Līdzekļi neparedzētiem gadījumiem"</t>
  </si>
  <si>
    <t>piešķirt Iekšlietu ministrijai finansējumu 332 413 euro apmērā pārskaitīšanai šā rīkojuma pielikumā minētajām pašvaldību institūcijām, lai kompensētu izdevumus, kas saistīti ar</t>
  </si>
  <si>
    <t>Prognoze uz SP 2022-2025</t>
  </si>
  <si>
    <t>Daudzreiz lietojamie mutes un deguna aizsegu iegāde izglītības iestādēm</t>
  </si>
  <si>
    <t>Piešķirt Aizsardzības ministrijai (Valsts aizsardzības loģistikas un iepirkumu centram) finansējumu, kas nepārsniedz 1 313 584 euro, lai saskaņā ar Ministru kabineta 2021. gada 31. augusta sēdes protokollēmumu "Informatīvais ziņojums "Par daudzreiz lietojamo mutes un deguna aizsegu iegādi izglītības iestādēm"" (prot. Nr. 58 47. §) un Ministru kabineta 2021. gada 13. maija noteikumiem Nr. 308 "Noteikumi par prioritāro institūciju un vajadzību sarakstā iekļautajām institūcijām nepieciešamajiem epidemioloģiskās drošības nodrošināšanas resursiem" iegādātos daudzreiz lietojamos mutes un deguna aizsegus, kas paredzēti izglītojamiem, kuri apgūst formālo izglītību.</t>
  </si>
  <si>
    <t>epidemioloģisko nosacījumu, loģistikas un darba organizācijas procesa nodrošināšanai izglītības iestādēs</t>
  </si>
  <si>
    <t>Ministru kabineta rīkojums Nr. 140 Par finanšu līdzekļu piešķiršanu no valsts budžeta programmas "Līdzekļi neparedzētiem gadījumiem"</t>
  </si>
  <si>
    <t>Finanšu ministrijai no valsts budžeta programmas 02.00.00 "Līdzekļi neparedzētiem gadījumiem" piešķirt 2 962 984 euro par epidemioloģisko nosacījumu, loģistikas un darba organizācijas procesa nodrošināšanu izglītības iestādēs</t>
  </si>
  <si>
    <t>IZM; AiM, ZM; LM; KM; VM</t>
  </si>
  <si>
    <t>Piešķirt Labklājības ministrijai finansējumu, kas nepārsniedz 392 910 euro, lai par laikposmu no 2021. gada 1. decembra līdz 2022. gada 31. martam nodrošinātu piemaksu līdz 50 % no mēnešalgas personām, kas iesaistītas aprūpē paaugstināta riska apstākļos, ja institūcijā, kurā sociālos pakalpojumus ar izmitināšanu (tai skaitā sociālās aprūpes centrs, pansija, patversme, naktspatversme, krīzes centrs, dienas aprūpes centrs, aprūpe mājās, aprūpētā dzīvesvieta, grupu dzīvoklis, īslaicīga sociālā aprūpe, atelpas brīdis) sniedz pašvaldības vai valsts dibināts sociālo pakalpojumu sniedzējs vai pakalpojumu sniedzējs, kuram ir noslēgts līgums ar pašvaldību vai valsti par minēto pakalpojumu sniegšanu, klientiem ir konstatēta Covid-19 infekcija vai noteikts Covid-19 inficētas personas kontaktpersonas statuss, kā arī piemaksu, kas noteikta personālam, kas iesaistīts personu testēšanā SARS-CoV-2 antigēna noteikšanai, tai skaitā:
1.1. finansējumu, kas nepārsniedz 53 088 euro, institūcijām, kurās sociālos pakalpojumus sniedz pašvaldības dibināts sociālo pakalpojumu sniedzējs vai pakalpojumu sniedzējs, kuram noslēgts līgums ar pašvaldību par sociālo pakalpojumu sniegšanu (50 % apmērā no pašvaldību faktiskajiem papildu izdevumiem);
1.2. finansējumu, kas nepārsniedz 339 822 euro, valsts dibinātam sociālo pakalpojumu sniedzējam vai tādam pakalpojumu sniedzējam, kuram ir noslēgts līgums ar Labklājības ministriju par sociālo pakalpojumu sniegšanu (100 % apmērā no institūcijas faktiskajiem papildu izdevumiem).</t>
  </si>
  <si>
    <t>piemaksu līdz 50 % no mēnešalgas personām, kas iesaistītas aprūpē paaugstināta riska apstākļos</t>
  </si>
  <si>
    <t xml:space="preserve">MK rīkojums Nr. 106 "Par finanšu līdzekļu piešķiršanu no valsts budžeta programmas "Līdzekļi neparedzētiem gadījumiem"" </t>
  </si>
  <si>
    <t>Piešķirt Veselības ministrijai (Nacionālajam veselības dienestam) finansējumu ne vairāk kā 2 519 496 euro apmērā samaksai ģimenes ārstu praksēm par aizvietošanas nodrošināšanu par laikposmu no 2022.gada 1.janvāra līdz 30.jūnijam.</t>
  </si>
  <si>
    <t>Ārstu praksēm</t>
  </si>
  <si>
    <t>piešķirt Iekšlietu ministrijai finansējumu 784 932 euro apmērā, tai skaitā:
1.1. 724 573 euro, lai segtu izdevumus, kas saistīti ar piemaksām Iekšlietu ministrijas sistēmas iestāžu amatpersonām ar speciālajām dienesta pakāpēm par darbu paaugstināta riska un slodzes apstākļos sabiedrības veselības apdraudējuma situācijā saistībā ar Covid-19 uzliesmojumu un tā seku novēršanu laikposmā no 2022. gada 1. janvāra līdz 2022. gada 31. janvārim.
1.2. 60 359 euro, lai kompensētu papildu izdevumus (vidējās izpeļņas pieaugums), kas rodas, nosakot piemaksu par darbu paaugstināta riska un slodzes apstākļos saistībā ar Covid-19 uzliesmojumu un tā seku novēršanu.</t>
  </si>
  <si>
    <t>Finanšu ministrijai no valsts budžeta programmas 02.00.00 ''Līdzekļi neparedzētiem gadījumiem'' piešķirt Veselības ministrijai (Nacionālajam veselības dienestam) finansējumu 5 103 176 euro apmērā, lai segtu izdevumus, kas radušies saistībā ar Covid-19 infekcijas uzliesmojumu un seku novēršanu 2021. gada decembrī, no tiem:
1.1. par ambulatorajiem veselības aprūpes pakalpojumiem 1 920 322 euro;
1.2. par stacionārajiem veselības aprūpes pakalpojumiem  3 058 909 euro;
1.3. par laboratorisko izmeklējumu organizēšanu 110 338 euro;
1.4. par transporta pakalpojumiem 13 607 euro.</t>
  </si>
  <si>
    <t>Fiskāla ietekme uz vispārējās valdības budžeta bilanci no programmas realizēšanas norādīta 2022.-2024.gados. Atbalsta apjoms 2022.g. 70 mEUR apmērā ALTUM 2022.g. janvāra prognoze.</t>
  </si>
  <si>
    <t>Pabalsts vakcinētām personām virs 60 gadiem</t>
  </si>
  <si>
    <r>
      <t xml:space="preserve">Piešķirt Kultūras ministrijai 6 000 000 euro pārskaitīšanai akciju sabiedrībai „Attīstības finanšu institūcija Altum” atbalsta piešķiršanai komersantiem, kuri organizē pastāvīgu publisku mākslas, izklaides un atpūtas pasākumu norisi, lai mazinātu Covid-19 krīzes radīto negatīvo seku ietekmi uz mākslas, izklaides un atpūtas nozarēm. </t>
    </r>
    <r>
      <rPr>
        <b/>
        <sz val="11"/>
        <color rgb="FFFF0000"/>
        <rFont val="Calibri"/>
        <family val="2"/>
        <charset val="186"/>
        <scheme val="minor"/>
      </rPr>
      <t>Pārcelts no atbalsta Kultūrai.</t>
    </r>
  </si>
  <si>
    <t xml:space="preserve">atbalstīt apropriācijas pārdali no budžeta resora ''74. Gadskārtējā valsts budžeta izpildes procesā pārdalāmais finansējums'' programmas 12.00.00 ''Finansējums veselības jomas pasākumiem Covid-19 infekcijas izplatības ierobežošanai'' 11 548 412 euro apmērā uz šādām Veselības ministrijas budžeta apakšprogrammām,  lai segtu izdevumus, kas radušies saistībā ar Covid-19 infekcijas uzliesmojumu un tā seku novēršanu:
 1.1. uz budžeta apakšprogrammu 33.04.00 ''Centralizēta medikamentu un materiālu iegāde'' 11 505 820 euro apmērā  – Nacionālajam veselības dienestam, tai skaitā:
 1.1.1. 11 305 402 euro  apmērā vakcīnu iegādei;
 1.1.2. 58 150 euro apmērā šļirču un injekciju šķīdumu iegādei;
 1.1.3. 142 268 euro apmērā vakcīnu uzglabāšanai un loģistikai;
 1.2. uz budžeta apakšprogrammu 39.03.00 ''Asins un asins komponentu nodrošināšana''  42 592 euro apmērā  – Valsts asinsdonoru centram medicīnas dziļsaldētavu iegādei. </t>
  </si>
  <si>
    <t>Ministru kabineta rīkojums Nr. 188
Rīgā 2022. gada 15. martā (prot. Nr. 15 52. §)</t>
  </si>
  <si>
    <t>Ministru kabineta rīkojums Nr. 189
Rīgā 2022. gada 17. martā (prot. Nr. 15 42. §)</t>
  </si>
  <si>
    <t>izglītības pakalpojuma nepārtrauktības nodrošināšanu augsta epidemioloģiskā riska apstākļos</t>
  </si>
  <si>
    <t>IZM; 62.resors.,  AiM, ZM; LM; KM; VM</t>
  </si>
  <si>
    <t>piešķirt 8 798 402 euro par izglītības pakalpojuma nepārtrauktības nodrošināšanu augsta epidemioloģiskā riska apstākļos, tai skaitā:</t>
  </si>
  <si>
    <t>Ministru kabineta rīkojums Nr. 183
Rīgā 2022. gada 15. martā (prot. Nr. 15 37. §)</t>
  </si>
  <si>
    <t>piešķirt Iekšlietu ministrijai finansējumu 312 691 euro apmērā pārskaitīšanai šā rīkojuma pielikumā minētajām pašvaldību institūcijām, lai kompensētu izdevumus, kas saistīti ar piemaksām pašvaldību policijas darbiniekiem par darbu paaugstināta riska un slodzes apstākļos saistībā ar Covid-19 uzliesmojumu un tā seku novēršanu laikposmā no 2022. gada 1. janvāra līdz 2022. gada 31. janvārim.</t>
  </si>
  <si>
    <t>Ministru kabineta rīkojums Nr. 160
Rīgā 2022. gada 9. martā (prot. Nr. 13 49. §)</t>
  </si>
  <si>
    <t>Ministru kabineta rīkojums Nr. 123
Rīgā 2022. gada 22. februārī (prot. Nr. 9 31. §)
Par finanšu līdzekļu piešķiršanu no valsts budžeta programmas "Līdzekļi neparedzētiem gadījumiem"</t>
  </si>
  <si>
    <r>
      <t xml:space="preserve">Lai nodrošinātu ātro SARS-CoV-2 vīrusa antigēna noteikšanas paštestu izmantošanu izglītības iestādēs un publiskā sektora prioritārajās jomās, laika periodā no 2022. gada 1. janvāra, nepieciešamos izdevumus ne vairāk kā 7 124 688 euro apmērā
</t>
    </r>
    <r>
      <rPr>
        <sz val="11"/>
        <color rgb="FFFF0000"/>
        <rFont val="Calibri"/>
        <family val="2"/>
        <charset val="186"/>
        <scheme val="minor"/>
      </rPr>
      <t xml:space="preserve">GROZĪJUMS Ministru kabineta rīkojums Nr. 141, Rīgā 2022. gada 2. martā (prot. Nr. 12 40. §), PALIELINOT SUMMU PAR 8 424 082 EUR, </t>
    </r>
    <r>
      <rPr>
        <b/>
        <sz val="11"/>
        <color rgb="FFFF0000"/>
        <rFont val="Calibri"/>
        <family val="2"/>
        <charset val="186"/>
        <scheme val="minor"/>
      </rPr>
      <t>(kopā 14,751 400 eur)</t>
    </r>
  </si>
  <si>
    <t>09.11.2021
11.01.2022
 02.03.2022</t>
  </si>
  <si>
    <t>Ministru kabineta rīkojums Nr. 161
Rīgā 2022. gada 9. martā (prot. Nr. 13 51. §)
Par finanšu līdzekļu piešķiršanu no valsts budžeta programmas ''Līdzekļi neparedzētiem gadījumiem''</t>
  </si>
  <si>
    <t xml:space="preserve">09.11.2021
09.03.2022
</t>
  </si>
  <si>
    <t>Ministru kabineta rīkojums Nr. 185
Rīgā 2022. gada 15. martā (prot. Nr. 15 39. §)
Par finanšu līdzekļu piešķiršanu no valsts budžeta programmas "Līdzekļi neparedzētiem gadījumiem"</t>
  </si>
  <si>
    <t>Vakcinācijas pasākumi</t>
  </si>
  <si>
    <t>Piešķirt Veselības ministrijai (Nacionālajam veselības dienestam) finansējumu, kas nepārsniedz 6 237 770 euro, lai nodrošinātu vakcinācijas plāna iekļauto pasākumu īstenošanu, no tiem:</t>
  </si>
  <si>
    <t>Ministru kabineta rīkojums Nr. 184
Rīgā 2022. gada 15. martā (prot. Nr. 15 38. §)
Par finanšu līdzekļu piešķiršanu no valsts budžeta programmas "Līdzekļi neparedzētiem gadījumiem"</t>
  </si>
  <si>
    <t>rehabilitācijas pakalpojumiem pacientiem pēc pārslimotas Covid-19 infekcijas</t>
  </si>
  <si>
    <t>piešķirt Veselības ministrijai (Nacionālajam veselības dienestam) finansējumu 835 969 euro apmērā, lai segtu izdevumus ārstniecības iestādēm par 2021. gada decembrī sniegtajiem rehabilitācijas pakalpojumiem pacientiem pēc pārslimotas Covid-19 infekcijas, tai skaitā:</t>
  </si>
  <si>
    <t>https://tapportals.mk.gov.lv/meetings/protocols/bc243829-e155-46ec-9f94-d0bf9fd202be</t>
  </si>
  <si>
    <t>01.03.2022
 (prot. Nr.12 69.§)
IP</t>
  </si>
  <si>
    <t>medikamenta Sotrovimab un Paxlovid iegādē</t>
  </si>
  <si>
    <t xml:space="preserve">1.Piešķirt Veselības ministrijai (Nacionālajam veselības dienestam) pieteikties kopējā iepirkumā medikamenta Sotrovimab iegādē, kopā iegādājoties 50 medikamenta Sotrovimab devas. Medikamenta  iegādes un loģistikas izdevumus, kas nepārsniedz 112 000 euro (ar PVN), 2022. gadā segt no valsts budžeta programmas 02.00.00 "Līdzekļi neparedzētiem gadījumiem" (MK 01.03.2022. sēdes prot. Nr.12 69.paragrāfs)
2.Piešķirt Veselības ministrijai (Nacionālajam veselības dienestam) saglabāt sākotnēji pieteikto Paxlovid daudzumu – 5000 kursiem. Medikamenta  iegādes un loģistikas izdevumus, kas nepārsniedz 3 724 000 euro (ar PVN), 2022. gadā segt no valsts budžeta programmas 02.00.00 "Līdzekļi neparedzētiem gadījumiem" (MK 01.03.2022. sēdes prot. Nr.12 69.paragrāfs)
</t>
  </si>
  <si>
    <t>Medicīnisko iekārtu un papildaprīkojuma iegāde</t>
  </si>
  <si>
    <t>piešķirt Aizsardzības ministrijai (Valsts aizsardzības loģistikas un iepirkumu centram) finansējumu, kas nepārsniedz 1 419 663 euro, lai saskaņā ar Ministru kabineta 2021. gada 13. maija noteikumiem Nr. 308 "Noteikumi par prioritāro institūciju un vajadzību sarakstā iekļautajām institūcijām nepieciešamajiem epidemioloģiskās drošības nodrošināšanas resursiem" iegādātos  respiratorus FFP2 bez vārsta un IIR tipa vienreizlietojamas ķirurģiskās sejas maskas.</t>
  </si>
  <si>
    <t>Ministru kabineta rīkojums Nr. 182
Rīgā 2022. gada 18. martā (prot. Nr. 15 34. §)
Par finanšu līdzekļu piešķiršanu no valsts budžeta programmas "Līdzekļi neparedzētiem gadījumiem"</t>
  </si>
  <si>
    <t>Respiratoru un sejas masku iegāde</t>
  </si>
  <si>
    <t>Piešķirt Veselības ministrijai (Nacionālajam veselības dienestam) 5 194 939 euro, lai segtu izdevumus, kas radušies 2021.gada oktobrī, novembrī un decembrī saistībā ar medicīnisko iekārtu un papildaprīkojuma iegādi, kā arī intensīvajai terapijai paredzēto gultu uzturēšanu, tai skaitā:
 1. sabiedrībai ar ierobežotu atbildību “Daugavpils reģionālā slimnīca” – 33 638 euro;
 2. sabiedrībai ar ierobežotu atbildību “Vidzemes slimnīca” – 1 292 468 euro;
 3. sabiedrībai ar ierobežotu atbildību “Jēkabpils reģionālā slimnīca” – 454 677 euro;
 4. sabiedrībai ar ierobežotu atbildību “Rēzeknes slimnīca” – 125 991 euro;
 5. sabiedrībai ar ierobežotu atbildību “Rīgas 1. slimnīca” –  8 100 euro;
 6. sabiedrībai ar ierobežotu atbildību “Dobeles un apkārtnes slimnīca” – 11 737 euro;
 7. Nacionālajam veselības dienestam – 3 268 328 euro.</t>
  </si>
  <si>
    <t>Ministru kabineta rīkojums Nr. 203
Rīgā 2022. gada 23. martā (prot. Nr. 17 45. §)
Par finanšu līdzekļu piešķiršanu no valsts budžeta programmas "Līdzekļi neparedzētiem gadījumiem"</t>
  </si>
  <si>
    <t>Piešķirt Veselības ministrijai  (Nacionālajam veselības dienestam) 213 030 euro, lai segtu izdevumus par Covid-19 pasākumu īstenošanu laikposmā no 2021.gada 1.septembra līdz 2021.gada 31.decembrim, tai skaitā:</t>
  </si>
  <si>
    <t>par Covid-19 pasākumu īstenošanu</t>
  </si>
  <si>
    <t>Ministru kabineta rīkojums Nr. 205
Rīgā 2022. gada 23. martā (prot. Nr. 17 47. §)
Par finanšu līdzekļu piešķiršanu no valsts budžeta programmas "Līdzekļi neparedzētiem gadījumiem"</t>
  </si>
  <si>
    <t xml:space="preserve"> Piešķirt Veselības ministrijai  (Nacionālajam veselības dienestam) 1 968 487 euro, lai segtu izdevumus, kas radušies saistībā ar medikamenta Molnupiravir iegādi.</t>
  </si>
  <si>
    <t>Molnupiravir iegādei</t>
  </si>
  <si>
    <t>Ministru kabineta rīkojums Nr. 206
Rīgā 2022. gada 23. martā (prot. Nr. 17 48. §)
Par finanšu līdzekļu piešķiršanu no valsts budžeta programmas "Līdzekļi neparedzētiem gadījumiem"</t>
  </si>
  <si>
    <t>Piešķirt Veselības ministrijai (Nacionālajam veselības dienestam) 3 924 913 euro samaksai ģimenes ārstu praksēm par vakcinācijas veicināšanas pasākumiem, tai skaitā:
	1.  3 385 931 euro apmērā gala maksājuma veikšanai ģimenes ārstu praksēm par 2021.gadā sasniegtajiem Covid-19 vakcinācijas aptveres rādītājiem;
	2.  538 982 euro apmērā papildus samaksai ģimenes ārstu praksēm, kas veic vakcināciju pret Covid-19, par katru pacientam ievadīto vakcīnas devu laikposmā no 2021.gada 1.decembra līdz 2021.gada 31.decembrim.</t>
  </si>
  <si>
    <t>Ministru kabineta rīkojums Nr. 226
Rīgā 2022. gada 29. martā (prot. Nr. 18 43. §)
Par finanšu līdzekļu piešķiršanu no valsts budžeta programmas "Līdzekļi neparedzētiem gadījumiem"</t>
  </si>
  <si>
    <t>samaksai ģimenes ārstu praksēm par vakcinācijas veicināšanas pasākumiem</t>
  </si>
  <si>
    <t xml:space="preserve"> Piešķirt Iekšlietu ministrijai finansējumu 719 678 euro apmērā, tai skaitā:
1.1.664 336 euro, lai segtu izdevumus, kas saistīti ar piemaksām Iekšlietu ministrijas sistēmas iestāžu amatpersonām ar speciālajām dienesta pakāpēm par darbu paaugstināta riska un slodzes apstākļos sabiedrības veselības apdraudējuma situācijā saistībā ar Covid-19 uzliesmojumu un tā seku novēršanu laikposmā no 2022. gada 1. februāra līdz 2022. gada 28. februārim,</t>
  </si>
  <si>
    <t>Ministru kabineta rīkojums Nr. 227
Rīgā 2022. gada 29. martā (prot. Nr. 18 45. §)
Par finanšu līdzekļu piešķiršanu no valsts budžeta programmas "Līdzekļi neparedzētiem gadījumiem"</t>
  </si>
  <si>
    <t>Piešķirt Finanšu ministrijai (Valsts ieņēmumu dienestam) finansējumu ne vairāk kā 357 740 euro apmērā, tai skaitā:</t>
  </si>
  <si>
    <t>Ministru kabineta rīkojums Nr. 234
Rīgā 2022. gada 5. aprīlī (prot. Nr. 19 6. §)
Par finanšu līdzekļu piešķiršanu no valsts budžeta programmas "Līdzekļi neparedzētiem gadījumiem"</t>
  </si>
  <si>
    <t>Piešķirt Izglītības un zinātnes ministrijai 16 319 euro, lai saistībā ar ārkārtējo situāciju, kas izsludināta Covid-19 izplatības ierobežošanai (Ministru kabineta 2021. gada 9. oktobra rīkojums Nr. 720 "Par ārkārtējās situācijas izsludināšanu"), nodrošinātu epidemioloģisko drošības pasākumu Covid-19 infekcijas izplatības ierobežošanai ievērošanas kontroli izglītības jomā.</t>
  </si>
  <si>
    <t>epidemioloģisko drošības pasākumu Covid-19 infekcijas izplatības ierobežošanai ievērošanas kontroli izglītības jomā.</t>
  </si>
  <si>
    <t>Ministru kabineta rīkojums Nr. 246
Rīgā 2022. gada 5. aprīlī (prot. Nr. 19 28. §)
Par finanšu līdzekļu piešķiršanu no valsts budžeta programmas "Līdzekļi neparedzētiem gadījumiem"</t>
  </si>
  <si>
    <t>“Kultūras pasākumu rīkotāju biļešu kompensācija” 7. kārta</t>
  </si>
  <si>
    <t>Piešķirt Kultūras ministrijai (Valsts kultūrkapitāla fondam) 247 432 euro, lai atbilstoši mērķprogrammas „Kultūras pasākumu rīkotāju biļešu kompensācija” 7. kārtas rezultātiem kultūras pasākumu rīkotājiem nodrošinātu biļešu kompensāciju 80 % apmērā.</t>
  </si>
  <si>
    <t>Ministru kabineta rīkojums Nr. 260
Rīgā 2022. gada 13. aprīlī (prot. Nr. 20 29. §)
Par finanšu līdzekļu piešķiršanu no valsts budžeta programmas "Līdzekļi neparedzētiem gadījumiem"</t>
  </si>
  <si>
    <t>Piešķirt VM finansējumu, kas nepārsniedz 23 125 884 euro, lai nodrošinātu piemaksas un atvaļinājuma rezerves uzkrājumu atbilstoši aprēķinātajai piemaksu summai no 2022. gada 1. aprīļa līdz 2022. gada 30. jūnijam atbildīgo institūciju ārstniecības personām un citiem nodarbinātajiem par darbu paaugstināta riska un slodzes apstākļos sabiedrības veselības apdraudējuma situācijā saistībā ar Covid-19 uzliesmojumu un seku novēršanu, tai skaitā:
	1.1. finansējumu, kas nepārsniedz 21 347 625 euro, piemaksu nodrošināšanai;
	1.2. finansējumu, kas nepārsniedz 1 778 259 euro, atvaļinājuma rezerves uzkrājumu nodrošināšanai.</t>
  </si>
  <si>
    <t>Ministru kabineta rīkojums Nr. 261
Rīgā 2022. gada 13. aprīlī (prot. Nr. 20 30. §)
Par finanšu līdzekļu piešķiršanu no valsts budžeta programmas "Līdzekļi neparedzētiem gadījumiem"</t>
  </si>
  <si>
    <t xml:space="preserve">piemaksas un atvaļinājuma rezerves uzkrājumu </t>
  </si>
  <si>
    <t>Piešķirt Iekšlietu ministrijai finansējumu 314 247 euro apmērā pārskaitīšanai  pašvaldību institūcijām, lai kompensētu izdevumus, kas saistīti ar piemaksām pašvaldību policijas darbiniekiem par darbu paaugstināta riska un slodzes apstākļos saistībā ar Covid-19 uzliesmojumu un tās seku novēršanu  laikposmā no 2022. gada 1. februāra līdz 2022. gada 28. februārim.</t>
  </si>
  <si>
    <t>Ministru kabineta rīkojums Nr. 262
Rīgā 2022. gada 13. aprīlī (prot. Nr. 20 32. §)
Par finanšu līdzekļu piešķiršanu no valsts budžeta programmas "Līdzekļi neparedzētiem gadījumiem"</t>
  </si>
  <si>
    <t>Piešķirt Veselības ministrijai  finansējumu 909 694 euro apmērā, lai segtu izdevumus saistībā ar skābekļa pievades vai izveides sistēmu uzlabošanu 2021. un 2022. gadā, tai skaitā:</t>
  </si>
  <si>
    <t>izdevumiem saistībā ar skābekļa pievades vai izveides sistēmu uzlabošanu</t>
  </si>
  <si>
    <t>Ministru kabineta rīkojums Nr. 279
Rīgā 2022. gada 19. aprīlī (prot. Nr. 22 29. §)
Par finanšu līdzekļu piešķiršanu no valsts budžeta programmas "Līdzekļi neparedzētiem gadījumiem"</t>
  </si>
  <si>
    <t>18.12.2020 07.01.2021 11.01.2021 21.04.2021
14.07.2021 12.10.2021</t>
  </si>
  <si>
    <t>MK rīkojums Nr.123 22.02.2022</t>
  </si>
  <si>
    <t>MK 2021.gada 14.jūlijā prot.Nr. 52 1.§
Nr.114 22.02.2022</t>
  </si>
  <si>
    <t>Nr.127 22.02.2022</t>
  </si>
  <si>
    <t xml:space="preserve">Piešķirt Veselības ministrijai (Neatliekamās medicīniskās palīdzības dienestam) finansējumu 10 446 euro apmērā, lai atbilstoši Ministru kabineta 2020. gada 9. jūnija noteikumu Nr. 360 "Epidemioloģiskās drošības pasākumi Covid-19 infekcijas izplatības ierobežošanai" 38.63 punktam nodrošinātu to personu, kurām ir pozitīvs Covid-19 tests, nogādāšanu uz dzīvesvietu vai uzturēšanās vietu, vai Latvijas Investīciju un attīstības aģentūras administrētajā tūristu mītņu sarakstā minētu tūristu mītni, par laika periodu no 2021. gada 1.decembra līdz 2022. gada 13. janvārim </t>
  </si>
  <si>
    <t>personu, kurām ir pozitīvs Covid-19 tests, nogādāšanu uz dzīvesvietu vai uzturēšanās vietu</t>
  </si>
  <si>
    <t>MK Nr.187 15.03.2022</t>
  </si>
  <si>
    <t>Nr.204 23.03.2022</t>
  </si>
  <si>
    <t>Finanšu ministrijai no valsts budžeta programmas 02.00.00 "Līdzekļi neparedzētiem gadījumiem" piešķirt Veselības ministrijai finansējumu  3 190 315 euro apmērā, lai segtu izdevumus par Covid-19  vakcīnu ievadi 2021. gada decembrī</t>
  </si>
  <si>
    <t>Piešķirt Veselības ministrijai (Nacionālajam veselības dienestam) finansējumu 3 255 493 euro apmērā, lai segtu izdevumus, kas radušies no 2021.gada decembra līdz 2022. gada aprīlim saistībā ar medicīnisko iekārtu un papildaprīkojuma iegādi</t>
  </si>
  <si>
    <t>saistībā ar medicīnisko iekārtu un papildaprīkojuma iegādi</t>
  </si>
  <si>
    <t>Impact on Budget Balance</t>
  </si>
  <si>
    <t>Piešķirt Veselības ministrijai  (Nacionālajam veselības dienestam) finansējumu 100 000 euro apmērā, lai segtu izdevumus, kas radušies saistībā ar medikamenta Sotrovimab iegādi.</t>
  </si>
  <si>
    <t>Ministru kabineta rīkojums Nr. 308 Rīgā 2022. gada 3. maijā
Par finanšu līdzekļu piešķiršanu no valsts budžeta programmas "Līdzekļi neparedzētiem gadījumiem"</t>
  </si>
  <si>
    <t>Piešķirt Satiksmes ministrijai finansējumu 99 542 euro apmērā, lai kompensētu mobilo sakaru operatoru izdevumus, kas radušies, nosūtot viesabonentiem, kuri ir reģistrējušies Latvijas mobilo sakaru operatora tīklā, SMS paziņojumu laikposmā no 2021. gada 1. oktobra līdz 2022. gada 28. februārim, tai skaitā:
1. 34 051 euro – sabiedrībai ar ierobežotu atbildību "Latvijas Mobilais Telefons";
2. 38 344 euro – sabiedrībai ar ierobežotu atbildību "Tele2";
3. 27 147  euro – sabiedrībai ar ierobežotu atbildību "BITE Latvija".</t>
  </si>
  <si>
    <t>Rīkojums Nr.304 "Par finanšu līdzekļu piešķiršanu no valsts budžeta programmas "Līdzekļi neparedzētiem gadījumiem""</t>
  </si>
  <si>
    <t>pārdales</t>
  </si>
  <si>
    <t>7. Izglītības un zinātnes ministrijai sagatavot un iesniegt izskatīšanai Ministru kabineta sēdē papildu izglītības nozares projektus 7 291 160 EUR apmērā, kas atbilst šajā ziņojumā izvirzītajiem augstas gatavības projektu nosacījumiem.</t>
  </si>
  <si>
    <t>MK 18.03.2022 sēdes prot. Nr. 28.,42.paragr.   https://tap.mk.gov.lv/mk/mksedes/saraksts/protokols/?protokols=2021-03-18</t>
  </si>
  <si>
    <t>piešķirt Kultūras ministrijai 3 002 519 euro pārskaitīšanai akciju sabiedrībai "Attīstības finanšu institūcija Altum",</t>
  </si>
  <si>
    <t>Lai nodrošinātu atbalsta piešķiršanu komersantiem, kuri organizē pastāvīgus publiskus pasākumus, izklaides un atpūtas pasāķumus, mazinātu Covid -19 krīzes radīto negatīvo seku ietekmi uz mākslas , izklaides un atpūtas nozari</t>
  </si>
  <si>
    <t>Ministru kabineta rīkojums Nr. 58
Rīgā 2022. gada 1. februārī (prot. Nr. 5 52. §)
Par finanšu līdzekļu piešķiršanu no valsts budžeta programmas "Līdzekļi neparedzētiem gadījumiem"</t>
  </si>
  <si>
    <t>piešķirt Veselības ministrijai finansējumu 8 339 082 euro apmērā, lai segtu izdevumus saistībā ar Covid-19 testēšanas politikas mērķu sasniegšanu, veicinot Covid-19 testēšanas jaudas palielināšanu un ņemot vērā laboratoriju kopējo testēšanas kapacitāti, tai skaitā:</t>
  </si>
  <si>
    <t>Ministru kabineta rīkojums Nr. 228
Rīgā 2022. gada 29. martā (prot. Nr. 18 46. §)
Par finanšu līdzekļu piešķiršanu no valsts budžeta programmas "Līdzekļi neparedzētiem gadījumiem"</t>
  </si>
  <si>
    <t xml:space="preserve">izdevumus saistībā ar Covid-19 testēšanas politikas mērķu sasniegšanu, </t>
  </si>
  <si>
    <t>Ministru kabineta rīkojums Nr. 588
Rīgā 2021. gada 23. augustā (prot. Nr. 56 62. §)
Par akciju sabiedrības "Air Baltic Corporation" pamatkapitāla palielināšanu</t>
  </si>
  <si>
    <t xml:space="preserve">23.08.2021
23.05.2022 </t>
  </si>
  <si>
    <r>
      <t xml:space="preserve">Palielināt Satiksmes ministrijai apropriāciju 45 000 000 euro apmērā budžeta programmā 48.00.00 “AS “Air Baltic Corporation” pamatkapitāla palielināšana” resursiem no dotācijas no vispārējiem ieņēmumiem un paredzēt apropriāciju kategorijā “Akcijas un cita līdzdalība pašu kapitālā” akciju sabiedrības “Air Baltic Corporation” (turpmāk – sabiedrība) pamatkapitāla palielināšanai, lai kompensētu zaudējumus, kas radušies saistībā ar Covid-19 izplatību, un nodrošinātu sabiedrības likviditāti, kā arī veicinātu ekonomiskās krīzes pārvarēšanu un nozares stabilizēšanu. </t>
    </r>
    <r>
      <rPr>
        <b/>
        <sz val="11"/>
        <color rgb="FFFF0000"/>
        <rFont val="Calibri"/>
        <family val="2"/>
        <charset val="186"/>
        <scheme val="minor"/>
      </rPr>
      <t>(23.05. 2022 EK akceptēja 45 milj. 2022.gadam) FM rīkojums Nr.336 no 02.06.2022</t>
    </r>
  </si>
  <si>
    <t xml:space="preserve">lai kompensētu piemaksas un nodrošinātu atvaļinājuma rezerves uzkrājumu atbilstoši aprēķinātajai piemaksu summai laikposmā līdz 2021.gada 31.decembrim atbildīgo institūciju ārstniecības personām </t>
  </si>
  <si>
    <t>Ministru kabineta rīkojums Nr. 333
Rīgā 2022. gada 17. maijā (prot. Nr. 27 27. §)
Par finanšu līdzekļu piešķiršanu no valsts budžeta programmas "Līdzekļi neparedzētiem gadījumiem"</t>
  </si>
  <si>
    <t>piešķirt Veselības ministrijai finansējumu 31 968 716 euro apmērā, lai kompensētu piemaksas un nodrošinātu atvaļinājuma rezerves uzkrājumu atbilstoši aprēķinātajai piemaksu summai laikposmā līdz 2021. gada 31. decembrim atbildīgo institūciju ārstniecības personām un citiem nodarbinātajiem par darbu paaugstināta riska un slodzes apstākļos sabiedrības veselības apdraudējuma situācijā saistībā ar Covid-19 uzliesmojumu un seku novēršanu, no tiem:</t>
  </si>
  <si>
    <t>Ministru kabineta rīkojums Nr. 346
Rīgā 2022. gada 24. maijā (prot. Nr. 28 11. §)
Par finanšu līdzekļu piešķiršanu no valsts budžeta programmas "Līdzekļi neparedzētiem gadījumiem"</t>
  </si>
  <si>
    <t>Piešķirt Finanšu ministrijai (Valsts ieņēmumu dienestam) no valsts budžeta programmas 02.00.00 "Līdzekļi neparedzētiem gadījumiem" finansējumu 413 294 euro apmērā, tai skaitā:</t>
  </si>
  <si>
    <t>Ministru kabineta rīkojums Nr. 355
Rīgā 2022. gada 24. maijā (prot. Nr. 28 34. §)
Par finanšu līdzekļu piešķiršanu no valsts budžeta programmas "Līdzekļi neparedzētiem gadījumiem"</t>
  </si>
  <si>
    <t>piešķirt Iekšlietu ministrijai finansējumu 881 843 euro apmērā, no tiem:</t>
  </si>
  <si>
    <t>Ministru kabineta rīkojums Nr. 349
Rīgā 2022. gada 24. maijā (prot. Nr. 28 22. §)
Par finanšu līdzekļu piešķiršanu no valsts budžeta programmas "Līdzekļi neparedzētiem gadījumiem"</t>
  </si>
  <si>
    <t>Ministru kabineta rīkojums Nr. 422
Rīgā 2022. gada 15. jūnijā (prot. Nr. 32 14. §)
Par finanšu līdzekļu piešķiršanu no valsts budžeta programmas "Līdzekļi neparedzētiem gadījumiem"</t>
  </si>
  <si>
    <t xml:space="preserve">piešķirt Iekšlietu ministrijai (Nodrošinājuma valsts aģentūrai) finansējumu  1 790 753  euro apmērā, lai augstas gatavības projektos, kas saistīti ar  Covid-19 krīzes  pārvarēšanu un ekonomikas atlabšanu (jaunu ugunsdzēsības depo būvniecība Aizputē, Dagdā, Iecavā, Ilūkstē, Kandavā, Priekulē, Rūjienā un Saulkrastos), segtu būvniecības izmaksu sadārdzinājumu, kas radies saistībā ar Krievijas militāro agresiju pret Ukrainu. </t>
  </si>
  <si>
    <t>Ministru kabineta rīkojums Nr. 291
Rīgā 2022. gada 26. aprīlī (prot. Nr. 23 11. §)
Par finanšu līdzekļu piešķiršanu no valsts budžeta programmas "Līdzekļi neparedzētiem gadījumiem"</t>
  </si>
  <si>
    <r>
      <t xml:space="preserve">piešķirt Veselības ministrijai finansējumu 6 696 934 euro apmērā, lai kompensētu atbildīgajām institūcijām samaksu par ārstniecības personu un pārējo nodarbināto virsstundu darbu, kas saistīts ar Covid-19 jautājumu risināšanu un seku novēršanu, tai skaitā:1.1. Nacionālajam veselības dienestam – 6 026 931 euro, lai nodrošinātu samaksu ārstniecības iestādēm (5 760 352 euro) par 2021. gadu un samaksu Nacionālā veselības dienesta darbiniekiem (266 579 euro) par laikposmu </t>
    </r>
    <r>
      <rPr>
        <b/>
        <sz val="11"/>
        <rFont val="Calibri"/>
        <family val="2"/>
        <charset val="186"/>
        <scheme val="minor"/>
      </rPr>
      <t>no 2021. gada 1. decembra līdz 2022. gada 30. aprīlim;</t>
    </r>
  </si>
  <si>
    <t>lai kompensētu atbildīgajām institūcijām samaksu par ārstniecības personu un pārējo nodarbināto virsstundu darbu, kas saistīts ar Covid-19 jautājumu risināšanu un seku novēršanu par laikposmu no 2021. gada 1. decembra līdz 2022. gada 30. aprīlim;</t>
  </si>
  <si>
    <t>Ministru kabineta rīkojums Nr. 389
Rīgā 2022. gada 31. maijā (prot. Nr. 29 34. §)
Par finanšu līdzekļu piešķiršanu no valsts budžeta programmas "Līdzekļi neparedzētiem gadījumiem"</t>
  </si>
  <si>
    <t xml:space="preserve"> lai segtu faktiskos  izdevumus par 2022.gada pirmo ceturksni, kas radušies saistībā ar COVID – 19 infekcijas uzliesmojumu un seku novēršanu, tai skaitā:</t>
  </si>
  <si>
    <r>
      <t xml:space="preserve">Piešķirt Veselības ministrijai (Nacionālajam veselības dienestam) finansējumu 35 854 661 euro apmērā, </t>
    </r>
    <r>
      <rPr>
        <b/>
        <sz val="11"/>
        <rFont val="Calibri"/>
        <family val="2"/>
        <charset val="186"/>
        <scheme val="minor"/>
      </rPr>
      <t>lai segtu faktiskos  izdevumus par 2022.gada pirmo ceturksni,</t>
    </r>
    <r>
      <rPr>
        <sz val="11"/>
        <rFont val="Calibri"/>
        <family val="2"/>
        <charset val="186"/>
        <scheme val="minor"/>
      </rPr>
      <t xml:space="preserve"> kas radušies saistībā ar COVID – 19 infekcijas uzliesmojumu un seku novēršanu, tai skaitā:</t>
    </r>
  </si>
  <si>
    <t>Ministru kabineta rīkojums Nr. 518
Rīgā 2022. gada 14. jūlijā (prot. Nr. 36 57. §)
Par finanšu līdzekļu piešķiršanu no valsts budžeta programmas "Līdzekļi neparedzētiem gadījumiem"</t>
  </si>
  <si>
    <t>Piešķirt Veselības ministrijai finansējumu 12 175 806 euro apmērā, lai segtu faktiskos izdevumus, kas radušies saistībā ar COVID-19 infekcijas uzliesmojumu un seku novēršanu 2022.gada aprīlī, no tiem:</t>
  </si>
  <si>
    <r>
      <t>Piešķirt Veselības ministrijai finansējumu 12 175 806 euro apmērā, lai segtu faktiskos izdevumus, kas radušies saistībā ar COVID-19 infekcijas uzliesmojumu un seku novēršan</t>
    </r>
    <r>
      <rPr>
        <b/>
        <sz val="11"/>
        <rFont val="Calibri"/>
        <family val="2"/>
        <charset val="186"/>
        <scheme val="minor"/>
      </rPr>
      <t>u 2022.gada aprīlī</t>
    </r>
    <r>
      <rPr>
        <sz val="11"/>
        <rFont val="Calibri"/>
        <family val="2"/>
        <charset val="186"/>
        <scheme val="minor"/>
      </rPr>
      <t>, no tiem:</t>
    </r>
  </si>
  <si>
    <t>Investīcijas kultūras infrastruktūrā;</t>
  </si>
  <si>
    <t>Ministru kabineta rīkojums Nr. 533
Rīgā 2022. gada 20. jūlijā (prot. Nr. 36 77. §)
Par finanšu līdzekļu piešķiršanu no valsts budžeta programmas "Līdzekļi neparedzētiem gadījumiem"</t>
  </si>
  <si>
    <t>Piešķirt Vides aizsardzības un reģionālās attīstības ministrijai 27 150 000 euro pašvaldīibām augstas gatavības investīciju projektu īstenošanai 2021.gadā un 23,8 milj. euro 2022. gadā. IZPILDE no VARAM pārskatiem pēc MK not.Nr. 242</t>
  </si>
  <si>
    <t>piešķirt Zemkopības ministrijai finansējumu 217 426 euro apmērā, lai segtu Pārtikas un veterinārā dienesta izdevumus, kas saistīti ar atalgojuma izmaksu amatpersonām, kuras veic robežkontroles inspektora pienākumus sabiedrības veselības apdraudējuma situācijā saistībā ar Covid-19 uzliesmojumu. VIRSSTUNDAS UN PIEMAKSAS PVD</t>
  </si>
  <si>
    <t>22.02.2022
groz. 09.08.2022 (teksts)</t>
  </si>
  <si>
    <t>Pārtikas un veterinārā dienesta izdevumus, kas saistīti ar atalgojuma izmaksu amatpersonām, kuras veic robežkontroles inspektora pienākumus</t>
  </si>
  <si>
    <t>Ministru kabineta rīkojums Nr. 547
Rīgā 2022. gada 9. augustā (prot. Nr. 39 61. §)
Par finanšu līdzekļu piešķiršanu no valsts budžeta programmas "Līdzekļi neparedzētiem gadījumiem"</t>
  </si>
  <si>
    <t>programmas 12.00.00 "Finansējums veselības jomas pasākumiem Covid-19 infekcijas izplatības ierobežošanai" 3 682 307 euro apmērā uz šādām Veselības ministrijas (Nacionālā veselības dienesta) budžeta apakšprogrammām,  lai segtu izdevumus, kas radušies saistībā ar Covid-19 infekcijas uzliesmojumu un tā seku novēršanu:</t>
  </si>
  <si>
    <t>Ministru kabineta rīkojums Nr. 490
Rīgā 2022. gada 6. jūlijā (prot. Nr. 35 45. §)
Par finanšu līdzekļu apropriācijas pārdali no budžeta resora
"74. Gadskārtējā valsts budžeta izpildes procesā pārdalāmais finansējums" valsts budžeta programmas 12.00.00 "Finansējums veselības jomas pasākumiem Covid-19 infekcijas izplatības ierobežošanai"</t>
  </si>
  <si>
    <t>Vakcīnu iegādei, uzglabāšanai , loģistikai</t>
  </si>
  <si>
    <t>RAKUS pamatkapitāls</t>
  </si>
  <si>
    <t>Ministru kabineta rīkojums Nr. 186</t>
  </si>
  <si>
    <t>Atbalstīt sabiedrības ar ierobežotu atbildību "Rīgas Austrumu klīniskā universitātes slimnīca" pamatkapitāla palielināšanu, ieguldot tajā finanšu līdzekļus 627 470 euro apmērā, un valsts sabiedrības ar ierobežotu atbildību "Traumatoloģijas un ortopēdijas slimnīca" pamatkapitāla palielināšanu, ieguldot tajā finanšu līdzekļus 7 242 euro apmērā, skābekļa sistēmas pilnveidošanai.</t>
  </si>
  <si>
    <r>
      <t xml:space="preserve">Atbilstoši likumprojekta “Grozījums Covid-19 infekcijas izplatības seku pārvarēšanas likumā” anotācijai paredzēts piešķirt Labklājības ministrijai finansējumu, kas nepārsniedz 16 692 129 euro, lai nodrošinātu valsts mērķdotāciju pašvaldībām mājokļa pabalstam 2022.gadā. 
</t>
    </r>
    <r>
      <rPr>
        <sz val="11"/>
        <color rgb="FFFF0000"/>
        <rFont val="Calibri"/>
        <family val="2"/>
        <charset val="186"/>
        <scheme val="minor"/>
      </rPr>
      <t>SADALĪJUMS Ministru kabineta rīkojums Nr. 18
 2022. gada 11. janvārī (prot. Nr. 2 63. §)
Par finanšu līdzekļu piešķiršanu no valsts budžeta programmas "Līdzekļi neparedzētiem gadījumiem"</t>
    </r>
  </si>
  <si>
    <r>
      <t>Mk rīk.Nr. 994 https://likumi.lv/ta/id/328669
Likumprojekta izstrādes mērķis ir veicināt vakcinācijas procesu pret saslimšanu ar Covid-19, laikposmā no 2021.gada 1.novembra līdz 2022.gada 31.martam</t>
    </r>
    <r>
      <rPr>
        <b/>
        <sz val="11"/>
        <rFont val="Calibri"/>
        <family val="2"/>
        <charset val="186"/>
        <scheme val="minor"/>
      </rPr>
      <t xml:space="preserve"> izmaksājot pabalstu 20 euro mēnesī Latvijā dzīvojošai personai, kura līdz 2021.gada 31.decembrim ir sasniegusi 60 gadu vecumu un ir veikusi pilnu vakcinācijas kursu pret Covid-19 infekciju vai arī ir saņēmušas konsīlija atzinumu par nepieciešamību atlikt personas vakcināciju pret Covid-19 līdz 2022.gada 31.martam</t>
    </r>
    <r>
      <rPr>
        <sz val="11"/>
        <rFont val="Calibri"/>
        <family val="2"/>
        <scheme val="minor"/>
      </rPr>
      <t xml:space="preserve">.Līdz ar to papildus finansējums kopā: 48 504 240 + 21 236 (informācijas sistēmām) + 37 893 (VSAA virsstundām) = 48 563 369 euro (noapaļojot pilnos euro), no tā </t>
    </r>
    <r>
      <rPr>
        <b/>
        <sz val="11"/>
        <rFont val="Calibri"/>
        <family val="2"/>
        <charset val="186"/>
        <scheme val="minor"/>
      </rPr>
      <t>2021.gadā - 18 504 250 euro un 2022.gadā - 30 059 119 euro.</t>
    </r>
  </si>
  <si>
    <t>Prognoze uz DBP 04.10.2022</t>
  </si>
  <si>
    <t xml:space="preserve">Piešķirt Veselības ministrijai finansējumu 6 797 970 euro apmērā, lai kompensētu atbildīgajām institūcijām samaksu par ārstniecības personu un pārējo nodarbināto virsstundu darbu, kas saistīts ar Covid-19 jautājumu risināšanu un seku novēršanu, tai skaitā. </t>
  </si>
  <si>
    <t>samaksu par ārstniecības personu un pārējo nodarbināto virsstundu darbu, kas saistīts ar Covid-19 jautājumu (pievienots tabulā pēc 09.09)</t>
  </si>
  <si>
    <t>Ministru kabineta rīkojums Nr. 595
Rīgā 2022. gada 7. septembrī (prot. Nr. 44 34. §)
Par finanšu līdzekļu piešķiršanu no valsts budžeta programmas "Līdzekļi neparedzētiem gadījumiem"</t>
  </si>
  <si>
    <t>Atbalsta apjoms, milj.eiro un % no IKP</t>
  </si>
  <si>
    <t>Ietekme uz budžeta bilanci, milj.eiro un % no IKP</t>
  </si>
  <si>
    <t>Energo</t>
  </si>
  <si>
    <t>Ukraina</t>
  </si>
  <si>
    <t>Atbalsts KOPĀ</t>
  </si>
  <si>
    <t>Atbalsta ietekme uz bilanci KOPĀ</t>
  </si>
  <si>
    <t>% no IKP</t>
  </si>
  <si>
    <r>
      <t xml:space="preserve">Valdības apstiprinātā atbalsta apjoms Covid-19 seku mazināšanai </t>
    </r>
    <r>
      <rPr>
        <b/>
        <vertAlign val="superscript"/>
        <sz val="14"/>
        <color theme="1"/>
        <rFont val="Times New Roman"/>
        <family val="1"/>
        <charset val="186"/>
      </rPr>
      <t>1</t>
    </r>
    <r>
      <rPr>
        <b/>
        <sz val="14"/>
        <color theme="1"/>
        <rFont val="Times New Roman"/>
        <family val="1"/>
        <charset val="186"/>
      </rPr>
      <t>, milj. eiro</t>
    </r>
  </si>
  <si>
    <t>Atbalsta saņēmēji</t>
  </si>
  <si>
    <t>Plāns uz 09.09.2022</t>
  </si>
  <si>
    <t>Operatīvā izpilde uz 31.08.2022</t>
  </si>
  <si>
    <t>Iekšzemes kopprodukts (Augusts, 2022)</t>
  </si>
  <si>
    <t>14,2 tūkst. termiņa pagarinājumu 3,7 tūkst. nodokļu maksātājiem</t>
  </si>
  <si>
    <t>5,3 tūkst. termiņa pagarinājumu 1,5 tūkst.  nodokļu maksātājiem</t>
  </si>
  <si>
    <t>pēc 44 lēmumiem 28 nodokļu maksātājiem piešķirti 112 termiņa pagarinājumi</t>
  </si>
  <si>
    <t>157,8 tūkst. atbalsti 66,5 tūkst. fiziskajām personām</t>
  </si>
  <si>
    <t>291,6 tūkst. atbalsti 76,3 tūkst. fiziskajām personām</t>
  </si>
  <si>
    <t>Eksporta progr. 260 komersanti, Tūrisma progr. 826 komersanti, VID programma 10,3 tūkst. atbalsti 10,2 tūkst. fiz.pers.</t>
  </si>
  <si>
    <t>113,3 tūkst. atbalsti 49,4 tūkst. fiziskajām personām</t>
  </si>
  <si>
    <t>22 931 atbalsts 12 836 fiziskajām personām</t>
  </si>
  <si>
    <t>Veikti 30 503 maksājumi</t>
  </si>
  <si>
    <t>Veikti 5 036 maksājumi</t>
  </si>
  <si>
    <t>Veikti 11 474 maksājumi</t>
  </si>
  <si>
    <t>Veikti 148 755  maksājumi. Daļa no spec.b. līdzekļiem</t>
  </si>
  <si>
    <t>160 291 maksājumi</t>
  </si>
  <si>
    <t>t.sk. pabalsts personām virs 60 gadiem (20 EUR piecu mēnešu periodā)</t>
  </si>
  <si>
    <t>Veikti 750 841 maksājumi</t>
  </si>
  <si>
    <t>1 187 842 maksājumi</t>
  </si>
  <si>
    <t xml:space="preserve">Veikti 375 918 maksājumi </t>
  </si>
  <si>
    <t>385 maksājumi</t>
  </si>
  <si>
    <t xml:space="preserve">Veikti  549 770 maksājumi </t>
  </si>
  <si>
    <t>85  maksājumi</t>
  </si>
  <si>
    <t>35 saņēmēji (196 darījumi)</t>
  </si>
  <si>
    <t>4 saņēmēji (13 darījumi)</t>
  </si>
  <si>
    <t>16 saņēmēji (34 darījumi)</t>
  </si>
  <si>
    <t>1 saņēmējs (1 darījums)</t>
  </si>
  <si>
    <t>513 saņēmēji (527 darījumi)</t>
  </si>
  <si>
    <t xml:space="preserve">
130 saņēmēji (133 darījumi)</t>
  </si>
  <si>
    <t>10 darījumi, 10 saņēmēji</t>
  </si>
  <si>
    <t>t.sk. Atbalsts lielajiem komersantiem garantiju veidā, t.sk. piesaistītais līdzfinansējums</t>
  </si>
  <si>
    <t>0 komersanti</t>
  </si>
  <si>
    <t>Instruments netiks īstenots, līdzekļi pārdalīti</t>
  </si>
  <si>
    <t>t.sk. Atbalsts lielajiem komersantiem aizdevumu un procentu likmju subsīdiju veidā, t.sk. piesaistītais līdzfinansējums</t>
  </si>
  <si>
    <t>5 komersanti (ALTUM 48,9% no 32,9 milj. eiro investīcijas)</t>
  </si>
  <si>
    <t>1 saņēmējs</t>
  </si>
  <si>
    <t>Atbilstoši Valsts kases datiem par izsniegtajām atļaujām</t>
  </si>
  <si>
    <r>
      <t>t.sk. Veselības nozarei</t>
    </r>
    <r>
      <rPr>
        <vertAlign val="superscript"/>
        <sz val="12"/>
        <color theme="1"/>
        <rFont val="Times New Roman"/>
        <family val="1"/>
        <charset val="186"/>
      </rPr>
      <t xml:space="preserve"> 2</t>
    </r>
  </si>
  <si>
    <t>Atbilstoši Valsts kases datiem</t>
  </si>
  <si>
    <t xml:space="preserve">Tai skaitā 165 milj. eiro izmaksāts piemaksām mediķiem </t>
  </si>
  <si>
    <t>Tai skaitā 126,5 milj. eiro ceļu būvniecībai</t>
  </si>
  <si>
    <t>5 atbalsti 5 granta pieteicējiem</t>
  </si>
  <si>
    <t>41,9 tūkst. atbalsti 11,4 tūkst. granta pieteicējiem</t>
  </si>
  <si>
    <t>6 924 atbalsti 4 194 granta pieteicējiem</t>
  </si>
  <si>
    <t>Tai skaitā 13,1  milj. eiro piemaksām pedagogiem</t>
  </si>
  <si>
    <r>
      <t>t.sk. ES fondu pārdales</t>
    </r>
    <r>
      <rPr>
        <vertAlign val="superscript"/>
        <sz val="12"/>
        <color theme="1"/>
        <rFont val="Times New Roman"/>
        <family val="1"/>
        <charset val="186"/>
      </rPr>
      <t>3</t>
    </r>
  </si>
  <si>
    <t>Kohēzijas politikas vadības informācijas sistēmas dati par veiktajiem maksājumiem projektu ieviesējiem</t>
  </si>
  <si>
    <t>Kohēzijas politikas vadības IS dati uz 20.12.2021 par veiktajiem maksājumiem projektu ieviesējiem (11 mēnešos)</t>
  </si>
  <si>
    <t>Nav plānots 2021.gadā</t>
  </si>
  <si>
    <t>Pārējāis atbalsts</t>
  </si>
  <si>
    <r>
      <t xml:space="preserve">2 </t>
    </r>
    <r>
      <rPr>
        <sz val="10"/>
        <color theme="1"/>
        <rFont val="Times New Roman"/>
        <family val="1"/>
        <charset val="186"/>
      </rPr>
      <t>Ieskaitot Aizsardzības ministrijas iepirkumus medic. aizsardzības līdzekļiem.</t>
    </r>
  </si>
  <si>
    <r>
      <rPr>
        <vertAlign val="superscript"/>
        <sz val="10"/>
        <color theme="1"/>
        <rFont val="Times New Roman"/>
        <family val="1"/>
        <charset val="186"/>
      </rPr>
      <t>3</t>
    </r>
    <r>
      <rPr>
        <sz val="10"/>
        <color theme="1"/>
        <rFont val="Times New Roman"/>
        <family val="1"/>
        <charset val="186"/>
      </rPr>
      <t xml:space="preserve"> Izpildes dati atbilstoši faktiskajiem maksājumiem no KPVIS (Informācijai: atbilstoši MK lēmumiem ES fondi tika pārstrukturēti 2020.gadā 499 milj. eiro apmērā un papildus virssaistības tika uzņemtas 199,4 milj. eiro apmērā). Izpildes dati tiek aktualizēti reizi mēnesī.</t>
    </r>
  </si>
  <si>
    <t>KOPĀ</t>
  </si>
  <si>
    <t>Centralizētās siltumapgādes pakalpojuma maksas kompensācija no 2022.gada 1.janvāra līdz 2022.gada 30.aprīlim</t>
  </si>
  <si>
    <t>Dabasgāzes tirdzniecības pakalpojuma maksas kompensācija no 2022.gada 1.janvāra līdz 2022.gada 30.aprīlim</t>
  </si>
  <si>
    <t>Obligātā iepirkuma komponentes maksas  kompensācija par periodu no 2022.gada 1.janvāra līdz 2022.gada 30.aprīlim</t>
  </si>
  <si>
    <t>Sociālie pabalsti KOPĀ</t>
  </si>
  <si>
    <t>Atbalsta izmaksa 20 eiro mēnesī senioriem un personām ar invaliditāti laikposmā no 2022.gada 1.janvāra līdz 2022.gada 30.aprīlim</t>
  </si>
  <si>
    <t>Atbalsta izmaksa 50 eiro mēnesī ģimenēm ar bērniem laikposmā no 2022.gada 1.janvāra līdz 2022.gada 30.aprīlim</t>
  </si>
  <si>
    <t>Atbalsta izmaksa 20 eiro mēnesī Aizsardzības ministrijas izdienas pensijas saņēmējiem, kuri nav sasnieguši vecuma pensijas piešķiršanai nepieciešamo vecumu un kuriem ir noteikta invaliditāte, laikposmā no 2022.gada 1.janvāra līdz 2022.gada 30.aprīlim</t>
  </si>
  <si>
    <t>IT sistēmu pielāgošana</t>
  </si>
  <si>
    <r>
      <t xml:space="preserve">Atbalsts senioriem, personām ar invaliditāti, apgādnieku zaudējušām personām ( 01.11.2022. līdz 30.05.2023 </t>
    </r>
    <r>
      <rPr>
        <u/>
        <sz val="16"/>
        <color theme="1"/>
        <rFont val="Times New Roman"/>
        <family val="1"/>
        <charset val="186"/>
      </rPr>
      <t>tik izmaksāti 10, 20 vai 30 eiro mēnesī</t>
    </r>
    <r>
      <rPr>
        <sz val="16"/>
        <color theme="1"/>
        <rFont val="Times New Roman"/>
        <family val="1"/>
        <charset val="186"/>
      </rPr>
      <t>, atkarībā no saņēmēja pensijas ienākuma apmēra)</t>
    </r>
  </si>
  <si>
    <t>Atbalsta izmaksa Aizsardzības ministrijas izdienas pensijas saņēmējiem (01.11.2022. līdz 30.05.2023 tik izmaksāti 10, 20 vai 30 eiro mēnesī, atkarībā no saņēmēja pensijas ienākuma apmēra)</t>
  </si>
  <si>
    <t xml:space="preserve">2022.g. </t>
  </si>
  <si>
    <t xml:space="preserve">2023.g. </t>
  </si>
  <si>
    <t>Citi MK lēmumi</t>
  </si>
  <si>
    <t>Iemaksas starptautiskajās organizācijās</t>
  </si>
  <si>
    <t>MK rīkojuma Nr.302 "Par Pasākumu plānu atbalsta sniegšanai Ukrainas civiliedzīvotājiem Latvijas Republikā" indikatīvi nepārdalītā daļa****</t>
  </si>
  <si>
    <t>Radio &amp; TV</t>
  </si>
  <si>
    <t>fm</t>
  </si>
  <si>
    <t>**** Indikatīvais atlikums no plānā maksimāli paredzētajiem 116,3 milj. eiro</t>
  </si>
  <si>
    <t>https://www.vestnesis.lv/op/2022/83B.1</t>
  </si>
  <si>
    <t>VM (31.08)</t>
  </si>
  <si>
    <t>IZPILDE_ 31/07</t>
  </si>
  <si>
    <t>milj. eiro</t>
  </si>
  <si>
    <t>ēdināšana</t>
  </si>
  <si>
    <t>izmitināšana</t>
  </si>
  <si>
    <t>izglītība</t>
  </si>
  <si>
    <t>pabalsti</t>
  </si>
  <si>
    <t>Total support, mln euro and % of GDP</t>
  </si>
  <si>
    <t>Impact on budgetary balance, mln euro and % of GDP</t>
  </si>
  <si>
    <t>Covid-19</t>
  </si>
  <si>
    <t>Ukraine</t>
  </si>
  <si>
    <t>GDP</t>
  </si>
  <si>
    <r>
      <t>Summary of Covid-19 crisis economic support measures and their fiscal impact</t>
    </r>
    <r>
      <rPr>
        <b/>
        <vertAlign val="superscript"/>
        <sz val="14"/>
        <color theme="1"/>
        <rFont val="Times New Roman"/>
        <family val="1"/>
        <charset val="186"/>
      </rPr>
      <t>*</t>
    </r>
    <r>
      <rPr>
        <b/>
        <sz val="14"/>
        <color theme="1"/>
        <rFont val="Times New Roman"/>
        <family val="1"/>
        <charset val="186"/>
      </rPr>
      <t>, mln euro</t>
    </r>
  </si>
  <si>
    <t>Total support</t>
  </si>
  <si>
    <t>I Support to the field of taxation, incl.</t>
  </si>
  <si>
    <t>II Aid in the field of benefits, incl.</t>
  </si>
  <si>
    <t>Downtime benefits for company employees, patent payers, self-employed</t>
  </si>
  <si>
    <t>Wage subsidies for part-time workers</t>
  </si>
  <si>
    <t>Payment of Covid sickness benefits from the 1st day</t>
  </si>
  <si>
    <t>Benefit for vaccinated seniors aged over 60</t>
  </si>
  <si>
    <t>III Aid in the field of loans and guarantees, incl.</t>
  </si>
  <si>
    <t>Loans with a capital discount for investment projects for entrepreneurs to promote competitiveness</t>
  </si>
  <si>
    <t>Increase of the local governments borrowing limit</t>
  </si>
  <si>
    <t>Support measures related to high energy costs, mln euro</t>
  </si>
  <si>
    <t>Execution*</t>
  </si>
  <si>
    <t>Electricity system service fee compensation in full for all end users from December 1, 2021 to April 30, 2022</t>
  </si>
  <si>
    <t>Increase of support for protected users by 10 euro in the period from 1 November 2021 to 31 December 2022</t>
  </si>
  <si>
    <t>Reduction of the mandatory procurement component in 2022 to 7.55 euro per megawatt hour**</t>
  </si>
  <si>
    <t>Compensation of district heating service fee from January 1, 2022 to April 30, 2022</t>
  </si>
  <si>
    <t>Compensation of natural gas trade service fee from January 1, 2022 to April 30, 2022</t>
  </si>
  <si>
    <t>Compensation of the mandatory procurement component fee for the period from January 1, 2022 to April 30, 2022</t>
  </si>
  <si>
    <t>Compensation for increased firewood purchase costs for households (proof with bill / receipt)</t>
  </si>
  <si>
    <t>Compensation for the increase in the cost of pellets for households</t>
  </si>
  <si>
    <t>Compensation for the increase in the cost of briquettes for households</t>
  </si>
  <si>
    <t>Social Benefits, TOTAL</t>
  </si>
  <si>
    <t>Heating Season 2021/2022</t>
  </si>
  <si>
    <t>Payment of support 20 euro per month for seniors and persons with disabilities in the period from 1 January 2022 to 30 April 2022</t>
  </si>
  <si>
    <t>Payment of support 50 euro per month for families with children in the period from 1 January 2022 to 30 April 2022</t>
  </si>
  <si>
    <t>Payment of support 20 euro per month to recipients of a long-service pension of the Ministry of Defense who have not reached the age required for granting an old-age pension and who have been diagnosed with a disability in the period from 1 January 2022 to 30 April 2022</t>
  </si>
  <si>
    <t>Adaptation of IT systems</t>
  </si>
  <si>
    <t>Support for seniors, persons with disabilities, persons who have lost their breadwinners (from 01.11.2022 to 30.05.2023, benefit amount of 10, 20 or 30 euro per month, depending on the amount of the recipient's pension income)</t>
  </si>
  <si>
    <t>Payment of support to the recipients of a long-service pension of the Ministry of Defense who have not reached the age required for granting an old-age pension and who have been diagnosed with a disability (from 01.11.2022 to 30.05.2023 10, 20 or 30 euro per month, depending on the amount of the recipient's pension income)</t>
  </si>
  <si>
    <t>Costs related to Ukraine civilians, mln euro</t>
  </si>
  <si>
    <t>Payments to the international organizations</t>
  </si>
  <si>
    <t>For local governments, expenses for accommodation and food for refugees, education for children</t>
  </si>
  <si>
    <t>Other measures (incl. social benefits, funds for language training, health care related expenditure)</t>
  </si>
  <si>
    <t>Novērtējums</t>
  </si>
  <si>
    <t>Estimate</t>
  </si>
  <si>
    <t>Atbalsta apjoms (Plāns)</t>
  </si>
  <si>
    <t>Centralizētās siltumapgādes izmaksu kompensēšana mājsaimniecībām (papildus 90% apmērā tarifa pieaugumam virs 150 euro/MWh)</t>
  </si>
  <si>
    <t>Central heat compensation for households (90% over 150 euro/MWh)</t>
  </si>
  <si>
    <t>Firewood for which the receipt has not been saved, 60 euro allowance (purchased by August 31) for households</t>
  </si>
  <si>
    <t>Pašvaldībām bēgļu izmitināšanai un ēdināšanai, izglītības izdevumiem bērniem*</t>
  </si>
  <si>
    <t>Energy</t>
  </si>
  <si>
    <t>Kompensējošie pasākumi cenu pieauguma samazināšanai KOPĀ</t>
  </si>
  <si>
    <t>Atbalsta aizsargātajiem lietotājiem paaugstināšana par 10 eiro laika posmā no 2021.gada 1.novembra līdz 2022.gada 31.decembrim</t>
  </si>
  <si>
    <r>
      <t xml:space="preserve">* </t>
    </r>
    <r>
      <rPr>
        <sz val="10"/>
        <color theme="1"/>
        <rFont val="Times New Roman"/>
        <family val="1"/>
        <charset val="186"/>
      </rPr>
      <t>Assessment of the Ministry of Finance according to the Treasury data, information received from the State Revenue Service, ALTUM, Ministry of Agriculture</t>
    </r>
  </si>
  <si>
    <t>I Atbalsts nodokļu jomā, t.sk.</t>
  </si>
  <si>
    <t>Nodokļu samaksas termiņa pagarinājumi</t>
  </si>
  <si>
    <t>Iespēja nemaksāt IIN avansus</t>
  </si>
  <si>
    <t>II Atbalsts pabalstu jomā, t.sk.</t>
  </si>
  <si>
    <t>Dīkstāves pabalsti</t>
  </si>
  <si>
    <t>Slimības palīdzības pabalsts un piemaksa pie tā par bērnu</t>
  </si>
  <si>
    <t>Slimības pabalsts 1.-10.diena no valsts budžeta dēļ Covid-19</t>
  </si>
  <si>
    <t>Vienreizējs pabalsts (500 EUR) ģimenēm par katru bērnu</t>
  </si>
  <si>
    <t>Vienreizējs pabalsts (200 EUR) senioriem un cilvēkiem ar invaliditāti</t>
  </si>
  <si>
    <t>Pabalsts vakcinētām personām virs 60 gadiem (20 EUR piecu mēnešu periodā)</t>
  </si>
  <si>
    <t>III Atbalsts aizdevumu un garantiju jomā, t.sk.</t>
  </si>
  <si>
    <t>Kredītu garantijas, t.sk. piesaistītais līdzfinansējums</t>
  </si>
  <si>
    <t>Portfeļgarantijas, t.sk. piesaistītais līdzfinansējums</t>
  </si>
  <si>
    <t>Aizdevumi apgrozāmiem līdzekļiem, t.sk. piesaistītais līdzfinansējums</t>
  </si>
  <si>
    <t>Kapitāla fonds lielajiem komersantiem (ALTUM atbalsts no valsts budžeta finansējuma)</t>
  </si>
  <si>
    <t>IV Atbalsts nozarēm, t.sk.</t>
  </si>
  <si>
    <t>Satiksmes nozarei (t.sk. avio nozarei)</t>
  </si>
  <si>
    <t>Granti apgrozāmajiem līdzekļiem</t>
  </si>
  <si>
    <t>Izglītības un zinātnes nozarei (t.sk. sportam un attālinātajām mācībām)</t>
  </si>
  <si>
    <t>Augstas gatavības projekti (bez autoceļiem)</t>
  </si>
  <si>
    <t>2021./2022.gada apkures sezona, t.sk.</t>
  </si>
  <si>
    <t>Elektroenerģijas sistēmas pakalpojuma maksas kompensācija 50% (decembris 2021) apmērā un pilnā apmērā visiem galalietotājiem līdz 2022.gada 30.aprīlim</t>
  </si>
  <si>
    <t>Elektroenerģijas sistēmas pakalpojuma maksas samazinājums uzņēmumiem pilnā apmērā 2022.gada 1.oktobris līdz 2023.gada 30.aprīlis</t>
  </si>
  <si>
    <t>Elektroenerģijas izmaksu pieauguma kompensācija mājsaimniecībām no 2022.g. oktobra līdz 2023.g. aprīlim, kuras apkurei izmanto elektroenerģiju (ja tērē virs 500 KWh mēnesī, 50% virs 0,16 eiro par KWh, max 0,1 eiro par KWh)</t>
  </si>
  <si>
    <t>Dabasgāzes izmaksu pieauguma kompensācija mājsaimniecībām no 2022.gada 1.jūlija līdz 2023.gada 30.aprīlim (kompensējamā dabasgāzes cenas daļa - 30 euro/MWh)</t>
  </si>
  <si>
    <t>Centralizētās siltumenerģijas apgādes izmaksu pieauguma kompensācija mājsaimniecībām (50% virs 68 euro/MWh) no 2022.gada 1.oktobra līdz 2023.gada 30.aprīlim</t>
  </si>
  <si>
    <t>Malkas iegādes izmaksu pieauguma kompensācija mājsaimniecībām (ar čeku) ar iegādi no 2022.gada 1.maija līdz 2023.gada 30.aprīlim, (ja izmaksas pārsniedz 40 EUR/berkubikmetrā), bet ne vairāk kā 15 euro /berkubikmetrā apmērā</t>
  </si>
  <si>
    <t>Brikešu iegādes izmaksu pieauguma kompensācija mājsaimniecībām ar iegādi no 2022.gada 1.maija līdz 2023.gada 30.aprīlim (50% apmērā (ja izmaksas pārsniedz 300 eiro/tonnu), bet ne vairāk kā 100 eiro/tonnu apmērā)</t>
  </si>
  <si>
    <t>Granulu izmaksu pieauguma kompensācija mājsaimniecībām ar iegādi no 2022.gada 1.maija līdz 2023.gada 30.aprīlim (50% apmērā (ja izmaksas pārsniedz 300 eiro/tonnu), bet ne vairāk kā 100 eiro/tonnu apmērā)</t>
  </si>
  <si>
    <t>Malka par kuru nav saglabāts čeks, 60 eiro vienreizējs pabalsts (līdz 31.augustam iegāde notikusi) mājsaimniecībām</t>
  </si>
  <si>
    <t>Starpības kompensācija starp regulēto tarifu un tirgus cenu dabasgāzei mājsaimniecībām (noteikt dabasgāzes tirgus cenu mājsaimniecībām identisku regulētās dabasgāzes cenai: 108,7 eiro/MWh no 2022.gada 1.oktobra līdz 2023.gada 30.aprīlim)</t>
  </si>
  <si>
    <t>Juridisko lietotāju elektroenerģijas kompensācijas (kompensēt visiem juridiskajiem lietotājiem elektroenerģijas izmaksu pieaugumu 50% apmērā virs elektroenerģijas cenas 160 eiro/MWh laika periodā no 2022.gada 1.oktobra līdz 2023.gada 31.martam)</t>
  </si>
  <si>
    <t>A cost-cutting measures for end-users, TOTAL</t>
  </si>
  <si>
    <t>Electricity compensations for companies (50% over 160 euro/MWh) from October 2022 till March 2023</t>
  </si>
  <si>
    <t>Natural gas threshold for households (not more than 108,7 euro/MWh from October 2022 till April 2023)</t>
  </si>
  <si>
    <t>Electricity system service fee compensation in full for companies October 2022 till April 2023)</t>
  </si>
  <si>
    <t>Compensation for natural gas cost increases for households (30 euro/MWh)</t>
  </si>
  <si>
    <t>Compensation for the increase in heat costs for households (50% over 68 euro MWh)</t>
  </si>
  <si>
    <t>Elektroenerģijas cenas starpības kompensācija starp tirgus cenu un paredzamajiem cenas griestiem mājsaimniecībām (visām mājsaimniecībām elektroenerģijas patēriņa pirmo 100 kWh cenu par fiksētu maksu 160 eiro/MWh no 2022.gada 1.oktobra līdz 2023.gada 30.aprīlim)</t>
  </si>
  <si>
    <t>Electricity compensation for households (first 100 KWh for the price of 0,16 euro/KWh)</t>
  </si>
  <si>
    <t xml:space="preserve">Compensation for the increase in electricity costs for households using electricity for heating – 50% over 0,16 euro/KWh, max 0,10 euro/KWh support if uses more than 500 KWh per month </t>
  </si>
  <si>
    <t>Ministru kabineta rīkojums Nr. 682
Rīgā 2022. gada 5. oktobrī
Par finanšu līdzekļu piešķiršanu no valsts budžeta programmas "Līdzekļi neparedzētiem gadījumiem"</t>
  </si>
  <si>
    <t>Zāļu valsts aģentūra veiktu šādus maksājumus saistībā ar vakcīnas pret Covid-19 infekciju blakusparādību izraisīto smagu vai vidēji smagu kaitējumu pacienta veselībai vai dzīvībai</t>
  </si>
  <si>
    <t>Ministru kabineta rīkojums Nr. 678
Rīgā 2022. gada 5. oktobrī
Par finanšu līdzekļu piešķiršanu no valsts budžeta programmas "Līdzekļi neparedzētiem gadījumiem"</t>
  </si>
  <si>
    <t>lai segtu faktiskos izdevumus, kas radušies saistībā ar Covid-19 infekcijas uzliesmojumu un tā seku novēršanu</t>
  </si>
  <si>
    <t>Piešķirt Veselības ministrijai finansējumu 16 711 868 euro apmērā, lai segtu faktiskos izdevumus, kas radušies saistībā ar Covid-19 infekcijas uzliesmojumu un tā seku novēršanu, no tiem:
	1.1. 9 703 448 euro apmērā, lai segtu faktiskos izdevumus, kas radušies saistībā ar Covid-19 infekcijas uzliesmojumu un tā seku novēršanu 2022. gada maijā, tai skaitā:
	1.1.1. Nacionālajam veselības dienestam – 9 611 456 euro, no tiem:
	1.1.1.1. 2 233 079 euro – laboratorisko izmeklējumu organizēšanai, veikšanai un paraugu nogādāšanai līdz laboratorijai;
	1.1.1.2. 15 967 euro – pacientu nogādāšanai no stacionārās ārstniecības iestādes uz mājām, pulsa oksimetra nomai un ceļa izdevumiem par pulsa oksimetra piegādi;
	1.1.1.3. 4 451 533 euro – pacientu veselības stāvokļa novērošanai uzņemšanas nodaļā, ārstēšanai intensīvās terapijas gultā vai nodaļā, diagnostikai un ārstēšanai, subakūtajai medicīniskajai rehabilitācijai, tai skaitā izmaksu korekcijai par pacientu nodrošināšanu ar subakūto medicīnisko rehabilitāciju no 2022. gada 1. janvāra līdz 31. martam;
	1.1.1.4. 200 633 euro – ģimenes ārstu mājas vizītēm un ģimenes ārstu attālināti sniegtajām konsultācijām;
	1.1.1.5. 2 542 297 euro – individuālo aizsardzības līdzekļu un dezinfekcijas līdzekļu izmantošanai pakalpojumu sniegšanā, samaksai par epidemioloģisko prasību nodrošināšanu saskaņā ar manipulāciju sarakstu vai ikmēneša fiksēto maksājumu, tai skaitā izmaksu korekcijai par individuālo aizsardzības līdzekļu un dezinfekcijas līdzekļu izmantošanu pakalpojumu sniegšanā no 2022. gada 1. janvāra līdz 30. aprīlim;
	1.1.1.6. 11 393 euro – sekundārajiem ambulatorajiem veselības aprūpes pakalpojumiem personām ar aktīvu apstiprinātu Covid-19 infekciju, epidemioloģiskās drošības pasākumiem Covid-19 infekcijas izplatības ierobežošanai kontaktpersonas (kas par tādu noteikta atbilstoši normatīvajiem aktiem) medicīniskās novērošanas periodā un riska maksājumam sekundārās ambulatorās veselības aprūpes speciālistiem;
	1.1.1.7. 156 554 euro – ārstniecības iestādes personāla psihoemocionālā atbalsta nodrošināšanai un konsultatīvā tālruņa darbības nodrošināšanai, lai pusaudžiem sniegtu psihoemocionālo atbalstu;
	1.1.2. Neatliekamās medicīniskās palīdzības dienestam – 91 992 euro, no tiem:
	1.1.2.1. 91 953 euro – individuālo aizsardzības līdzekļu un dezinfekcijas līdzekļu izmantošanai pakalpojumu sniegšanā;
	1.1.2.2. 39 euro – ārstniecības iestādes personāla psihoemocionālā atbalsta nodrošināšanai;
	1.2. 7 008 420 euro apmērā, lai segtu faktiskos izdevumus, kas radušies saistībā ar Covid-19 infekcijas uzliesmojumu un tā seku novēršanu, tai skaitā:
	1.2.1. Nacionālajam veselības dienestam – 6 988 486 euro, lai segtu izdevumus, kas radušies 2022. gada jūnijā, no tiem:
	1.2.1.1. 1 833 181 euro – laboratorisko izmeklējumu organizēšanai, veikšanai un paraugu nogādāšanai līdz laboratorijai, tai skaitā izmaksu korekcijai par laboratorisko izmeklējumu organizēšanu no 2022. gada 1. janvāra līdz 31. maijam;
	1.2.1.2. 6109 euro – pacientu nogādāšanai no stacionārās ārstniecības iestādes uz mājām, pulsa oksimetra nomai un ceļa izdevumiem par pulsa oksimetra piegādi;
	1.2.1.3. 3 886 558 euro – pacientu veselības stāvokļa novērošanai uzņemšanas nodaļā, ārstēšanai intensīvās terapijas gultā vai nodaļā, diagnostikai un ārstēšanai, subakūtajai medicīniskajai rehabilitācijai, tai skaitā izmaksu korekcijai par pacientu nodrošināšanu ar subakūto medicīnisko rehabilitāciju no 2022. gada 1. janvāra līdz 30. aprīlim;
	1.2.1.4. 134 385 euro – ģimenes ārstu mājas vizītēm un ģimenes ārstu attālināti sniegtajām konsultācijām;
	1.2.1.5. 971 926 euro – individuālo aizsardzības līdzekļu un dezinfekcijas līdzekļu izmantošanai pakalpojumu sniegšanā, samaksai par epidemioloģisko prasību nodrošināšanu saskaņā ar manipulāciju sarakstu vai ikmēneša fiksēto maksājumu, tai skaitā izmaksu korekcijai par individuālo aizsardzības līdzekļu un dezinfekcijas līdzekļu izmantošanu pakalpojumu sniegšanā no 2022. gada 1. janvāra līdz 31. martam un no 2022. gada 1. maija līdz 31. maijam;
	1.2.1.6. 565 euro – sekundārajiem ambulatorajiem veselības aprūpes pakalpojumiem personām ar aktīvu apstiprinātu Covid-19 infekciju, epidemioloģiskās drošības pasākumiem Covid-19 infekcijas izplatības ierobežošanai kontaktpersonas (kas par tādu noteikta atbilstoši normatīvajiem aktiem) medicīniskās novērošanas periodā un riska maksājumam sekundārās ambulatorās veselības aprūpes speciālistiem;
	1.2.1.7. 155 762 euro – ārstniecības iestādes personāla psihoemocionālā atbalsta nodrošināšanai un konsultatīvā tālruņa darbības nodrošināšanai, lai pusaudžiem sniegtu psihoemocionālo atbalstu;
	1.2.2. Neatliekamās medicīniskās palīdzības dienestam – 19 393 euro, lai segtu izdevumus, kas radušies 2022. gada jūnijā, no tiem:
	1.2.2.1. 12 672 euro – individuālo aizsardzības līdzekļu un dezinfekcijas līdzekļu izmantošanai pakalpojumu sniegšanā;
	1.2.2.2. 6721 euro – ārstniecības iestādes personāla psihoemocionālā atbalsta nodrošināšanai;
	1.2.3. Valsts tiesu medicīnas ekspertīzes centram – 541 euro, lai segtu izdevumus par laboratorisko izmeklējumu veikšanu no 2022. gada 1. janvāra līdz 31. martam.</t>
  </si>
  <si>
    <t>Piešķirt Veselības ministrijai finansējumu 152 290 euro apmērā, lai Zāļu valsts aģentūra veiktu izmaksas saistībā ar vakcīnas pret Covid-19 infekciju blakusparādību izraisīto smagu vai vidēji smagu kaitējumu pacienta veselībai vai dzīvībai, tai skaitā:
1. finansējumu 142 290 euro apmērā – saskaņā ar 2022.gada 7.septembra lēmumu Nr.1-56/254;
2. finansējumu 10 000 euro apmērā – saskaņā ar 2022.gada 7.septembra lēmumu Nr.1-56/255.</t>
  </si>
  <si>
    <t>20.07.2022 13.10.2022</t>
  </si>
  <si>
    <t>1.
Izteikt 1. punktu šādā redakcijā:
"1. Finanšu ministrijai no valsts budžeta programmas 02.00.00 "Līdzekļi neparedzētiem gadījumiem" piešķirt Kultūras ministrijai 1 494 399 euro, tai skaitā:
1.1. 505 139 euro pārskaitīšanai valsts sabiedrībai ar ierobežotu atbildību "Rīgas cirks", lai Covid-19 krīzes seku pārvarēšanas un ekonomikas atlabšanas pasākumu ietvaros veiktu investīcijas kultūras infrastruktūrā un nodrošinātu Rīgas cirka vēsturiskās ēkas Merķeļa ielā 4, Rīgā, pārbūvi;
1.2. 640 000 euro pārskaitīšanai valsts akciju sabiedrībai "Valsts nekustamie īpašumi" Valmieras drāmas teātra ēkas Lāčplēša ielā 4, Valmierā, pārbūvei;
1.3. 349 260 euro pārskaitīšanai valsts sabiedrībai ar ierobežotu atbildību "Valmieras drāmas teātris" teātra turpmākās darbības nodrošināšanai ārpus pastāvīgajām darba telpām."</t>
  </si>
  <si>
    <t>Ministru kabineta rīkojums Nr. 767
Par finanšu līdzekļu piešķiršanu no valsts budžeta programmas "Līdzekļi neparedzētiem gadījumiem"</t>
  </si>
  <si>
    <t>Finanšu ministrijai no valsts budžeta programmas 02.00.00 "Līdzekļi neparedzētiem gadījumiem" piešķirt Kultūras ministrijai pārskaitīšanai valsts akciju sabiedrībai "Valsts nekustamie īpašumi" 15 592 euro, lai Covid-19 krīzes seku pārvarēšanas un ekonomikas atlabšanas pasākumu ietvaros veiktu investīcijas kultūras infrastruktūrā un nodrošinātu projekta "Energoefektivitātes paaugstināšana Latvijas Leļļu teātra ēkā Krišjāņa Barona ielā 16/18, Rīgā" īstenošanu (audiovizuālās vadības sistēmas izbūvi).</t>
  </si>
  <si>
    <t>Ministru kabineta rīkojums Nr. 664
Par finanšu līdzekļu piešķiršanu no valsts budžeta programmas "Līdzekļi neparedzētiem gadījumiem"</t>
  </si>
  <si>
    <t>lai segtu izdevumus saistībā ar skābekļa pievades vai izveides sistēmu uzlabošanu un operatīvā datu paneļa izstrādi (aizstāts ar SAIRIS sistēmas pilnveidošanu) no 2021. gada janvāra līdz 2022. gada augustam</t>
  </si>
  <si>
    <t>Piešķirt Veselības ministrijai (Nacionālajam veselības dienestam) finansējumu 162 032 euro apmērā, lai segtu izdevumus saistībā ar skābekļa pievades vai izveides sistēmu uzlabošanu un operatīvā datu paneļa izstrādi (aizstāts ar SAIRIS sistēmas pilnveidošanu) no 2021. gada janvāra līdz 2022. gada augustam, tai skaitā:
1. sabiedrībai ar ierobežotu atbildību "Liepājas reģionālā slimnīca" 19 866 euro, lai segtu izdevumus, kas radušies par skābekļa pievades vai izveides sistēmu uzlabošanu;
2. sabiedrībai ar ierobežotu atbildību "Daugavpils reģionālā slimnīca" 29 685 euro, lai segtu izdevumus, kas radušies par skābekļa pievades vai izveides sistēmu uzlabošanu;
3. Nacionālajam veselības dienestam 112 481 euro, lai segtu izdevumus, kas radušies par operatīvā datu paneļa izstrādi (aizstāts ar SAIRIS sistēmas pilnveidošanu).</t>
  </si>
  <si>
    <t>2022./2023.gada apkures sezona, t.sk.</t>
  </si>
  <si>
    <t>2022/2023.gada apkures sezona, t.sk.</t>
  </si>
  <si>
    <t>Cits ar MK rīkojumu piešķirtais finansējums</t>
  </si>
  <si>
    <t>V ES fondu finansējuma atbalsts*, t.sk.</t>
  </si>
  <si>
    <t>Atbalsts energoefektīvajiem uzņēmumiem</t>
  </si>
  <si>
    <t>virssaistības</t>
  </si>
  <si>
    <t>*  Assessment of the Ministry of Finance, taking into account the operative data on costs provided by the Ministry of Economics and other institutions</t>
  </si>
  <si>
    <t>*** Financing for this purpose is 20.6 mln euro, incl. 6.5 mln euro as Covid-19 measure (see Table lines 30 and 32)</t>
  </si>
  <si>
    <t>**** Amendments in Law "On state pensions" Adopted by the Parliament on 14 July 2022</t>
  </si>
  <si>
    <t>Faster indexation of pensions (from August 2022) ****</t>
  </si>
  <si>
    <t>Heating Season 2022/2023</t>
  </si>
  <si>
    <t>Datu avots:  FM novērtējums, ņemot vērā Valsts kases, VID, Altum, VSAA, LIAA, ZM u.c. institūciju iesniegto informāciju.</t>
  </si>
  <si>
    <t>* No 2023.gada ES fondu finansējums Covid-19 atbalstā netiek iekļauts.</t>
  </si>
  <si>
    <t>Datu avots:  FM novērtējums, ņemot vērā Ekonomikas ministrijas, BVKB sniegtos operatīvos datus par izmaksām (atbalsta aizsargātajiem lietotājiem izmaksās norādīts finansējums, kas attiecināms uz attiecīgo atbalsta periodu, nevis izriet no Valsts kases pārskatiem par izmaksām), Labklājības ministrijas informāciju.</t>
  </si>
  <si>
    <t>Obligātā iepirkuma komponentes samazinājums 2022.gadā (līdz 7,55 eiro/MWh)*</t>
  </si>
  <si>
    <t>Valsts budžeta mērķdotācija pašvaldībām mājokļa pabalsta nodrošināšanai - 50 procentu apmērā no faktiskajiem izdevumiem mājokļa pabalstam, kas radušies laikposmā no 2022.gada 1.janvāra līdz 2022.gada 31.decembrim**</t>
  </si>
  <si>
    <t>** Finansējums šim mērķim 2022.gadam kopumā ir 20,6 milj. eiro, t.sk. 6,5 milj. eiro paredzēts kā Covid-19 atbalsta pasākums.</t>
  </si>
  <si>
    <t>*** Grozījumi likumā "Par valsts pensijām" (pieņemti Saeimā 14.07.2022).</t>
  </si>
  <si>
    <t>Apstiprinātais atbalsts Covid-19 seku mazināšanai, milj. eiro</t>
  </si>
  <si>
    <t>Apstiprinātais atbalsts Ukrainas civiliedzīvotājiem, milj. eiro</t>
  </si>
  <si>
    <t>Prognoze uz DBP 11.10.2022</t>
  </si>
  <si>
    <t>Novērt.</t>
  </si>
  <si>
    <t>Prognoze uz Budget 15.12.2022</t>
  </si>
  <si>
    <t>Ministru kabineta rīkojums Nr. 819
Rīgā 2022. gada 15. novembrī (prot. Nr. 57 35. §)
Par finanšu līdzekļu piešķiršanu no valsts budžeta programmas "Līdzekļi neparedzētiem gadījumiem"</t>
  </si>
  <si>
    <t>Lai veiktu norēķinus par datu paneļa izstrādi (aizstāts ar SAIRIS sistēmas pilnveidošanu) no 2022. gada augusta līdz 2022. gada septembrim</t>
  </si>
  <si>
    <t>Ministru kabineta rīkojums Nr. 812
Rīgā 2022. gada 15. novembrī (prot. Nr. 57 22. §)
Par finanšu līdzekļu piešķiršanu no valsts budžeta programmas "Līdzekļi neparedzētiem gadījumiem"</t>
  </si>
  <si>
    <t>Lai 2022.gadā nodrošinātu faktiski apgūtā finansējuma apmaksu, kā arī veiktu norēķinus ar ārstniecības iestādēm par gultu izvēršanu un atbilstošu materiāltehnisko nodrošinājumu un slimnīcu infrastruktūras uzlabošanas darbiem 2022.gada septembrī kopā papildus ārstniecības iestādēm nepieciešami 306 087 euro.</t>
  </si>
  <si>
    <t>Ministru kabineta rīkojums Nr. 852
Rīgā 2022. gada 29. novembrī (prot. Nr. 61 18. §)
Par finanšu līdzekļu piešķiršanu no valsts budžeta programmas "Līdzekļi neparedzētiem gadījumiem"</t>
  </si>
  <si>
    <t>Piešķirt Veselības ministrijai (Nacionālajam veselības dienestam) finansējumu 40 320 euro apmērā, lai segtu izdevumus, kas radušies saistībā ar Covid-19 medikamenta Evusheld iegādi.</t>
  </si>
  <si>
    <t>Valsts budžeta mērķdotācija pašvaldībām mājokļa pabalsta nodrošināšanai - 50 procentu apmērā no faktiskajiem izdevumiem mājokļa pabalstam, kas radušies 2023.gadā</t>
  </si>
  <si>
    <t>Apstiprinātie energoatbalsta pasākumi, milj. eiro</t>
  </si>
  <si>
    <t>State budget grant to local governments for the provision of housing benefit - in the amount of 50 per cent of the actual expenses for housing benefit incurred in the period from 1 January 2022 to 31 December 2022***</t>
  </si>
  <si>
    <t>State budget grant to local governments for the provision of housing benefit - in the amount of 50 per cent of the actual expenses for housing benefit incurred in the year 2023</t>
  </si>
  <si>
    <t>Support for the energy efficient businesses</t>
  </si>
  <si>
    <t>Ātrāka vecuma pensiju indeksācija (no 2022.gada augusta)***</t>
  </si>
  <si>
    <t>11.05.2022 16.06.2022 14.07.2022 18.08.2022 21.09.2022 05.10.2022 06.12.2022</t>
  </si>
  <si>
    <t>Ministru kabineta rīkojums Nr. 325
Rīgā 2022. gada 11. maijā (Nr.429; Nr.535; Nr.555; Nr.643; Nr.685; Nr.879)</t>
  </si>
  <si>
    <t>Piešķirt Veselības ministrijai (Nacionālajam veselības dienestam) finansējumu</t>
  </si>
  <si>
    <t>Ministru kabineta rīkojums Nr. 915
Rīgā 2022. gada 13. decembrī
Par finanšu līdzekļu piešķiršanu no valsts budžeta programmas "Līdzekļi neparedzētiem gadījumiem"</t>
  </si>
  <si>
    <t>Ministru kabineta rīkojums Nr. 922
Rīgā 2022. gada 13. decembrī
Par finanšu līdzekļu piešķiršanu no valsts budžeta programmas "Līdzekļi neparedzētiem gadījumiem"</t>
  </si>
  <si>
    <t>Ministru kabineta rīkojums Nr. 955
Rīgā 2022. gada 13. decembrī
Par finanšu līdzekļu piešķiršanu no valsts budžeta programmas "Līdzekļi neparedzētiem gadījumiem"</t>
  </si>
  <si>
    <t>piešķirt Veselības ministrijai (Nacionālajam veselības dienestam) finansējumu 361 200 euro apmērā, lai segtu izdevumus, kas radušies saistībā ar medikamenta Paxlovid (Covid-19 ārstēšanai) iegādi.</t>
  </si>
  <si>
    <t>Veselības ministrijai (Nacionālajam veselības dienestam) finansējumu 107 049 euro apmērā samaksai ģimenes ārstu praksēm, kuras veic vakcināciju pret Covid-19, par tajās nodarbināto personu veselības veicināšanas un rehabilitācijas pasākumiem, kas īstenoti laikposmā no 2021. gada 1. oktobra līdz 2022. gada 31. augustam</t>
  </si>
  <si>
    <t>Ministru kabineta rīkojums Nr. 837
Rīgā 2022. gada 23. novembrī
Par finanšu līdzekļu piešķiršanu no valsts budžeta programmas "Līdzekļi neparedzētiem gadījumiem"</t>
  </si>
  <si>
    <t>* 2022.gada plāns atbilstoši 2022.gada 29.aprīļa MK rīkojumam Nr. 302 "Par Pasākumu plānu atbalsta sniegšanai Ukrainas civiliedzīvotājiem Latvijas Republikā", 1.pielikums.</t>
  </si>
  <si>
    <t>* Norādītais finansējums ir ietekme uz vispārējās valdības budžeta deficītu. Faktiskās izpildes dati var tikt precizēti, ņemot vērā no EM saņemto informāciju.</t>
  </si>
  <si>
    <t>** Impact on deficit. Execution data subject to change when data from Ministry of Economics will be received.</t>
  </si>
  <si>
    <t>Izpilde (28.02.2023)</t>
  </si>
  <si>
    <t>Starpības kompensācija par patērēto dabasgāzi par cenu virs 0,07875 eiro par 1 kWh no 2022.gada 1.decembra līdz 2023. gada 30.aprīlim - maksas samazinājums rēķinos</t>
  </si>
  <si>
    <t>Prognoze uz SP 2023-2026</t>
  </si>
  <si>
    <t>Faktiskā izpilde 2023.gadā (uz 28.02.2023), milj. eiro</t>
  </si>
  <si>
    <t>Operatīvā izpilde 
(28.02.2023)</t>
  </si>
  <si>
    <t xml:space="preserve"> Ja apkurei izmanto sašķidrināto naftas gāzi </t>
  </si>
  <si>
    <t xml:space="preserve"> Ja apkurei izmanto dīzeļdegvielu</t>
  </si>
  <si>
    <t>FM Tautsaimniecības analīzes departaments, 13.03.2023</t>
  </si>
  <si>
    <t>Datu avots: Faktiskā izpilde atbilstoši Valsts kases u.c. institūciju sniegtajai informācijai. Plāns atbilstoši FM novērtējumam, ņemot vērā MK lēmumus līdz 13.03.2023.</t>
  </si>
  <si>
    <t>Actual performance (28th February)</t>
  </si>
  <si>
    <t>Execution (28th Fabruary)</t>
  </si>
  <si>
    <t xml:space="preserve">Impact on Budget Balance </t>
  </si>
  <si>
    <t>Execution (28th February)</t>
  </si>
  <si>
    <t>Compensation of the difference for the consumed natural gas at a price above EUR 0.07875 per 1 kWh from 1 December 2022 to 30 April 2023 - reduction of the fee in invoices</t>
  </si>
  <si>
    <t xml:space="preserve"> If liquefied petroleum gas is used for heating</t>
  </si>
  <si>
    <t xml:space="preserve"> If diesel fuel is used for heating</t>
  </si>
  <si>
    <t>IKP (marts 2023)</t>
  </si>
  <si>
    <t>Iekšzemes kopprodukts (marts 2023)</t>
  </si>
  <si>
    <t>GDP (March 2023)</t>
  </si>
  <si>
    <t xml:space="preserve">IKP (marts 2023)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</si>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</sst>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0.000000"/>
    <numFmt numFmtId="167" formatCode="0.0%"/>
    <numFmt numFmtId="168" formatCode="0.0000"/>
    <numFmt numFmtId="169" formatCode="#,##0.0000000"/>
    <numFmt numFmtId="170" formatCode="0.000000"/>
    <numFmt numFmtId="171" formatCode="0.000"/>
    <numFmt numFmtId="172" formatCode="0.00000"/>
    <numFmt numFmtId="173" formatCode="#,##0.000"/>
  </numFmts>
  <fonts count="14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6"/>
      <color theme="1"/>
      <name val="Calibri"/>
      <family val="2"/>
      <charset val="186"/>
      <scheme val="minor"/>
    </font>
    <font>
      <i/>
      <sz val="11"/>
      <color theme="1"/>
      <name val="Calibri"/>
      <family val="2"/>
      <charset val="186"/>
      <scheme val="minor"/>
    </font>
    <font>
      <b/>
      <sz val="11"/>
      <color rgb="FF002060"/>
      <name val="Calibri"/>
      <family val="2"/>
      <charset val="186"/>
      <scheme val="minor"/>
    </font>
    <font>
      <sz val="11"/>
      <name val="Calibri"/>
      <family val="2"/>
      <charset val="186"/>
      <scheme val="minor"/>
    </font>
    <font>
      <sz val="11"/>
      <name val="Calibri"/>
      <family val="2"/>
      <scheme val="minor"/>
    </font>
    <font>
      <b/>
      <sz val="14"/>
      <color rgb="FFC00000"/>
      <name val="Calibri"/>
      <family val="2"/>
      <charset val="186"/>
      <scheme val="minor"/>
    </font>
    <font>
      <b/>
      <sz val="14"/>
      <color theme="1"/>
      <name val="Calibri"/>
      <family val="2"/>
      <charset val="186"/>
      <scheme val="minor"/>
    </font>
    <font>
      <b/>
      <sz val="12"/>
      <color theme="1"/>
      <name val="Calibri"/>
      <family val="2"/>
      <charset val="186"/>
      <scheme val="minor"/>
    </font>
    <font>
      <sz val="11"/>
      <color theme="1"/>
      <name val="Calibri"/>
      <family val="2"/>
      <charset val="186"/>
      <scheme val="minor"/>
    </font>
    <font>
      <b/>
      <sz val="14"/>
      <color rgb="FFFF0000"/>
      <name val="Calibri"/>
      <family val="2"/>
      <charset val="186"/>
      <scheme val="minor"/>
    </font>
    <font>
      <u/>
      <sz val="11"/>
      <color theme="10"/>
      <name val="Calibri"/>
      <family val="2"/>
      <scheme val="minor"/>
    </font>
    <font>
      <b/>
      <sz val="14"/>
      <color rgb="FF002060"/>
      <name val="Calibri"/>
      <family val="2"/>
      <charset val="186"/>
      <scheme val="minor"/>
    </font>
    <font>
      <sz val="14"/>
      <color rgb="FF002060"/>
      <name val="Calibri"/>
      <family val="2"/>
      <charset val="186"/>
      <scheme val="minor"/>
    </font>
    <font>
      <b/>
      <sz val="12"/>
      <color rgb="FF002060"/>
      <name val="Calibri"/>
      <family val="2"/>
      <charset val="186"/>
      <scheme val="minor"/>
    </font>
    <font>
      <b/>
      <sz val="11"/>
      <name val="Calibri"/>
      <family val="2"/>
      <charset val="186"/>
      <scheme val="minor"/>
    </font>
    <font>
      <b/>
      <sz val="14"/>
      <name val="Calibri"/>
      <family val="2"/>
      <charset val="186"/>
      <scheme val="minor"/>
    </font>
    <font>
      <sz val="14"/>
      <name val="Calibri"/>
      <family val="2"/>
      <charset val="186"/>
      <scheme val="minor"/>
    </font>
    <font>
      <sz val="11"/>
      <color rgb="FF002060"/>
      <name val="Calibri"/>
      <family val="2"/>
      <charset val="186"/>
      <scheme val="minor"/>
    </font>
    <font>
      <sz val="12"/>
      <name val="Calibri"/>
      <family val="2"/>
      <charset val="186"/>
      <scheme val="minor"/>
    </font>
    <font>
      <b/>
      <sz val="11"/>
      <name val="Calibri"/>
      <family val="2"/>
      <scheme val="minor"/>
    </font>
    <font>
      <sz val="10"/>
      <color rgb="FF414142"/>
      <name val="Arial"/>
      <family val="2"/>
      <charset val="186"/>
    </font>
    <font>
      <sz val="11"/>
      <color theme="4" tint="-0.249977111117893"/>
      <name val="Calibri"/>
      <family val="2"/>
      <charset val="186"/>
      <scheme val="minor"/>
    </font>
    <font>
      <b/>
      <sz val="12"/>
      <name val="Calibri"/>
      <family val="2"/>
      <charset val="186"/>
      <scheme val="minor"/>
    </font>
    <font>
      <i/>
      <sz val="11"/>
      <name val="Calibri"/>
      <family val="2"/>
      <scheme val="minor"/>
    </font>
    <font>
      <sz val="10.5"/>
      <name val="Calibri"/>
      <family val="2"/>
      <scheme val="minor"/>
    </font>
    <font>
      <sz val="11"/>
      <color theme="1"/>
      <name val="Calibri"/>
      <family val="2"/>
      <scheme val="minor"/>
    </font>
    <font>
      <sz val="14"/>
      <color theme="1"/>
      <name val="Calibri"/>
      <family val="2"/>
      <charset val="186"/>
      <scheme val="minor"/>
    </font>
    <font>
      <u/>
      <sz val="11"/>
      <color theme="4" tint="-0.249977111117893"/>
      <name val="Calibri"/>
      <family val="2"/>
      <scheme val="minor"/>
    </font>
    <font>
      <u/>
      <sz val="11"/>
      <color rgb="FF0070C0"/>
      <name val="Calibri"/>
      <family val="2"/>
      <scheme val="minor"/>
    </font>
    <font>
      <sz val="11"/>
      <color rgb="FFFF0000"/>
      <name val="Calibri"/>
      <family val="2"/>
      <charset val="186"/>
      <scheme val="minor"/>
    </font>
    <font>
      <u/>
      <sz val="11"/>
      <color rgb="FFFF0000"/>
      <name val="Calibri"/>
      <family val="2"/>
      <charset val="186"/>
      <scheme val="minor"/>
    </font>
    <font>
      <b/>
      <sz val="11"/>
      <color rgb="FFFF0000"/>
      <name val="Calibri"/>
      <family val="2"/>
      <charset val="186"/>
      <scheme val="minor"/>
    </font>
    <font>
      <i/>
      <sz val="14"/>
      <color rgb="FFFF0000"/>
      <name val="Calibri"/>
      <family val="2"/>
      <charset val="186"/>
      <scheme val="minor"/>
    </font>
    <font>
      <u/>
      <sz val="11"/>
      <color rgb="FFFF0000"/>
      <name val="Calibri"/>
      <family val="2"/>
      <scheme val="minor"/>
    </font>
    <font>
      <sz val="9"/>
      <color indexed="81"/>
      <name val="Tahoma"/>
      <family val="2"/>
      <charset val="186"/>
    </font>
    <font>
      <b/>
      <sz val="9"/>
      <color indexed="81"/>
      <name val="Tahoma"/>
      <family val="2"/>
      <charset val="186"/>
    </font>
    <font>
      <sz val="11"/>
      <color indexed="8"/>
      <name val="Calibri"/>
      <family val="2"/>
      <charset val="186"/>
    </font>
    <font>
      <sz val="8"/>
      <name val="Calibri"/>
      <family val="2"/>
      <scheme val="minor"/>
    </font>
    <font>
      <b/>
      <sz val="11"/>
      <color theme="2" tint="-0.89999084444715716"/>
      <name val="Calibri"/>
      <family val="2"/>
      <charset val="186"/>
      <scheme val="minor"/>
    </font>
    <font>
      <b/>
      <sz val="11"/>
      <color theme="1"/>
      <name val="Calibri"/>
      <family val="2"/>
      <scheme val="minor"/>
    </font>
    <font>
      <b/>
      <sz val="11"/>
      <color theme="1" tint="4.9989318521683403E-2"/>
      <name val="Calibri"/>
      <family val="2"/>
      <charset val="186"/>
      <scheme val="minor"/>
    </font>
    <font>
      <sz val="11"/>
      <color rgb="FFFF0000"/>
      <name val="Calibri"/>
      <family val="2"/>
      <scheme val="minor"/>
    </font>
    <font>
      <u/>
      <sz val="11"/>
      <color theme="1"/>
      <name val="Calibri"/>
      <family val="2"/>
      <scheme val="minor"/>
    </font>
    <font>
      <sz val="10"/>
      <name val="Calibri"/>
      <family val="2"/>
      <charset val="186"/>
      <scheme val="minor"/>
    </font>
    <font>
      <b/>
      <sz val="11"/>
      <color theme="9" tint="-0.249977111117893"/>
      <name val="Calibri"/>
      <family val="2"/>
      <charset val="186"/>
      <scheme val="minor"/>
    </font>
    <font>
      <b/>
      <sz val="12"/>
      <name val="Calibri"/>
      <family val="2"/>
      <scheme val="minor"/>
    </font>
    <font>
      <b/>
      <sz val="14"/>
      <name val="Calibri"/>
      <family val="2"/>
      <scheme val="minor"/>
    </font>
    <font>
      <b/>
      <sz val="16"/>
      <name val="Calibri"/>
      <family val="2"/>
      <charset val="186"/>
      <scheme val="minor"/>
    </font>
    <font>
      <b/>
      <sz val="16"/>
      <color rgb="FFC00000"/>
      <name val="Calibri"/>
      <family val="2"/>
      <charset val="186"/>
      <scheme val="minor"/>
    </font>
    <font>
      <b/>
      <sz val="16"/>
      <color rgb="FF7030A0"/>
      <name val="Calibri"/>
      <family val="2"/>
      <charset val="186"/>
      <scheme val="minor"/>
    </font>
    <font>
      <sz val="16"/>
      <color rgb="FF002060"/>
      <name val="Calibri"/>
      <family val="2"/>
      <charset val="186"/>
      <scheme val="minor"/>
    </font>
    <font>
      <b/>
      <sz val="12"/>
      <color theme="1"/>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b/>
      <sz val="14"/>
      <color theme="1"/>
      <name val="Times New Roman"/>
      <family val="1"/>
      <charset val="186"/>
    </font>
    <font>
      <b/>
      <vertAlign val="superscript"/>
      <sz val="14"/>
      <color theme="1"/>
      <name val="Times New Roman"/>
      <family val="1"/>
      <charset val="186"/>
    </font>
    <font>
      <vertAlign val="superscript"/>
      <sz val="10"/>
      <color theme="1"/>
      <name val="Times New Roman"/>
      <family val="1"/>
      <charset val="186"/>
    </font>
    <font>
      <sz val="10"/>
      <color theme="1"/>
      <name val="Times New Roman"/>
      <family val="1"/>
      <charset val="186"/>
    </font>
    <font>
      <sz val="11"/>
      <color rgb="FFC00000"/>
      <name val="Calibri"/>
      <family val="2"/>
      <charset val="186"/>
      <scheme val="minor"/>
    </font>
    <font>
      <sz val="11"/>
      <color theme="1" tint="4.9989318521683403E-2"/>
      <name val="Calibri"/>
      <family val="2"/>
      <charset val="186"/>
      <scheme val="minor"/>
    </font>
    <font>
      <sz val="8"/>
      <name val="Calibri"/>
      <family val="2"/>
      <charset val="186"/>
      <scheme val="minor"/>
    </font>
    <font>
      <sz val="14"/>
      <color theme="1"/>
      <name val="Calibri"/>
      <family val="2"/>
      <scheme val="minor"/>
    </font>
    <font>
      <sz val="11"/>
      <color theme="0" tint="-0.249977111117893"/>
      <name val="Calibri"/>
      <family val="2"/>
      <scheme val="minor"/>
    </font>
    <font>
      <sz val="12"/>
      <color theme="1"/>
      <name val="Calibri"/>
      <family val="2"/>
      <charset val="186"/>
      <scheme val="minor"/>
    </font>
    <font>
      <sz val="11"/>
      <color theme="0" tint="-0.34998626667073579"/>
      <name val="Calibri"/>
      <family val="2"/>
      <scheme val="minor"/>
    </font>
    <font>
      <sz val="11"/>
      <name val="Times New Roman"/>
      <family val="1"/>
      <charset val="186"/>
    </font>
    <font>
      <sz val="11"/>
      <color theme="1"/>
      <name val="Times New Roman"/>
      <family val="1"/>
      <charset val="186"/>
    </font>
    <font>
      <vertAlign val="superscript"/>
      <sz val="12"/>
      <color theme="1"/>
      <name val="Times New Roman"/>
      <family val="1"/>
      <charset val="186"/>
    </font>
    <font>
      <b/>
      <i/>
      <sz val="12"/>
      <color theme="1"/>
      <name val="Times New Roman"/>
      <family val="1"/>
      <charset val="186"/>
    </font>
    <font>
      <b/>
      <sz val="20"/>
      <color theme="1"/>
      <name val="Times New Roman"/>
      <family val="1"/>
      <charset val="186"/>
    </font>
    <font>
      <b/>
      <sz val="22"/>
      <color theme="1"/>
      <name val="Times New Roman"/>
      <family val="1"/>
      <charset val="186"/>
    </font>
    <font>
      <b/>
      <sz val="16"/>
      <color theme="1"/>
      <name val="Times New Roman"/>
      <family val="1"/>
      <charset val="186"/>
    </font>
    <font>
      <sz val="16"/>
      <color theme="1"/>
      <name val="Times New Roman"/>
      <family val="1"/>
      <charset val="186"/>
    </font>
    <font>
      <sz val="16"/>
      <name val="Times New Roman"/>
      <family val="1"/>
      <charset val="186"/>
    </font>
    <font>
      <sz val="16"/>
      <color rgb="FF000000"/>
      <name val="Times New Roman"/>
      <family val="1"/>
      <charset val="186"/>
    </font>
    <font>
      <i/>
      <sz val="16"/>
      <color theme="1"/>
      <name val="Times New Roman"/>
      <family val="1"/>
      <charset val="186"/>
    </font>
    <font>
      <b/>
      <sz val="16"/>
      <color rgb="FF000000"/>
      <name val="Times New Roman"/>
      <family val="1"/>
      <charset val="186"/>
    </font>
    <font>
      <i/>
      <sz val="18"/>
      <color theme="1"/>
      <name val="Calibri"/>
      <family val="2"/>
      <charset val="186"/>
      <scheme val="minor"/>
    </font>
    <font>
      <strike/>
      <sz val="16"/>
      <color theme="1"/>
      <name val="Times New Roman"/>
      <family val="1"/>
      <charset val="186"/>
    </font>
    <font>
      <u/>
      <sz val="16"/>
      <color theme="1"/>
      <name val="Times New Roman"/>
      <family val="1"/>
      <charset val="186"/>
    </font>
    <font>
      <i/>
      <sz val="16"/>
      <name val="Times New Roman"/>
      <family val="1"/>
      <charset val="186"/>
    </font>
    <font>
      <sz val="11"/>
      <color theme="2" tint="-9.9978637043366805E-2"/>
      <name val="Times New Roman"/>
      <family val="1"/>
      <charset val="186"/>
    </font>
    <font>
      <sz val="12"/>
      <color theme="2" tint="-9.9978637043366805E-2"/>
      <name val="Times New Roman"/>
      <family val="1"/>
      <charset val="186"/>
    </font>
    <font>
      <b/>
      <sz val="9"/>
      <color theme="1"/>
      <name val="Calibri"/>
      <family val="2"/>
      <charset val="186"/>
      <scheme val="minor"/>
    </font>
    <font>
      <b/>
      <sz val="11"/>
      <color theme="1"/>
      <name val="Times New Roman"/>
      <family val="1"/>
      <charset val="186"/>
    </font>
    <font>
      <sz val="11"/>
      <color theme="1" tint="0.499984740745262"/>
      <name val="Times New Roman"/>
      <family val="1"/>
      <charset val="186"/>
    </font>
    <font>
      <sz val="11"/>
      <color rgb="FFFF0000"/>
      <name val="Times New Roman"/>
      <family val="1"/>
      <charset val="186"/>
    </font>
    <font>
      <sz val="11"/>
      <color theme="0" tint="-0.14999847407452621"/>
      <name val="Times New Roman"/>
      <family val="1"/>
      <charset val="186"/>
    </font>
    <font>
      <i/>
      <sz val="8"/>
      <color theme="1"/>
      <name val="Times New Roman"/>
      <family val="1"/>
      <charset val="186"/>
    </font>
    <font>
      <b/>
      <sz val="11"/>
      <color theme="1" tint="0.499984740745262"/>
      <name val="Times New Roman"/>
      <family val="1"/>
      <charset val="186"/>
    </font>
    <font>
      <i/>
      <sz val="11"/>
      <color theme="1" tint="0.499984740745262"/>
      <name val="Times New Roman"/>
      <family val="1"/>
      <charset val="186"/>
    </font>
    <font>
      <sz val="11"/>
      <color theme="0" tint="-0.34998626667073579"/>
      <name val="Times New Roman"/>
      <family val="1"/>
      <charset val="186"/>
    </font>
    <font>
      <b/>
      <i/>
      <sz val="12"/>
      <color theme="1"/>
      <name val="Calibri"/>
      <family val="2"/>
      <charset val="186"/>
      <scheme val="minor"/>
    </font>
    <font>
      <sz val="11"/>
      <color theme="0" tint="-0.14999847407452621"/>
      <name val="Calibri"/>
      <family val="2"/>
      <scheme val="minor"/>
    </font>
    <font>
      <sz val="10"/>
      <color theme="1"/>
      <name val="Calibri"/>
      <family val="2"/>
      <scheme val="minor"/>
    </font>
    <font>
      <sz val="8"/>
      <color theme="1"/>
      <name val="Times New Roman"/>
      <family val="1"/>
      <charset val="186"/>
    </font>
    <font>
      <b/>
      <sz val="18"/>
      <color theme="1"/>
      <name val="Calibri"/>
      <family val="2"/>
      <charset val="186"/>
      <scheme val="minor"/>
    </font>
    <font>
      <b/>
      <i/>
      <sz val="14"/>
      <color rgb="FFFF0000"/>
      <name val="Calibri"/>
      <family val="2"/>
      <charset val="186"/>
      <scheme val="minor"/>
    </font>
    <font>
      <i/>
      <sz val="11"/>
      <name val="Calibri"/>
      <family val="2"/>
      <charset val="186"/>
      <scheme val="minor"/>
    </font>
    <font>
      <i/>
      <sz val="11"/>
      <color rgb="FFFF0000"/>
      <name val="Calibri"/>
      <family val="2"/>
      <charset val="186"/>
      <scheme val="minor"/>
    </font>
    <font>
      <i/>
      <sz val="11"/>
      <color theme="0" tint="-0.14999847407452621"/>
      <name val="Calibri"/>
      <family val="2"/>
      <charset val="186"/>
      <scheme val="minor"/>
    </font>
    <font>
      <i/>
      <sz val="11"/>
      <color theme="0" tint="-0.249977111117893"/>
      <name val="Calibri"/>
      <family val="2"/>
      <charset val="186"/>
      <scheme val="minor"/>
    </font>
    <font>
      <i/>
      <sz val="11"/>
      <color theme="2"/>
      <name val="Calibri"/>
      <family val="2"/>
      <charset val="186"/>
      <scheme val="minor"/>
    </font>
    <font>
      <b/>
      <sz val="11"/>
      <color rgb="FF00B050"/>
      <name val="Calibri"/>
      <family val="2"/>
      <charset val="186"/>
      <scheme val="minor"/>
    </font>
    <font>
      <b/>
      <sz val="16"/>
      <name val="Times New Roman"/>
      <family val="1"/>
      <charset val="186"/>
    </font>
    <font>
      <sz val="16"/>
      <name val="Calibri"/>
      <family val="2"/>
      <charset val="186"/>
      <scheme val="minor"/>
    </font>
  </fonts>
  <fills count="2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00B05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7"/>
        <bgColor indexed="64"/>
      </patternFill>
    </fill>
    <fill>
      <patternFill patternType="solid">
        <fgColor theme="1" tint="0.499984740745262"/>
        <bgColor indexed="64"/>
      </patternFill>
    </fill>
    <fill>
      <patternFill patternType="solid">
        <fgColor rgb="FF92D050"/>
        <bgColor indexed="64"/>
      </patternFill>
    </fill>
    <fill>
      <patternFill patternType="solid">
        <fgColor theme="4" tint="0.59999389629810485"/>
        <bgColor indexed="64"/>
      </patternFill>
    </fill>
    <fill>
      <patternFill patternType="solid">
        <fgColor rgb="FF00B0F0"/>
        <bgColor indexed="64"/>
      </patternFill>
    </fill>
    <fill>
      <patternFill patternType="solid">
        <fgColor indexed="65"/>
        <bgColor theme="0"/>
      </patternFill>
    </fill>
    <fill>
      <patternFill patternType="solid">
        <fgColor rgb="FFFFC000"/>
        <bgColor theme="0"/>
      </patternFill>
    </fill>
    <fill>
      <patternFill patternType="solid">
        <fgColor theme="4" tint="0.59999389629810485"/>
        <bgColor theme="0"/>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6">
    <xf numFmtId="0" fontId="0" fillId="0" borderId="0"/>
    <xf numFmtId="0" fontId="42" fillId="0" borderId="0"/>
    <xf numFmtId="0" fontId="44" fillId="0" borderId="0" applyNumberFormat="0" applyFill="0" applyBorder="0" applyAlignment="0" applyProtection="0"/>
    <xf numFmtId="0" fontId="29" fillId="0" borderId="0"/>
    <xf numFmtId="9" fontId="59" fillId="0" borderId="0" applyFont="0" applyFill="0" applyBorder="0" applyAlignment="0" applyProtection="0"/>
    <xf numFmtId="0" fontId="70" fillId="0" borderId="0"/>
  </cellStyleXfs>
  <cellXfs count="1566">
    <xf numFmtId="0" fontId="0" fillId="0" borderId="0" xfId="0"/>
    <xf numFmtId="0" fontId="38" fillId="0" borderId="0" xfId="0" applyFont="1" applyAlignment="1">
      <alignment vertical="top"/>
    </xf>
    <xf numFmtId="0" fontId="0" fillId="0" borderId="0" xfId="0" applyAlignment="1">
      <alignment horizontal="center"/>
    </xf>
    <xf numFmtId="0" fontId="51" fillId="0" borderId="0" xfId="0" applyFont="1"/>
    <xf numFmtId="0" fontId="37" fillId="0" borderId="0" xfId="0" applyFont="1"/>
    <xf numFmtId="0" fontId="49" fillId="2" borderId="6" xfId="0" applyFont="1" applyFill="1" applyBorder="1" applyAlignment="1">
      <alignment vertical="top"/>
    </xf>
    <xf numFmtId="0" fontId="47" fillId="2" borderId="7" xfId="0" applyFont="1" applyFill="1" applyBorder="1" applyAlignment="1">
      <alignment vertical="top"/>
    </xf>
    <xf numFmtId="0" fontId="36" fillId="2" borderId="7" xfId="0" applyFont="1" applyFill="1" applyBorder="1" applyAlignment="1">
      <alignment vertical="top"/>
    </xf>
    <xf numFmtId="0" fontId="36" fillId="2" borderId="7" xfId="0" applyFont="1" applyFill="1" applyBorder="1" applyAlignment="1">
      <alignment vertical="top" wrapText="1"/>
    </xf>
    <xf numFmtId="164" fontId="45" fillId="2" borderId="1" xfId="0" applyNumberFormat="1" applyFont="1" applyFill="1" applyBorder="1" applyAlignment="1">
      <alignment horizontal="center" vertical="center" wrapText="1"/>
    </xf>
    <xf numFmtId="0" fontId="49" fillId="2" borderId="6" xfId="0" applyFont="1" applyFill="1" applyBorder="1" applyAlignment="1">
      <alignment vertical="center"/>
    </xf>
    <xf numFmtId="0" fontId="33" fillId="2" borderId="1" xfId="0" applyFont="1" applyFill="1" applyBorder="1" applyAlignment="1">
      <alignment vertical="center" wrapText="1"/>
    </xf>
    <xf numFmtId="0" fontId="47" fillId="2" borderId="7" xfId="0" applyFont="1" applyFill="1" applyBorder="1" applyAlignment="1">
      <alignment vertical="center" wrapText="1"/>
    </xf>
    <xf numFmtId="0" fontId="47" fillId="2" borderId="7" xfId="0" applyFont="1" applyFill="1" applyBorder="1" applyAlignment="1">
      <alignment vertical="center"/>
    </xf>
    <xf numFmtId="0" fontId="38" fillId="2" borderId="3" xfId="0" applyFont="1" applyFill="1" applyBorder="1" applyAlignment="1">
      <alignment vertical="center" wrapText="1"/>
    </xf>
    <xf numFmtId="0" fontId="36" fillId="2" borderId="3" xfId="0" applyFont="1" applyFill="1" applyBorder="1" applyAlignment="1">
      <alignment vertical="center" wrapText="1"/>
    </xf>
    <xf numFmtId="0" fontId="44" fillId="2" borderId="2" xfId="2" applyFill="1" applyBorder="1" applyAlignment="1">
      <alignment vertical="center" wrapText="1"/>
    </xf>
    <xf numFmtId="0" fontId="37" fillId="2" borderId="10" xfId="0" applyFont="1" applyFill="1" applyBorder="1" applyAlignment="1">
      <alignment vertical="center" wrapText="1"/>
    </xf>
    <xf numFmtId="0" fontId="36" fillId="2" borderId="10" xfId="0" applyFont="1" applyFill="1" applyBorder="1" applyAlignment="1">
      <alignment horizontal="center" vertical="center" wrapText="1"/>
    </xf>
    <xf numFmtId="0" fontId="0" fillId="2" borderId="10" xfId="0" applyFill="1" applyBorder="1" applyAlignment="1">
      <alignment horizontal="center" vertical="center" wrapText="1"/>
    </xf>
    <xf numFmtId="165" fontId="37" fillId="0" borderId="1" xfId="0" applyNumberFormat="1" applyFont="1" applyBorder="1" applyAlignment="1">
      <alignment horizontal="center" vertical="center" wrapText="1"/>
    </xf>
    <xf numFmtId="165" fontId="45" fillId="2" borderId="1" xfId="0" applyNumberFormat="1" applyFont="1" applyFill="1" applyBorder="1" applyAlignment="1">
      <alignment horizontal="center" vertical="center" wrapText="1"/>
    </xf>
    <xf numFmtId="0" fontId="54" fillId="0" borderId="0" xfId="0" applyFont="1" applyAlignment="1">
      <alignment vertical="center" wrapText="1"/>
    </xf>
    <xf numFmtId="165" fontId="0" fillId="0" borderId="0" xfId="0" applyNumberFormat="1" applyAlignment="1">
      <alignment horizontal="center"/>
    </xf>
    <xf numFmtId="166" fontId="0" fillId="0" borderId="0" xfId="0" applyNumberFormat="1" applyAlignment="1">
      <alignment horizontal="center"/>
    </xf>
    <xf numFmtId="167" fontId="47" fillId="2" borderId="1" xfId="4" applyNumberFormat="1" applyFont="1" applyFill="1" applyBorder="1" applyAlignment="1">
      <alignment horizontal="center" vertical="center"/>
    </xf>
    <xf numFmtId="167" fontId="45" fillId="2" borderId="1" xfId="4" applyNumberFormat="1" applyFont="1" applyFill="1" applyBorder="1" applyAlignment="1">
      <alignment horizontal="center" vertical="center" wrapText="1"/>
    </xf>
    <xf numFmtId="167" fontId="49" fillId="0" borderId="1" xfId="4" applyNumberFormat="1" applyFont="1" applyFill="1" applyBorder="1" applyAlignment="1">
      <alignment horizontal="center" vertical="center" wrapText="1"/>
    </xf>
    <xf numFmtId="4" fontId="37" fillId="0" borderId="1" xfId="0" applyNumberFormat="1" applyFont="1" applyBorder="1" applyAlignment="1">
      <alignment horizontal="right" vertical="center"/>
    </xf>
    <xf numFmtId="165" fontId="37" fillId="0" borderId="1" xfId="0" applyNumberFormat="1" applyFont="1" applyBorder="1" applyAlignment="1">
      <alignment horizontal="right" vertical="center"/>
    </xf>
    <xf numFmtId="14" fontId="35" fillId="5" borderId="0" xfId="0" applyNumberFormat="1" applyFont="1" applyFill="1"/>
    <xf numFmtId="0" fontId="0" fillId="5" borderId="0" xfId="0" applyFill="1"/>
    <xf numFmtId="0" fontId="56" fillId="0" borderId="27" xfId="0" applyFont="1" applyBorder="1" applyAlignment="1">
      <alignment horizontal="center" vertical="center" wrapText="1"/>
    </xf>
    <xf numFmtId="167" fontId="45" fillId="2" borderId="5" xfId="4" applyNumberFormat="1" applyFont="1" applyFill="1" applyBorder="1" applyAlignment="1">
      <alignment horizontal="center" vertical="center" wrapText="1"/>
    </xf>
    <xf numFmtId="164" fontId="45" fillId="2" borderId="5" xfId="0" applyNumberFormat="1" applyFont="1" applyFill="1" applyBorder="1" applyAlignment="1">
      <alignment horizontal="center" vertical="center" wrapText="1"/>
    </xf>
    <xf numFmtId="167" fontId="47" fillId="2" borderId="5" xfId="4" applyNumberFormat="1" applyFont="1" applyFill="1" applyBorder="1" applyAlignment="1">
      <alignment horizontal="center" vertical="center"/>
    </xf>
    <xf numFmtId="0" fontId="36" fillId="2" borderId="8" xfId="0" applyFont="1" applyFill="1" applyBorder="1" applyAlignment="1">
      <alignment vertical="center" wrapText="1"/>
    </xf>
    <xf numFmtId="0" fontId="46" fillId="5" borderId="30" xfId="0" applyFont="1" applyFill="1" applyBorder="1" applyAlignment="1">
      <alignment horizontal="left" vertical="top"/>
    </xf>
    <xf numFmtId="0" fontId="45" fillId="5" borderId="31" xfId="0" applyFont="1" applyFill="1" applyBorder="1" applyAlignment="1">
      <alignment horizontal="left" vertical="top" wrapText="1"/>
    </xf>
    <xf numFmtId="0" fontId="46" fillId="5" borderId="31" xfId="0" applyFont="1" applyFill="1" applyBorder="1" applyAlignment="1">
      <alignment horizontal="left" vertical="top" wrapText="1"/>
    </xf>
    <xf numFmtId="0" fontId="46" fillId="5" borderId="31" xfId="0" applyFont="1" applyFill="1" applyBorder="1" applyAlignment="1">
      <alignment vertical="top" wrapText="1"/>
    </xf>
    <xf numFmtId="167" fontId="46" fillId="5" borderId="31" xfId="4" applyNumberFormat="1" applyFont="1" applyFill="1" applyBorder="1" applyAlignment="1">
      <alignment horizontal="center" vertical="top" wrapText="1"/>
    </xf>
    <xf numFmtId="165" fontId="46" fillId="5" borderId="31" xfId="4" applyNumberFormat="1" applyFont="1" applyFill="1" applyBorder="1" applyAlignment="1">
      <alignment horizontal="center" vertical="top" wrapText="1"/>
    </xf>
    <xf numFmtId="3" fontId="46" fillId="5" borderId="26" xfId="0" applyNumberFormat="1" applyFont="1" applyFill="1" applyBorder="1" applyAlignment="1">
      <alignment horizontal="center" vertical="top" wrapText="1"/>
    </xf>
    <xf numFmtId="3" fontId="46" fillId="5" borderId="32" xfId="0" applyNumberFormat="1" applyFont="1" applyFill="1" applyBorder="1" applyAlignment="1">
      <alignment horizontal="center" vertical="top" wrapText="1"/>
    </xf>
    <xf numFmtId="164" fontId="50" fillId="5" borderId="26" xfId="0" applyNumberFormat="1" applyFont="1" applyFill="1" applyBorder="1" applyAlignment="1">
      <alignment horizontal="center" vertical="top" wrapText="1"/>
    </xf>
    <xf numFmtId="0" fontId="56" fillId="2" borderId="27"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44" fillId="5" borderId="1" xfId="2" applyFill="1" applyBorder="1" applyAlignment="1">
      <alignment vertical="center" wrapText="1"/>
    </xf>
    <xf numFmtId="0" fontId="37" fillId="5" borderId="1" xfId="0" applyFont="1" applyFill="1" applyBorder="1" applyAlignment="1">
      <alignment vertical="center" wrapText="1"/>
    </xf>
    <xf numFmtId="14" fontId="27" fillId="5" borderId="1" xfId="0" applyNumberFormat="1" applyFont="1" applyFill="1" applyBorder="1" applyAlignment="1">
      <alignment horizontal="left" vertical="center" wrapText="1"/>
    </xf>
    <xf numFmtId="0" fontId="38" fillId="5" borderId="1" xfId="0" applyFont="1" applyFill="1" applyBorder="1" applyAlignment="1">
      <alignment vertical="center" wrapText="1"/>
    </xf>
    <xf numFmtId="167" fontId="49" fillId="5" borderId="1" xfId="4" applyNumberFormat="1" applyFont="1" applyFill="1" applyBorder="1" applyAlignment="1">
      <alignment horizontal="center" vertical="center" wrapText="1"/>
    </xf>
    <xf numFmtId="164" fontId="0" fillId="5" borderId="1" xfId="0" applyNumberFormat="1" applyFill="1" applyBorder="1" applyAlignment="1">
      <alignment horizontal="center" vertical="center"/>
    </xf>
    <xf numFmtId="0" fontId="0" fillId="5" borderId="10" xfId="0" applyFill="1" applyBorder="1" applyAlignment="1">
      <alignment horizontal="center" vertical="center" wrapText="1"/>
    </xf>
    <xf numFmtId="0" fontId="0" fillId="5" borderId="10" xfId="0" applyFill="1" applyBorder="1" applyAlignment="1">
      <alignment horizontal="center" vertical="center"/>
    </xf>
    <xf numFmtId="2" fontId="0" fillId="5" borderId="1" xfId="0" applyNumberFormat="1" applyFill="1" applyBorder="1" applyAlignment="1">
      <alignment vertical="center"/>
    </xf>
    <xf numFmtId="2" fontId="38" fillId="5" borderId="1" xfId="0" applyNumberFormat="1" applyFont="1" applyFill="1" applyBorder="1" applyAlignment="1">
      <alignment vertical="center"/>
    </xf>
    <xf numFmtId="164" fontId="38" fillId="5" borderId="1" xfId="0" applyNumberFormat="1" applyFont="1" applyFill="1" applyBorder="1" applyAlignment="1">
      <alignment vertical="center"/>
    </xf>
    <xf numFmtId="164" fontId="0" fillId="5" borderId="1" xfId="0" applyNumberFormat="1" applyFill="1" applyBorder="1" applyAlignment="1">
      <alignment vertical="center"/>
    </xf>
    <xf numFmtId="164" fontId="37" fillId="5" borderId="1" xfId="0" applyNumberFormat="1" applyFont="1" applyFill="1" applyBorder="1" applyAlignment="1">
      <alignment vertical="center"/>
    </xf>
    <xf numFmtId="0" fontId="53" fillId="2" borderId="8" xfId="0" applyFont="1" applyFill="1" applyBorder="1" applyAlignment="1">
      <alignment vertical="top" wrapText="1"/>
    </xf>
    <xf numFmtId="14" fontId="38" fillId="5" borderId="1" xfId="0" applyNumberFormat="1" applyFont="1" applyFill="1" applyBorder="1" applyAlignment="1">
      <alignment horizontal="right" vertical="center" wrapText="1"/>
    </xf>
    <xf numFmtId="14" fontId="37" fillId="5" borderId="1" xfId="0" applyNumberFormat="1" applyFont="1" applyFill="1" applyBorder="1" applyAlignment="1">
      <alignment horizontal="right" vertical="center" wrapText="1"/>
    </xf>
    <xf numFmtId="14" fontId="38" fillId="5" borderId="1" xfId="0" applyNumberFormat="1" applyFont="1" applyFill="1" applyBorder="1" applyAlignment="1">
      <alignment vertical="center" wrapText="1"/>
    </xf>
    <xf numFmtId="0" fontId="44" fillId="5" borderId="0" xfId="2" applyFill="1" applyAlignment="1">
      <alignment vertical="center" wrapText="1"/>
    </xf>
    <xf numFmtId="0" fontId="62" fillId="5" borderId="1" xfId="2" applyFont="1" applyFill="1" applyBorder="1" applyAlignment="1">
      <alignment vertical="center" wrapText="1"/>
    </xf>
    <xf numFmtId="0" fontId="38" fillId="5" borderId="1" xfId="0" applyFont="1" applyFill="1" applyBorder="1" applyAlignment="1">
      <alignment horizontal="center" vertical="center"/>
    </xf>
    <xf numFmtId="0" fontId="53" fillId="5" borderId="1" xfId="0" applyFont="1" applyFill="1" applyBorder="1" applyAlignment="1">
      <alignment horizontal="left" vertical="center" wrapText="1"/>
    </xf>
    <xf numFmtId="164" fontId="38" fillId="5" borderId="1" xfId="0" applyNumberFormat="1" applyFont="1" applyFill="1" applyBorder="1" applyAlignment="1">
      <alignment horizontal="center" vertical="center"/>
    </xf>
    <xf numFmtId="0" fontId="38" fillId="5" borderId="10" xfId="0" applyFont="1" applyFill="1" applyBorder="1" applyAlignment="1">
      <alignment horizontal="center" vertical="center" wrapText="1"/>
    </xf>
    <xf numFmtId="0" fontId="37" fillId="5" borderId="1" xfId="0" applyFont="1" applyFill="1" applyBorder="1" applyAlignment="1">
      <alignment horizontal="center" vertical="center"/>
    </xf>
    <xf numFmtId="0" fontId="37" fillId="5" borderId="10" xfId="0" applyFont="1" applyFill="1" applyBorder="1" applyAlignment="1">
      <alignment horizontal="center" vertical="center" wrapText="1"/>
    </xf>
    <xf numFmtId="164" fontId="38" fillId="5" borderId="1" xfId="0" applyNumberFormat="1" applyFont="1" applyFill="1" applyBorder="1" applyAlignment="1">
      <alignment horizontal="center" vertical="center" wrapText="1"/>
    </xf>
    <xf numFmtId="2" fontId="38" fillId="5" borderId="1" xfId="0" applyNumberFormat="1" applyFont="1" applyFill="1" applyBorder="1" applyAlignment="1">
      <alignment horizontal="right" vertical="center"/>
    </xf>
    <xf numFmtId="2" fontId="37" fillId="5" borderId="1" xfId="0" applyNumberFormat="1" applyFont="1" applyFill="1" applyBorder="1" applyAlignment="1">
      <alignment horizontal="right" vertical="center"/>
    </xf>
    <xf numFmtId="164" fontId="38" fillId="5" borderId="1" xfId="0" applyNumberFormat="1" applyFont="1" applyFill="1" applyBorder="1" applyAlignment="1">
      <alignment horizontal="right" vertical="center"/>
    </xf>
    <xf numFmtId="165" fontId="37" fillId="5" borderId="1" xfId="0" applyNumberFormat="1" applyFont="1" applyFill="1" applyBorder="1" applyAlignment="1">
      <alignment horizontal="right" vertical="center"/>
    </xf>
    <xf numFmtId="0" fontId="33" fillId="5" borderId="1" xfId="0" applyFont="1" applyFill="1" applyBorder="1" applyAlignment="1">
      <alignment vertical="center" wrapText="1"/>
    </xf>
    <xf numFmtId="14" fontId="25" fillId="5" borderId="1" xfId="0" applyNumberFormat="1" applyFont="1" applyFill="1" applyBorder="1" applyAlignment="1">
      <alignment horizontal="right" vertical="center" wrapText="1"/>
    </xf>
    <xf numFmtId="164" fontId="37" fillId="5" borderId="1" xfId="0" applyNumberFormat="1" applyFont="1" applyFill="1" applyBorder="1" applyAlignment="1">
      <alignment horizontal="center" vertical="center"/>
    </xf>
    <xf numFmtId="2" fontId="0" fillId="5" borderId="1" xfId="0" applyNumberFormat="1" applyFill="1" applyBorder="1" applyAlignment="1">
      <alignment horizontal="right" vertical="center"/>
    </xf>
    <xf numFmtId="4" fontId="37" fillId="5" borderId="1" xfId="0" applyNumberFormat="1" applyFont="1" applyFill="1" applyBorder="1" applyAlignment="1">
      <alignment horizontal="right" vertical="center"/>
    </xf>
    <xf numFmtId="164" fontId="0" fillId="5" borderId="1" xfId="0" applyNumberFormat="1" applyFill="1" applyBorder="1" applyAlignment="1">
      <alignment horizontal="right" vertical="center"/>
    </xf>
    <xf numFmtId="0" fontId="38" fillId="5" borderId="1" xfId="0" applyFont="1" applyFill="1" applyBorder="1" applyAlignment="1">
      <alignment vertical="top" wrapText="1"/>
    </xf>
    <xf numFmtId="0" fontId="37" fillId="5" borderId="1" xfId="0" applyFont="1" applyFill="1" applyBorder="1" applyAlignment="1">
      <alignment vertical="center"/>
    </xf>
    <xf numFmtId="14" fontId="37" fillId="5" borderId="1" xfId="0" applyNumberFormat="1" applyFont="1" applyFill="1" applyBorder="1" applyAlignment="1">
      <alignment vertical="center" wrapText="1"/>
    </xf>
    <xf numFmtId="0" fontId="37" fillId="5" borderId="1" xfId="0" applyFont="1" applyFill="1" applyBorder="1" applyAlignment="1">
      <alignment horizontal="right" vertical="center" wrapText="1"/>
    </xf>
    <xf numFmtId="0" fontId="61" fillId="5" borderId="1" xfId="2" applyFont="1" applyFill="1" applyBorder="1" applyAlignment="1">
      <alignment vertical="center" wrapText="1"/>
    </xf>
    <xf numFmtId="0" fontId="44" fillId="5" borderId="1" xfId="2" applyFill="1" applyBorder="1" applyAlignment="1">
      <alignment vertical="center"/>
    </xf>
    <xf numFmtId="0" fontId="37" fillId="5" borderId="1" xfId="0" applyFont="1" applyFill="1" applyBorder="1" applyAlignment="1">
      <alignment horizontal="left" vertical="center" wrapText="1"/>
    </xf>
    <xf numFmtId="0" fontId="55" fillId="5" borderId="1" xfId="0" applyFont="1" applyFill="1" applyBorder="1" applyAlignment="1">
      <alignment vertical="center" wrapText="1"/>
    </xf>
    <xf numFmtId="0" fontId="0" fillId="5" borderId="2" xfId="0" applyFill="1" applyBorder="1" applyAlignment="1">
      <alignment horizontal="center" vertical="center"/>
    </xf>
    <xf numFmtId="0" fontId="44" fillId="5" borderId="1" xfId="2" applyFill="1" applyBorder="1" applyAlignment="1">
      <alignment horizontal="left" vertical="center" wrapText="1"/>
    </xf>
    <xf numFmtId="164" fontId="37" fillId="5" borderId="1" xfId="0" applyNumberFormat="1" applyFont="1" applyFill="1" applyBorder="1" applyAlignment="1">
      <alignment horizontal="center" vertical="center" wrapText="1"/>
    </xf>
    <xf numFmtId="165" fontId="37" fillId="5" borderId="1" xfId="0" applyNumberFormat="1" applyFont="1" applyFill="1" applyBorder="1" applyAlignment="1">
      <alignment horizontal="center" vertical="center" wrapText="1"/>
    </xf>
    <xf numFmtId="0" fontId="37" fillId="5" borderId="1" xfId="0" applyFont="1" applyFill="1" applyBorder="1" applyAlignment="1">
      <alignment vertical="top" wrapText="1"/>
    </xf>
    <xf numFmtId="0" fontId="48" fillId="5" borderId="1" xfId="0" applyFont="1" applyFill="1" applyBorder="1" applyAlignment="1">
      <alignment vertical="center" wrapText="1"/>
    </xf>
    <xf numFmtId="0" fontId="38" fillId="5" borderId="1" xfId="2" applyFont="1" applyFill="1" applyBorder="1" applyAlignment="1">
      <alignment vertical="center" wrapText="1"/>
    </xf>
    <xf numFmtId="0" fontId="58" fillId="5" borderId="1" xfId="0" applyFont="1" applyFill="1" applyBorder="1" applyAlignment="1">
      <alignment vertical="center" wrapText="1"/>
    </xf>
    <xf numFmtId="0" fontId="38" fillId="2" borderId="1" xfId="0" applyFont="1" applyFill="1" applyBorder="1" applyAlignment="1">
      <alignment vertical="center" wrapText="1"/>
    </xf>
    <xf numFmtId="0" fontId="53" fillId="2" borderId="1" xfId="0" applyFont="1" applyFill="1" applyBorder="1" applyAlignment="1">
      <alignment vertical="center" wrapText="1"/>
    </xf>
    <xf numFmtId="164" fontId="50" fillId="5" borderId="33" xfId="0" applyNumberFormat="1" applyFont="1" applyFill="1" applyBorder="1" applyAlignment="1">
      <alignment horizontal="center" vertical="top" wrapText="1"/>
    </xf>
    <xf numFmtId="0" fontId="53" fillId="5" borderId="1" xfId="0" applyFont="1" applyFill="1" applyBorder="1" applyAlignment="1">
      <alignment vertical="center" wrapText="1"/>
    </xf>
    <xf numFmtId="0" fontId="66" fillId="0" borderId="0" xfId="0" applyFont="1"/>
    <xf numFmtId="167" fontId="49" fillId="5" borderId="1" xfId="4" applyNumberFormat="1" applyFont="1" applyFill="1" applyBorder="1" applyAlignment="1">
      <alignment vertical="center" wrapText="1"/>
    </xf>
    <xf numFmtId="3" fontId="60" fillId="5" borderId="26" xfId="0" applyNumberFormat="1" applyFont="1" applyFill="1" applyBorder="1" applyAlignment="1">
      <alignment horizontal="center" vertical="top" wrapText="1"/>
    </xf>
    <xf numFmtId="2" fontId="38" fillId="5" borderId="4" xfId="0" applyNumberFormat="1" applyFont="1" applyFill="1" applyBorder="1" applyAlignment="1">
      <alignment vertical="center"/>
    </xf>
    <xf numFmtId="164" fontId="38" fillId="5" borderId="4" xfId="0" applyNumberFormat="1" applyFont="1" applyFill="1" applyBorder="1" applyAlignment="1">
      <alignment vertical="center"/>
    </xf>
    <xf numFmtId="2" fontId="38" fillId="5" borderId="5" xfId="0" applyNumberFormat="1" applyFont="1" applyFill="1" applyBorder="1" applyAlignment="1">
      <alignment vertical="center"/>
    </xf>
    <xf numFmtId="164" fontId="38" fillId="5" borderId="5" xfId="0" applyNumberFormat="1" applyFont="1" applyFill="1" applyBorder="1" applyAlignment="1">
      <alignment vertical="center"/>
    </xf>
    <xf numFmtId="167" fontId="45" fillId="3" borderId="1" xfId="4" applyNumberFormat="1" applyFont="1" applyFill="1" applyBorder="1" applyAlignment="1">
      <alignment horizontal="center" vertical="center" wrapText="1"/>
    </xf>
    <xf numFmtId="164" fontId="45" fillId="3" borderId="1" xfId="0" applyNumberFormat="1" applyFont="1" applyFill="1" applyBorder="1" applyAlignment="1">
      <alignment horizontal="center" vertical="center" wrapText="1"/>
    </xf>
    <xf numFmtId="2" fontId="37" fillId="5" borderId="4" xfId="0" applyNumberFormat="1" applyFont="1" applyFill="1" applyBorder="1" applyAlignment="1">
      <alignment vertical="center"/>
    </xf>
    <xf numFmtId="2" fontId="37" fillId="5" borderId="9" xfId="0" applyNumberFormat="1" applyFont="1" applyFill="1" applyBorder="1" applyAlignment="1">
      <alignment vertical="center"/>
    </xf>
    <xf numFmtId="2" fontId="37" fillId="5" borderId="5" xfId="0" applyNumberFormat="1" applyFont="1" applyFill="1" applyBorder="1" applyAlignment="1">
      <alignment vertical="center"/>
    </xf>
    <xf numFmtId="0" fontId="48" fillId="5" borderId="7" xfId="0" applyFont="1" applyFill="1" applyBorder="1" applyAlignment="1">
      <alignment horizontal="left" vertical="center" wrapText="1"/>
    </xf>
    <xf numFmtId="14" fontId="37" fillId="5" borderId="7" xfId="0" applyNumberFormat="1" applyFont="1" applyFill="1" applyBorder="1" applyAlignment="1">
      <alignment horizontal="right" vertical="center" wrapText="1"/>
    </xf>
    <xf numFmtId="0" fontId="44" fillId="5" borderId="3" xfId="2" applyFill="1" applyBorder="1" applyAlignment="1">
      <alignment vertical="center" wrapText="1"/>
    </xf>
    <xf numFmtId="0" fontId="37" fillId="5" borderId="3" xfId="0" applyFont="1" applyFill="1" applyBorder="1" applyAlignment="1">
      <alignment vertical="center" wrapText="1"/>
    </xf>
    <xf numFmtId="0" fontId="0" fillId="5" borderId="6" xfId="0" applyFill="1" applyBorder="1" applyAlignment="1">
      <alignment horizontal="center" vertical="center"/>
    </xf>
    <xf numFmtId="0" fontId="44" fillId="5" borderId="2" xfId="2" applyFill="1" applyBorder="1" applyAlignment="1">
      <alignment vertical="center" wrapText="1"/>
    </xf>
    <xf numFmtId="0" fontId="37" fillId="5" borderId="8" xfId="0" applyFont="1" applyFill="1" applyBorder="1" applyAlignment="1">
      <alignment horizontal="left" vertical="center" wrapText="1"/>
    </xf>
    <xf numFmtId="0" fontId="37" fillId="5" borderId="8" xfId="0" applyFont="1" applyFill="1" applyBorder="1" applyAlignment="1">
      <alignment horizontal="center" vertical="center" wrapText="1"/>
    </xf>
    <xf numFmtId="167" fontId="49" fillId="3" borderId="1" xfId="4" applyNumberFormat="1" applyFont="1" applyFill="1" applyBorder="1" applyAlignment="1">
      <alignment horizontal="center" vertical="center" wrapText="1"/>
    </xf>
    <xf numFmtId="164" fontId="37" fillId="3" borderId="1" xfId="0" applyNumberFormat="1" applyFont="1" applyFill="1" applyBorder="1" applyAlignment="1">
      <alignment horizontal="center" vertical="center"/>
    </xf>
    <xf numFmtId="0" fontId="33" fillId="2" borderId="5" xfId="0" applyFont="1" applyFill="1" applyBorder="1" applyAlignment="1">
      <alignment vertical="center" wrapText="1"/>
    </xf>
    <xf numFmtId="168" fontId="38" fillId="5" borderId="1" xfId="0" applyNumberFormat="1" applyFont="1" applyFill="1" applyBorder="1" applyAlignment="1">
      <alignment horizontal="center" vertical="center"/>
    </xf>
    <xf numFmtId="0" fontId="56" fillId="6" borderId="27" xfId="0" applyFont="1" applyFill="1" applyBorder="1" applyAlignment="1">
      <alignment horizontal="center" vertical="center" wrapText="1"/>
    </xf>
    <xf numFmtId="2" fontId="38" fillId="6" borderId="1" xfId="0" applyNumberFormat="1" applyFont="1" applyFill="1" applyBorder="1" applyAlignment="1">
      <alignment vertical="center"/>
    </xf>
    <xf numFmtId="164" fontId="0" fillId="6" borderId="1" xfId="0" applyNumberFormat="1" applyFill="1" applyBorder="1" applyAlignment="1">
      <alignment vertical="center"/>
    </xf>
    <xf numFmtId="164" fontId="38" fillId="6" borderId="1" xfId="0" applyNumberFormat="1" applyFont="1" applyFill="1" applyBorder="1" applyAlignment="1">
      <alignment horizontal="right" vertical="center"/>
    </xf>
    <xf numFmtId="164" fontId="37" fillId="6" borderId="1" xfId="0" applyNumberFormat="1" applyFont="1" applyFill="1" applyBorder="1" applyAlignment="1">
      <alignment horizontal="right" vertical="center"/>
    </xf>
    <xf numFmtId="164" fontId="0" fillId="6" borderId="1" xfId="0" applyNumberFormat="1" applyFill="1" applyBorder="1" applyAlignment="1">
      <alignment horizontal="right" vertical="center"/>
    </xf>
    <xf numFmtId="164" fontId="37" fillId="6" borderId="1" xfId="0" applyNumberFormat="1" applyFont="1" applyFill="1" applyBorder="1" applyAlignment="1">
      <alignment horizontal="right" vertical="center" wrapText="1"/>
    </xf>
    <xf numFmtId="2" fontId="0" fillId="6" borderId="1" xfId="0" applyNumberFormat="1" applyFill="1" applyBorder="1" applyAlignment="1">
      <alignment vertical="center"/>
    </xf>
    <xf numFmtId="2" fontId="38" fillId="6" borderId="1" xfId="0" applyNumberFormat="1" applyFont="1" applyFill="1" applyBorder="1" applyAlignment="1">
      <alignment horizontal="right" vertical="center"/>
    </xf>
    <xf numFmtId="2" fontId="37" fillId="6" borderId="1" xfId="0" applyNumberFormat="1" applyFont="1" applyFill="1" applyBorder="1" applyAlignment="1">
      <alignment horizontal="right" vertical="center"/>
    </xf>
    <xf numFmtId="2" fontId="0" fillId="6" borderId="1" xfId="0" applyNumberFormat="1" applyFill="1" applyBorder="1" applyAlignment="1">
      <alignment horizontal="right" vertical="center"/>
    </xf>
    <xf numFmtId="0" fontId="56" fillId="9" borderId="27" xfId="0" applyFont="1" applyFill="1" applyBorder="1" applyAlignment="1">
      <alignment horizontal="center" vertical="center" wrapText="1"/>
    </xf>
    <xf numFmtId="0" fontId="39" fillId="5" borderId="0" xfId="0" applyFont="1" applyFill="1" applyAlignment="1">
      <alignment horizontal="right" vertical="top" wrapText="1"/>
    </xf>
    <xf numFmtId="167" fontId="39" fillId="5" borderId="0" xfId="4" applyNumberFormat="1" applyFont="1" applyFill="1" applyBorder="1" applyAlignment="1">
      <alignment horizontal="center" vertical="top" wrapText="1"/>
    </xf>
    <xf numFmtId="165" fontId="39" fillId="5" borderId="0" xfId="0" applyNumberFormat="1" applyFont="1" applyFill="1" applyAlignment="1">
      <alignment horizontal="center" vertical="top" wrapText="1"/>
    </xf>
    <xf numFmtId="165" fontId="39" fillId="5" borderId="9" xfId="0" applyNumberFormat="1" applyFont="1" applyFill="1" applyBorder="1" applyAlignment="1">
      <alignment horizontal="center" vertical="top" wrapText="1"/>
    </xf>
    <xf numFmtId="165" fontId="39" fillId="9" borderId="9" xfId="0" applyNumberFormat="1" applyFont="1" applyFill="1" applyBorder="1" applyAlignment="1">
      <alignment horizontal="center" vertical="top" wrapText="1"/>
    </xf>
    <xf numFmtId="165" fontId="50" fillId="5" borderId="9" xfId="0" applyNumberFormat="1" applyFont="1" applyFill="1" applyBorder="1" applyAlignment="1">
      <alignment horizontal="center" vertical="top" wrapText="1"/>
    </xf>
    <xf numFmtId="3" fontId="46" fillId="9" borderId="26" xfId="0" applyNumberFormat="1" applyFont="1" applyFill="1" applyBorder="1" applyAlignment="1">
      <alignment horizontal="center" vertical="top" wrapText="1"/>
    </xf>
    <xf numFmtId="164" fontId="45" fillId="10" borderId="5" xfId="0" applyNumberFormat="1" applyFont="1" applyFill="1" applyBorder="1" applyAlignment="1">
      <alignment horizontal="center" vertical="center" wrapText="1"/>
    </xf>
    <xf numFmtId="164" fontId="45" fillId="10" borderId="1" xfId="0" applyNumberFormat="1" applyFont="1" applyFill="1" applyBorder="1" applyAlignment="1">
      <alignment horizontal="center" vertical="center" wrapText="1"/>
    </xf>
    <xf numFmtId="165" fontId="37" fillId="3" borderId="1" xfId="0" applyNumberFormat="1" applyFont="1" applyFill="1" applyBorder="1" applyAlignment="1">
      <alignment horizontal="center" vertical="center" wrapText="1"/>
    </xf>
    <xf numFmtId="4" fontId="37" fillId="3" borderId="1" xfId="0" applyNumberFormat="1" applyFont="1" applyFill="1" applyBorder="1" applyAlignment="1">
      <alignment horizontal="right" vertical="center"/>
    </xf>
    <xf numFmtId="165" fontId="37" fillId="3" borderId="1" xfId="0" applyNumberFormat="1" applyFont="1" applyFill="1" applyBorder="1" applyAlignment="1">
      <alignment horizontal="right" vertical="center"/>
    </xf>
    <xf numFmtId="4" fontId="37" fillId="0" borderId="1" xfId="0" applyNumberFormat="1" applyFont="1" applyBorder="1" applyAlignment="1">
      <alignment horizontal="center" vertical="center"/>
    </xf>
    <xf numFmtId="4" fontId="37" fillId="5" borderId="1" xfId="0" applyNumberFormat="1" applyFont="1" applyFill="1" applyBorder="1" applyAlignment="1">
      <alignment horizontal="center" vertical="center"/>
    </xf>
    <xf numFmtId="2" fontId="37" fillId="5" borderId="1" xfId="0" applyNumberFormat="1" applyFont="1" applyFill="1" applyBorder="1" applyAlignment="1">
      <alignment horizontal="center" vertical="center"/>
    </xf>
    <xf numFmtId="2" fontId="37" fillId="6" borderId="1" xfId="0" applyNumberFormat="1" applyFont="1" applyFill="1" applyBorder="1" applyAlignment="1">
      <alignment horizontal="center" vertical="center"/>
    </xf>
    <xf numFmtId="165" fontId="37" fillId="0" borderId="1" xfId="0" applyNumberFormat="1" applyFont="1" applyBorder="1" applyAlignment="1">
      <alignment horizontal="center" vertical="center"/>
    </xf>
    <xf numFmtId="165" fontId="37" fillId="5" borderId="1" xfId="0" applyNumberFormat="1" applyFont="1" applyFill="1" applyBorder="1" applyAlignment="1">
      <alignment horizontal="center" vertical="center"/>
    </xf>
    <xf numFmtId="164" fontId="37" fillId="6" borderId="1" xfId="0" applyNumberFormat="1" applyFont="1" applyFill="1" applyBorder="1" applyAlignment="1">
      <alignment horizontal="center" vertical="center"/>
    </xf>
    <xf numFmtId="0" fontId="56" fillId="3" borderId="27" xfId="0" applyFont="1" applyFill="1" applyBorder="1" applyAlignment="1">
      <alignment horizontal="center" vertical="center" wrapText="1"/>
    </xf>
    <xf numFmtId="167" fontId="39" fillId="3" borderId="0" xfId="4" applyNumberFormat="1" applyFont="1" applyFill="1" applyBorder="1" applyAlignment="1">
      <alignment horizontal="center" vertical="top" wrapText="1"/>
    </xf>
    <xf numFmtId="167" fontId="45" fillId="3" borderId="5" xfId="4" applyNumberFormat="1" applyFont="1" applyFill="1" applyBorder="1" applyAlignment="1">
      <alignment horizontal="center" vertical="center" wrapText="1"/>
    </xf>
    <xf numFmtId="165" fontId="39" fillId="3" borderId="0" xfId="0" applyNumberFormat="1" applyFont="1" applyFill="1" applyAlignment="1">
      <alignment horizontal="center" vertical="top" wrapText="1"/>
    </xf>
    <xf numFmtId="164" fontId="45" fillId="3" borderId="5" xfId="0" applyNumberFormat="1" applyFont="1" applyFill="1" applyBorder="1" applyAlignment="1">
      <alignment horizontal="center" vertical="center" wrapText="1"/>
    </xf>
    <xf numFmtId="165" fontId="39" fillId="3" borderId="9" xfId="0" applyNumberFormat="1" applyFont="1" applyFill="1" applyBorder="1" applyAlignment="1">
      <alignment horizontal="center" vertical="top" wrapText="1"/>
    </xf>
    <xf numFmtId="164" fontId="37" fillId="3" borderId="1" xfId="0" applyNumberFormat="1" applyFont="1" applyFill="1" applyBorder="1" applyAlignment="1">
      <alignment horizontal="center" vertical="center" wrapText="1"/>
    </xf>
    <xf numFmtId="164" fontId="37" fillId="3" borderId="4" xfId="0" applyNumberFormat="1" applyFont="1" applyFill="1" applyBorder="1" applyAlignment="1">
      <alignment horizontal="center" vertical="center" wrapText="1"/>
    </xf>
    <xf numFmtId="165" fontId="45" fillId="3" borderId="1" xfId="0" applyNumberFormat="1" applyFont="1" applyFill="1" applyBorder="1" applyAlignment="1">
      <alignment horizontal="center" vertical="center" wrapText="1"/>
    </xf>
    <xf numFmtId="2" fontId="37" fillId="3" borderId="1" xfId="0" applyNumberFormat="1" applyFont="1" applyFill="1" applyBorder="1" applyAlignment="1">
      <alignment horizontal="right" vertical="center"/>
    </xf>
    <xf numFmtId="164" fontId="37" fillId="3" borderId="1" xfId="0" applyNumberFormat="1" applyFont="1" applyFill="1" applyBorder="1" applyAlignment="1">
      <alignment horizontal="right" vertical="center"/>
    </xf>
    <xf numFmtId="164" fontId="48" fillId="3" borderId="1" xfId="0" applyNumberFormat="1" applyFont="1" applyFill="1" applyBorder="1" applyAlignment="1">
      <alignment horizontal="right" vertical="center"/>
    </xf>
    <xf numFmtId="0" fontId="48" fillId="5" borderId="1" xfId="0" applyFont="1" applyFill="1" applyBorder="1" applyAlignment="1">
      <alignment horizontal="left" vertical="center" wrapText="1"/>
    </xf>
    <xf numFmtId="0" fontId="44" fillId="11" borderId="1" xfId="2" applyFill="1" applyBorder="1" applyAlignment="1">
      <alignment vertical="center" wrapText="1"/>
    </xf>
    <xf numFmtId="165" fontId="37" fillId="11" borderId="1" xfId="0" applyNumberFormat="1" applyFont="1" applyFill="1" applyBorder="1" applyAlignment="1">
      <alignment horizontal="center" vertical="center" wrapText="1"/>
    </xf>
    <xf numFmtId="0" fontId="38" fillId="11" borderId="1" xfId="0" applyFont="1" applyFill="1" applyBorder="1" applyAlignment="1">
      <alignment vertical="center" wrapText="1"/>
    </xf>
    <xf numFmtId="164" fontId="0" fillId="11" borderId="1" xfId="0" applyNumberFormat="1" applyFill="1" applyBorder="1" applyAlignment="1">
      <alignment horizontal="center" vertical="center"/>
    </xf>
    <xf numFmtId="164" fontId="37" fillId="11" borderId="1" xfId="0" applyNumberFormat="1" applyFont="1" applyFill="1" applyBorder="1" applyAlignment="1">
      <alignment horizontal="right" vertical="center"/>
    </xf>
    <xf numFmtId="0" fontId="37" fillId="11" borderId="1" xfId="0" applyFont="1" applyFill="1" applyBorder="1" applyAlignment="1">
      <alignment vertical="center" wrapText="1"/>
    </xf>
    <xf numFmtId="14" fontId="37" fillId="11" borderId="1" xfId="0" applyNumberFormat="1" applyFont="1" applyFill="1" applyBorder="1" applyAlignment="1">
      <alignment horizontal="right" vertical="center" wrapText="1"/>
    </xf>
    <xf numFmtId="167" fontId="49" fillId="11" borderId="1" xfId="4" applyNumberFormat="1" applyFont="1" applyFill="1" applyBorder="1" applyAlignment="1">
      <alignment horizontal="center" vertical="center" wrapText="1"/>
    </xf>
    <xf numFmtId="164" fontId="38" fillId="0" borderId="1" xfId="0" applyNumberFormat="1" applyFont="1" applyBorder="1" applyAlignment="1">
      <alignment horizontal="center" vertical="center"/>
    </xf>
    <xf numFmtId="164" fontId="38" fillId="0" borderId="1" xfId="0" applyNumberFormat="1" applyFont="1" applyBorder="1" applyAlignment="1">
      <alignment horizontal="center" vertical="center" wrapText="1"/>
    </xf>
    <xf numFmtId="164" fontId="37" fillId="0" borderId="1" xfId="0" applyNumberFormat="1" applyFont="1" applyBorder="1" applyAlignment="1">
      <alignment horizontal="center" vertical="center"/>
    </xf>
    <xf numFmtId="164" fontId="37" fillId="0" borderId="1" xfId="0" applyNumberFormat="1" applyFont="1" applyBorder="1" applyAlignment="1">
      <alignment horizontal="center" vertical="center" wrapText="1"/>
    </xf>
    <xf numFmtId="164" fontId="37" fillId="0" borderId="4" xfId="0" applyNumberFormat="1" applyFont="1" applyBorder="1" applyAlignment="1">
      <alignment horizontal="center" vertical="center" wrapText="1"/>
    </xf>
    <xf numFmtId="164" fontId="37" fillId="11" borderId="1" xfId="0" applyNumberFormat="1" applyFont="1" applyFill="1" applyBorder="1" applyAlignment="1">
      <alignment horizontal="center" vertical="center" wrapText="1"/>
    </xf>
    <xf numFmtId="0" fontId="37" fillId="11" borderId="1" xfId="0" applyFont="1" applyFill="1" applyBorder="1" applyAlignment="1">
      <alignment horizontal="center" vertical="center" wrapText="1"/>
    </xf>
    <xf numFmtId="2" fontId="37" fillId="0" borderId="1" xfId="0" applyNumberFormat="1" applyFont="1" applyBorder="1" applyAlignment="1">
      <alignment horizontal="right" vertical="center"/>
    </xf>
    <xf numFmtId="2" fontId="37" fillId="11" borderId="1" xfId="0" applyNumberFormat="1" applyFont="1" applyFill="1" applyBorder="1" applyAlignment="1">
      <alignment horizontal="right" vertical="center"/>
    </xf>
    <xf numFmtId="4" fontId="37" fillId="11" borderId="1" xfId="0" applyNumberFormat="1" applyFont="1" applyFill="1" applyBorder="1" applyAlignment="1">
      <alignment horizontal="right" vertical="center"/>
    </xf>
    <xf numFmtId="164" fontId="37" fillId="0" borderId="1" xfId="0" applyNumberFormat="1" applyFont="1" applyBorder="1" applyAlignment="1">
      <alignment horizontal="right" vertical="center"/>
    </xf>
    <xf numFmtId="164" fontId="37" fillId="11" borderId="1" xfId="0" applyNumberFormat="1" applyFont="1" applyFill="1" applyBorder="1" applyAlignment="1">
      <alignment horizontal="right" vertical="center" wrapText="1"/>
    </xf>
    <xf numFmtId="165" fontId="37" fillId="11" borderId="1" xfId="0" applyNumberFormat="1" applyFont="1" applyFill="1" applyBorder="1" applyAlignment="1">
      <alignment horizontal="right" vertical="center"/>
    </xf>
    <xf numFmtId="165" fontId="37" fillId="8" borderId="1" xfId="0" applyNumberFormat="1" applyFont="1" applyFill="1" applyBorder="1" applyAlignment="1">
      <alignment horizontal="center" vertical="center" wrapText="1"/>
    </xf>
    <xf numFmtId="4" fontId="37" fillId="8" borderId="1" xfId="0" applyNumberFormat="1" applyFont="1" applyFill="1" applyBorder="1" applyAlignment="1">
      <alignment horizontal="right" vertical="center"/>
    </xf>
    <xf numFmtId="164" fontId="37" fillId="8" borderId="1" xfId="0" applyNumberFormat="1" applyFont="1" applyFill="1" applyBorder="1" applyAlignment="1">
      <alignment horizontal="center" vertical="center"/>
    </xf>
    <xf numFmtId="0" fontId="43" fillId="5" borderId="0" xfId="0" applyFont="1" applyFill="1" applyAlignment="1">
      <alignment horizontal="center"/>
    </xf>
    <xf numFmtId="0" fontId="56"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38" fillId="5" borderId="5" xfId="0" applyFont="1" applyFill="1" applyBorder="1" applyAlignment="1">
      <alignment horizontal="center" vertical="center"/>
    </xf>
    <xf numFmtId="0" fontId="38" fillId="5" borderId="4" xfId="0" applyFont="1" applyFill="1" applyBorder="1" applyAlignment="1">
      <alignment horizontal="left" vertical="center" wrapText="1"/>
    </xf>
    <xf numFmtId="0" fontId="38" fillId="5" borderId="5" xfId="0" applyFont="1" applyFill="1" applyBorder="1" applyAlignment="1">
      <alignment horizontal="left" vertical="center" wrapText="1"/>
    </xf>
    <xf numFmtId="167" fontId="49" fillId="5" borderId="4" xfId="4" applyNumberFormat="1" applyFont="1" applyFill="1" applyBorder="1" applyAlignment="1">
      <alignment horizontal="center" vertical="center" wrapText="1"/>
    </xf>
    <xf numFmtId="167" fontId="49" fillId="5" borderId="5" xfId="4" applyNumberFormat="1" applyFont="1" applyFill="1" applyBorder="1" applyAlignment="1">
      <alignment horizontal="center" vertical="center" wrapText="1"/>
    </xf>
    <xf numFmtId="164" fontId="0" fillId="5" borderId="4" xfId="0" applyNumberFormat="1" applyFill="1" applyBorder="1" applyAlignment="1">
      <alignment horizontal="center" vertical="center"/>
    </xf>
    <xf numFmtId="0" fontId="0" fillId="5" borderId="9" xfId="0" applyFill="1" applyBorder="1" applyAlignment="1">
      <alignment horizontal="center" vertical="center"/>
    </xf>
    <xf numFmtId="0" fontId="0" fillId="5" borderId="5" xfId="0" applyFill="1" applyBorder="1" applyAlignment="1">
      <alignment horizontal="center" vertical="center"/>
    </xf>
    <xf numFmtId="164" fontId="37" fillId="5" borderId="1" xfId="0" applyNumberFormat="1" applyFont="1" applyFill="1" applyBorder="1" applyAlignment="1">
      <alignment horizontal="right" vertical="center"/>
    </xf>
    <xf numFmtId="0" fontId="38" fillId="5" borderId="1" xfId="0" applyFont="1" applyFill="1" applyBorder="1" applyAlignment="1">
      <alignment horizontal="left" vertical="center" wrapText="1"/>
    </xf>
    <xf numFmtId="164" fontId="0" fillId="5" borderId="1" xfId="0" applyNumberFormat="1" applyFill="1" applyBorder="1" applyAlignment="1">
      <alignment horizontal="center" vertical="center" wrapText="1"/>
    </xf>
    <xf numFmtId="0" fontId="0" fillId="5" borderId="1" xfId="0" applyFill="1" applyBorder="1" applyAlignment="1">
      <alignment horizontal="center" vertical="center"/>
    </xf>
    <xf numFmtId="164" fontId="37" fillId="5" borderId="4" xfId="0" applyNumberFormat="1" applyFont="1" applyFill="1" applyBorder="1" applyAlignment="1">
      <alignment horizontal="right" vertical="center"/>
    </xf>
    <xf numFmtId="164" fontId="38" fillId="5" borderId="4" xfId="0" applyNumberFormat="1" applyFont="1" applyFill="1" applyBorder="1" applyAlignment="1">
      <alignment horizontal="center" vertical="center"/>
    </xf>
    <xf numFmtId="164" fontId="38" fillId="5" borderId="5" xfId="0" applyNumberFormat="1" applyFont="1" applyFill="1" applyBorder="1" applyAlignment="1">
      <alignment horizontal="center" vertical="center"/>
    </xf>
    <xf numFmtId="164" fontId="37" fillId="5" borderId="5" xfId="0" applyNumberFormat="1" applyFont="1" applyFill="1" applyBorder="1" applyAlignment="1">
      <alignment horizontal="right" vertical="center"/>
    </xf>
    <xf numFmtId="0" fontId="38" fillId="5" borderId="4" xfId="0" applyFont="1" applyFill="1" applyBorder="1" applyAlignment="1">
      <alignment horizontal="center" vertical="center" wrapText="1"/>
    </xf>
    <xf numFmtId="164" fontId="38" fillId="6" borderId="4" xfId="0" applyNumberFormat="1" applyFont="1" applyFill="1" applyBorder="1" applyAlignment="1">
      <alignment horizontal="right" vertical="center"/>
    </xf>
    <xf numFmtId="164" fontId="38" fillId="5" borderId="4" xfId="0" applyNumberFormat="1" applyFont="1" applyFill="1" applyBorder="1" applyAlignment="1">
      <alignment horizontal="right" vertical="center"/>
    </xf>
    <xf numFmtId="0" fontId="37" fillId="5" borderId="4" xfId="0" applyFont="1" applyFill="1" applyBorder="1" applyAlignment="1">
      <alignment horizontal="center" vertical="center" wrapText="1"/>
    </xf>
    <xf numFmtId="0" fontId="37" fillId="5" borderId="5" xfId="0" applyFont="1" applyFill="1" applyBorder="1" applyAlignment="1">
      <alignment horizontal="center" vertical="center" wrapText="1"/>
    </xf>
    <xf numFmtId="165" fontId="37" fillId="5" borderId="5" xfId="0" applyNumberFormat="1" applyFont="1" applyFill="1" applyBorder="1" applyAlignment="1">
      <alignment horizontal="right" vertical="center"/>
    </xf>
    <xf numFmtId="164" fontId="37" fillId="11" borderId="4" xfId="0" applyNumberFormat="1" applyFont="1" applyFill="1" applyBorder="1" applyAlignment="1">
      <alignment horizontal="right" vertical="center"/>
    </xf>
    <xf numFmtId="164" fontId="37" fillId="6" borderId="4" xfId="0" applyNumberFormat="1" applyFont="1" applyFill="1" applyBorder="1" applyAlignment="1">
      <alignment horizontal="right" vertical="center"/>
    </xf>
    <xf numFmtId="2" fontId="37" fillId="5" borderId="4" xfId="0" applyNumberFormat="1" applyFont="1" applyFill="1" applyBorder="1" applyAlignment="1">
      <alignment horizontal="right" vertical="center"/>
    </xf>
    <xf numFmtId="2" fontId="37" fillId="6" borderId="4" xfId="0" applyNumberFormat="1" applyFont="1" applyFill="1" applyBorder="1" applyAlignment="1">
      <alignment horizontal="right" vertical="center"/>
    </xf>
    <xf numFmtId="0" fontId="48" fillId="5" borderId="5" xfId="0" applyFont="1" applyFill="1" applyBorder="1" applyAlignment="1">
      <alignment horizontal="left" vertical="center" wrapText="1"/>
    </xf>
    <xf numFmtId="164" fontId="37" fillId="5" borderId="4" xfId="0" applyNumberFormat="1" applyFont="1" applyFill="1" applyBorder="1" applyAlignment="1">
      <alignment horizontal="center" vertical="center" wrapText="1"/>
    </xf>
    <xf numFmtId="0" fontId="37" fillId="5" borderId="4" xfId="0" applyFont="1" applyFill="1" applyBorder="1" applyAlignment="1">
      <alignment horizontal="left" vertical="center" wrapText="1"/>
    </xf>
    <xf numFmtId="4" fontId="37" fillId="5" borderId="4" xfId="0" applyNumberFormat="1" applyFont="1" applyFill="1" applyBorder="1" applyAlignment="1">
      <alignment horizontal="right" vertical="center"/>
    </xf>
    <xf numFmtId="165" fontId="37" fillId="5" borderId="4" xfId="0" applyNumberFormat="1" applyFont="1" applyFill="1" applyBorder="1" applyAlignment="1">
      <alignment horizontal="center" vertical="center" wrapText="1"/>
    </xf>
    <xf numFmtId="14" fontId="37" fillId="5" borderId="4" xfId="0" applyNumberFormat="1" applyFont="1" applyFill="1" applyBorder="1" applyAlignment="1">
      <alignment horizontal="center" vertical="center" wrapText="1"/>
    </xf>
    <xf numFmtId="14" fontId="37" fillId="5" borderId="5" xfId="0" applyNumberFormat="1" applyFont="1" applyFill="1" applyBorder="1" applyAlignment="1">
      <alignment horizontal="center" vertical="center" wrapText="1"/>
    </xf>
    <xf numFmtId="164" fontId="37" fillId="11" borderId="4" xfId="0" applyNumberFormat="1" applyFont="1" applyFill="1" applyBorder="1" applyAlignment="1">
      <alignment vertical="center"/>
    </xf>
    <xf numFmtId="0" fontId="44" fillId="5" borderId="5" xfId="2" applyFill="1" applyBorder="1" applyAlignment="1">
      <alignment horizontal="center" vertical="center" wrapText="1"/>
    </xf>
    <xf numFmtId="0" fontId="48" fillId="5" borderId="9" xfId="0" applyFont="1" applyFill="1" applyBorder="1" applyAlignment="1">
      <alignment horizontal="left" vertical="center" wrapText="1"/>
    </xf>
    <xf numFmtId="0" fontId="39" fillId="5" borderId="0" xfId="0" applyFont="1" applyFill="1" applyAlignment="1">
      <alignment horizontal="left" vertical="top" wrapText="1"/>
    </xf>
    <xf numFmtId="164" fontId="38" fillId="5" borderId="4" xfId="0" applyNumberFormat="1" applyFont="1" applyFill="1" applyBorder="1" applyAlignment="1">
      <alignment horizontal="center" vertical="center" wrapText="1"/>
    </xf>
    <xf numFmtId="14" fontId="38" fillId="5" borderId="4" xfId="0" applyNumberFormat="1" applyFont="1" applyFill="1" applyBorder="1" applyAlignment="1">
      <alignment horizontal="center" vertical="center" wrapText="1"/>
    </xf>
    <xf numFmtId="2" fontId="37" fillId="3" borderId="4" xfId="0" applyNumberFormat="1" applyFont="1" applyFill="1" applyBorder="1" applyAlignment="1">
      <alignment horizontal="right" vertical="center"/>
    </xf>
    <xf numFmtId="167" fontId="49" fillId="3" borderId="4" xfId="4" applyNumberFormat="1" applyFont="1" applyFill="1" applyBorder="1" applyAlignment="1">
      <alignment horizontal="center" vertical="center" wrapText="1"/>
    </xf>
    <xf numFmtId="164" fontId="37" fillId="3" borderId="4" xfId="0" applyNumberFormat="1" applyFont="1" applyFill="1" applyBorder="1" applyAlignment="1">
      <alignment horizontal="right" vertical="center"/>
    </xf>
    <xf numFmtId="0" fontId="38" fillId="5" borderId="1" xfId="0" applyFont="1" applyFill="1" applyBorder="1" applyAlignment="1">
      <alignment horizontal="center" vertical="center" wrapText="1"/>
    </xf>
    <xf numFmtId="0" fontId="37" fillId="5" borderId="1" xfId="0" applyFont="1" applyFill="1" applyBorder="1" applyAlignment="1">
      <alignment horizontal="center" vertical="center" wrapText="1"/>
    </xf>
    <xf numFmtId="14" fontId="21" fillId="5" borderId="1" xfId="0" applyNumberFormat="1" applyFont="1" applyFill="1" applyBorder="1" applyAlignment="1">
      <alignment horizontal="left" vertical="center" wrapText="1"/>
    </xf>
    <xf numFmtId="14" fontId="21" fillId="5" borderId="1" xfId="0" applyNumberFormat="1" applyFont="1" applyFill="1" applyBorder="1" applyAlignment="1">
      <alignment horizontal="right" vertical="center" wrapText="1"/>
    </xf>
    <xf numFmtId="0" fontId="21" fillId="5" borderId="1" xfId="0" applyFont="1" applyFill="1" applyBorder="1" applyAlignment="1">
      <alignment vertical="center" wrapText="1"/>
    </xf>
    <xf numFmtId="49" fontId="21" fillId="5" borderId="1" xfId="0" applyNumberFormat="1" applyFont="1" applyFill="1" applyBorder="1" applyAlignment="1">
      <alignment vertical="center" wrapText="1"/>
    </xf>
    <xf numFmtId="164" fontId="21" fillId="5" borderId="1" xfId="0" applyNumberFormat="1" applyFont="1" applyFill="1" applyBorder="1" applyAlignment="1">
      <alignment horizontal="center" vertical="center"/>
    </xf>
    <xf numFmtId="164" fontId="21" fillId="5" borderId="1" xfId="0" applyNumberFormat="1" applyFont="1" applyFill="1" applyBorder="1" applyAlignment="1">
      <alignment horizontal="right" vertical="center"/>
    </xf>
    <xf numFmtId="14" fontId="21" fillId="5" borderId="1" xfId="0" applyNumberFormat="1" applyFont="1" applyFill="1" applyBorder="1" applyAlignment="1">
      <alignment vertical="center" wrapText="1"/>
    </xf>
    <xf numFmtId="164" fontId="21" fillId="5" borderId="1" xfId="0" applyNumberFormat="1" applyFont="1" applyFill="1" applyBorder="1" applyAlignment="1">
      <alignment horizontal="right" vertical="center" wrapText="1"/>
    </xf>
    <xf numFmtId="164" fontId="21" fillId="5" borderId="4" xfId="0" applyNumberFormat="1" applyFont="1" applyFill="1" applyBorder="1" applyAlignment="1">
      <alignment horizontal="right" vertical="center"/>
    </xf>
    <xf numFmtId="164" fontId="21" fillId="5" borderId="1" xfId="0" applyNumberFormat="1" applyFont="1" applyFill="1" applyBorder="1" applyAlignment="1">
      <alignment horizontal="center" vertical="center" wrapText="1"/>
    </xf>
    <xf numFmtId="164" fontId="21" fillId="5" borderId="4" xfId="0" applyNumberFormat="1" applyFont="1" applyFill="1" applyBorder="1" applyAlignment="1">
      <alignment horizontal="center" vertical="center" wrapText="1"/>
    </xf>
    <xf numFmtId="165" fontId="21" fillId="5" borderId="1" xfId="0" applyNumberFormat="1" applyFont="1" applyFill="1" applyBorder="1" applyAlignment="1">
      <alignment horizontal="center" vertical="center" wrapText="1"/>
    </xf>
    <xf numFmtId="165" fontId="21" fillId="5" borderId="1" xfId="0" applyNumberFormat="1" applyFont="1" applyFill="1" applyBorder="1" applyAlignment="1">
      <alignment horizontal="right" vertical="center"/>
    </xf>
    <xf numFmtId="2" fontId="37" fillId="4" borderId="1" xfId="0" applyNumberFormat="1" applyFont="1" applyFill="1" applyBorder="1" applyAlignment="1">
      <alignment horizontal="right" vertical="center"/>
    </xf>
    <xf numFmtId="164" fontId="37" fillId="4" borderId="1" xfId="0" applyNumberFormat="1" applyFont="1" applyFill="1" applyBorder="1" applyAlignment="1">
      <alignment horizontal="right" vertical="center" wrapText="1"/>
    </xf>
    <xf numFmtId="165" fontId="0" fillId="5" borderId="0" xfId="0" applyNumberFormat="1" applyFill="1"/>
    <xf numFmtId="0" fontId="56" fillId="8" borderId="27" xfId="0" applyFont="1" applyFill="1" applyBorder="1" applyAlignment="1">
      <alignment horizontal="center" vertical="center" wrapText="1"/>
    </xf>
    <xf numFmtId="14" fontId="74" fillId="5" borderId="1" xfId="0" applyNumberFormat="1" applyFont="1" applyFill="1" applyBorder="1" applyAlignment="1">
      <alignment horizontal="right" vertical="center" wrapText="1"/>
    </xf>
    <xf numFmtId="164" fontId="0" fillId="0" borderId="0" xfId="0" applyNumberFormat="1"/>
    <xf numFmtId="14" fontId="28" fillId="5" borderId="1" xfId="0" applyNumberFormat="1" applyFont="1" applyFill="1" applyBorder="1" applyAlignment="1">
      <alignment horizontal="right" vertical="center" wrapText="1"/>
    </xf>
    <xf numFmtId="14" fontId="32" fillId="5" borderId="1" xfId="0" applyNumberFormat="1" applyFont="1" applyFill="1" applyBorder="1" applyAlignment="1">
      <alignment vertical="center" wrapText="1"/>
    </xf>
    <xf numFmtId="14" fontId="20" fillId="5" borderId="1" xfId="0" applyNumberFormat="1" applyFont="1" applyFill="1" applyBorder="1" applyAlignment="1">
      <alignment vertical="center" wrapText="1"/>
    </xf>
    <xf numFmtId="14" fontId="19" fillId="5" borderId="1" xfId="0" applyNumberFormat="1" applyFont="1" applyFill="1" applyBorder="1" applyAlignment="1">
      <alignment horizontal="right" vertical="center" wrapText="1"/>
    </xf>
    <xf numFmtId="14" fontId="17" fillId="5" borderId="1" xfId="0" applyNumberFormat="1" applyFont="1" applyFill="1" applyBorder="1" applyAlignment="1">
      <alignment horizontal="right" vertical="center" wrapText="1"/>
    </xf>
    <xf numFmtId="14" fontId="48" fillId="5" borderId="1" xfId="0" applyNumberFormat="1" applyFont="1" applyFill="1" applyBorder="1" applyAlignment="1">
      <alignment horizontal="right" vertical="center" wrapText="1"/>
    </xf>
    <xf numFmtId="14" fontId="16" fillId="5" borderId="1" xfId="0" applyNumberFormat="1" applyFont="1" applyFill="1" applyBorder="1" applyAlignment="1">
      <alignment horizontal="right" vertical="center" wrapText="1"/>
    </xf>
    <xf numFmtId="14" fontId="65"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14" fontId="73" fillId="5" borderId="1" xfId="0" applyNumberFormat="1" applyFont="1" applyFill="1" applyBorder="1" applyAlignment="1">
      <alignment horizontal="right" vertical="center" wrapText="1"/>
    </xf>
    <xf numFmtId="164" fontId="38" fillId="5" borderId="1" xfId="0" applyNumberFormat="1" applyFont="1" applyFill="1" applyBorder="1" applyAlignment="1">
      <alignment horizontal="right" vertical="center" wrapText="1"/>
    </xf>
    <xf numFmtId="14" fontId="15" fillId="5" borderId="1" xfId="0" applyNumberFormat="1" applyFont="1" applyFill="1" applyBorder="1" applyAlignment="1">
      <alignment horizontal="right" vertical="center" wrapText="1"/>
    </xf>
    <xf numFmtId="14" fontId="14" fillId="5" borderId="1" xfId="0" applyNumberFormat="1" applyFont="1" applyFill="1" applyBorder="1" applyAlignment="1">
      <alignment horizontal="right" vertical="center" wrapText="1"/>
    </xf>
    <xf numFmtId="14" fontId="0" fillId="5" borderId="1" xfId="0" applyNumberForma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11" fillId="5" borderId="1" xfId="0" applyNumberFormat="1" applyFont="1" applyFill="1" applyBorder="1" applyAlignment="1">
      <alignment horizontal="left" vertical="center" wrapText="1"/>
    </xf>
    <xf numFmtId="14" fontId="26" fillId="5" borderId="5" xfId="0" applyNumberFormat="1" applyFont="1" applyFill="1" applyBorder="1" applyAlignment="1">
      <alignment horizontal="left" vertical="center" wrapText="1"/>
    </xf>
    <xf numFmtId="0" fontId="41" fillId="5" borderId="16" xfId="0" applyFont="1" applyFill="1" applyBorder="1" applyAlignment="1">
      <alignment horizontal="center" vertical="center" wrapText="1"/>
    </xf>
    <xf numFmtId="0" fontId="41" fillId="5" borderId="0" xfId="0" applyFont="1" applyFill="1" applyAlignment="1">
      <alignment horizontal="center" vertical="center" wrapText="1"/>
    </xf>
    <xf numFmtId="0" fontId="56" fillId="5" borderId="0" xfId="0" applyFont="1" applyFill="1" applyAlignment="1">
      <alignment horizontal="center" vertical="center" wrapText="1"/>
    </xf>
    <xf numFmtId="2" fontId="0" fillId="5" borderId="0" xfId="0" applyNumberFormat="1" applyFill="1" applyAlignment="1">
      <alignment vertical="center"/>
    </xf>
    <xf numFmtId="2" fontId="38" fillId="5" borderId="0" xfId="0" applyNumberFormat="1" applyFont="1" applyFill="1" applyAlignment="1">
      <alignment horizontal="right" vertical="center"/>
    </xf>
    <xf numFmtId="2" fontId="37" fillId="5" borderId="0" xfId="0" applyNumberFormat="1" applyFont="1" applyFill="1" applyAlignment="1">
      <alignment horizontal="right" vertical="center"/>
    </xf>
    <xf numFmtId="164" fontId="38" fillId="5" borderId="0" xfId="0" applyNumberFormat="1" applyFont="1" applyFill="1" applyAlignment="1">
      <alignment horizontal="right" vertical="center"/>
    </xf>
    <xf numFmtId="2" fontId="0" fillId="5" borderId="0" xfId="0" applyNumberFormat="1" applyFill="1" applyAlignment="1">
      <alignment horizontal="right" vertical="center"/>
    </xf>
    <xf numFmtId="164" fontId="37" fillId="5" borderId="0" xfId="0" applyNumberFormat="1" applyFont="1" applyFill="1" applyAlignment="1">
      <alignment horizontal="right" vertical="center"/>
    </xf>
    <xf numFmtId="2" fontId="38" fillId="5" borderId="0" xfId="0" applyNumberFormat="1" applyFont="1" applyFill="1" applyAlignment="1">
      <alignment vertical="center"/>
    </xf>
    <xf numFmtId="165" fontId="37" fillId="0" borderId="0" xfId="0" applyNumberFormat="1" applyFont="1" applyAlignment="1">
      <alignment horizontal="center"/>
    </xf>
    <xf numFmtId="167" fontId="0" fillId="0" borderId="0" xfId="4" applyNumberFormat="1" applyFont="1" applyFill="1" applyAlignment="1">
      <alignment horizontal="center"/>
    </xf>
    <xf numFmtId="0" fontId="41" fillId="2" borderId="40" xfId="0" applyFont="1" applyFill="1" applyBorder="1" applyAlignment="1">
      <alignment horizontal="center" vertical="center" wrapText="1"/>
    </xf>
    <xf numFmtId="0" fontId="56" fillId="0" borderId="41" xfId="0" applyFont="1" applyBorder="1" applyAlignment="1">
      <alignment horizontal="center" vertical="center" wrapText="1"/>
    </xf>
    <xf numFmtId="0" fontId="56" fillId="2" borderId="42" xfId="0" applyFont="1" applyFill="1" applyBorder="1" applyAlignment="1">
      <alignment horizontal="center" vertical="center" wrapText="1"/>
    </xf>
    <xf numFmtId="167" fontId="49" fillId="0" borderId="39" xfId="4" applyNumberFormat="1" applyFont="1" applyFill="1" applyBorder="1" applyAlignment="1">
      <alignment horizontal="center" vertical="center" wrapText="1"/>
    </xf>
    <xf numFmtId="164" fontId="0" fillId="5" borderId="39" xfId="0" applyNumberFormat="1" applyFill="1" applyBorder="1" applyAlignment="1">
      <alignment horizontal="center" vertical="center"/>
    </xf>
    <xf numFmtId="164" fontId="37" fillId="5" borderId="40" xfId="0" applyNumberFormat="1" applyFont="1" applyFill="1" applyBorder="1" applyAlignment="1">
      <alignment horizontal="right" vertical="center"/>
    </xf>
    <xf numFmtId="164" fontId="0" fillId="5" borderId="41" xfId="0" applyNumberFormat="1" applyFill="1" applyBorder="1" applyAlignment="1">
      <alignment horizontal="center" vertical="center"/>
    </xf>
    <xf numFmtId="165" fontId="37" fillId="0" borderId="27" xfId="0" applyNumberFormat="1" applyFont="1" applyBorder="1" applyAlignment="1">
      <alignment horizontal="center" vertical="center" wrapText="1"/>
    </xf>
    <xf numFmtId="165" fontId="37" fillId="5" borderId="27" xfId="0" applyNumberFormat="1" applyFont="1" applyFill="1" applyBorder="1" applyAlignment="1">
      <alignment horizontal="center" vertical="center" wrapText="1"/>
    </xf>
    <xf numFmtId="165" fontId="37" fillId="0" borderId="27" xfId="0" applyNumberFormat="1" applyFont="1" applyBorder="1" applyAlignment="1">
      <alignment horizontal="right" vertical="center"/>
    </xf>
    <xf numFmtId="165" fontId="37" fillId="5" borderId="27" xfId="0" applyNumberFormat="1" applyFont="1" applyFill="1" applyBorder="1" applyAlignment="1">
      <alignment horizontal="right" vertical="center"/>
    </xf>
    <xf numFmtId="164" fontId="37" fillId="5" borderId="27" xfId="0" applyNumberFormat="1" applyFont="1" applyFill="1" applyBorder="1" applyAlignment="1">
      <alignment horizontal="right" vertical="center"/>
    </xf>
    <xf numFmtId="164" fontId="37" fillId="6" borderId="27" xfId="0" applyNumberFormat="1" applyFont="1" applyFill="1" applyBorder="1" applyAlignment="1">
      <alignment horizontal="right" vertical="center"/>
    </xf>
    <xf numFmtId="164" fontId="37" fillId="5" borderId="42" xfId="0" applyNumberFormat="1" applyFont="1" applyFill="1" applyBorder="1" applyAlignment="1">
      <alignment horizontal="right" vertical="center"/>
    </xf>
    <xf numFmtId="0" fontId="49" fillId="2" borderId="37" xfId="0" applyFont="1" applyFill="1" applyBorder="1" applyAlignment="1">
      <alignment vertical="top"/>
    </xf>
    <xf numFmtId="0" fontId="38" fillId="5" borderId="49" xfId="0" applyFont="1" applyFill="1" applyBorder="1" applyAlignment="1">
      <alignment horizontal="center" vertical="center" wrapText="1"/>
    </xf>
    <xf numFmtId="164" fontId="38" fillId="5" borderId="49" xfId="0" applyNumberFormat="1" applyFont="1" applyFill="1" applyBorder="1" applyAlignment="1">
      <alignment horizontal="center" vertical="center" wrapText="1"/>
    </xf>
    <xf numFmtId="0" fontId="49" fillId="2" borderId="37" xfId="0" applyFont="1" applyFill="1" applyBorder="1" applyAlignment="1">
      <alignment vertical="center"/>
    </xf>
    <xf numFmtId="0" fontId="38" fillId="5" borderId="39" xfId="0" applyFont="1" applyFill="1" applyBorder="1" applyAlignment="1">
      <alignment horizontal="center" vertical="center" wrapText="1"/>
    </xf>
    <xf numFmtId="0" fontId="37" fillId="5" borderId="49" xfId="0" applyFont="1" applyFill="1" applyBorder="1" applyAlignment="1">
      <alignment horizontal="center" vertical="center" wrapText="1"/>
    </xf>
    <xf numFmtId="0" fontId="37" fillId="5" borderId="40" xfId="0" applyFont="1" applyFill="1" applyBorder="1" applyAlignment="1">
      <alignment horizontal="center" vertical="center" wrapText="1"/>
    </xf>
    <xf numFmtId="0" fontId="37" fillId="5" borderId="46" xfId="0" applyFont="1" applyFill="1" applyBorder="1" applyAlignment="1">
      <alignment horizontal="center" vertical="center" wrapText="1"/>
    </xf>
    <xf numFmtId="0" fontId="38" fillId="5" borderId="40" xfId="0" applyFont="1" applyFill="1" applyBorder="1" applyAlignment="1">
      <alignment horizontal="center" vertical="center" wrapText="1"/>
    </xf>
    <xf numFmtId="0" fontId="48" fillId="5" borderId="27" xfId="0" applyFont="1" applyFill="1" applyBorder="1" applyAlignment="1">
      <alignment vertical="center" wrapText="1"/>
    </xf>
    <xf numFmtId="14" fontId="37" fillId="5" borderId="27" xfId="0" applyNumberFormat="1" applyFont="1" applyFill="1" applyBorder="1" applyAlignment="1">
      <alignment horizontal="right" vertical="center" wrapText="1"/>
    </xf>
    <xf numFmtId="0" fontId="44" fillId="5" borderId="27" xfId="2" applyFill="1" applyBorder="1" applyAlignment="1">
      <alignment vertical="center" wrapText="1"/>
    </xf>
    <xf numFmtId="0" fontId="37" fillId="5" borderId="27" xfId="0" applyFont="1" applyFill="1" applyBorder="1" applyAlignment="1">
      <alignment vertical="center" wrapText="1"/>
    </xf>
    <xf numFmtId="0" fontId="37" fillId="5" borderId="27" xfId="0" applyFont="1" applyFill="1" applyBorder="1" applyAlignment="1">
      <alignment horizontal="center" vertical="center"/>
    </xf>
    <xf numFmtId="0" fontId="37" fillId="5" borderId="42" xfId="0" applyFont="1" applyFill="1" applyBorder="1" applyAlignment="1">
      <alignment horizontal="center" vertical="center" wrapText="1"/>
    </xf>
    <xf numFmtId="164" fontId="49" fillId="2" borderId="43" xfId="0" applyNumberFormat="1" applyFont="1" applyFill="1" applyBorder="1" applyAlignment="1">
      <alignment horizontal="center" vertical="center" wrapText="1"/>
    </xf>
    <xf numFmtId="0" fontId="53" fillId="2" borderId="38" xfId="0" applyFont="1" applyFill="1" applyBorder="1" applyAlignment="1">
      <alignment vertical="top" wrapText="1"/>
    </xf>
    <xf numFmtId="164" fontId="37" fillId="5" borderId="39" xfId="0" applyNumberFormat="1" applyFont="1" applyFill="1" applyBorder="1" applyAlignment="1">
      <alignment vertical="center"/>
    </xf>
    <xf numFmtId="0" fontId="38" fillId="5" borderId="40" xfId="0" applyFont="1" applyFill="1" applyBorder="1" applyAlignment="1">
      <alignment vertical="center" wrapText="1"/>
    </xf>
    <xf numFmtId="164" fontId="49" fillId="2" borderId="39" xfId="0" applyNumberFormat="1" applyFont="1" applyFill="1" applyBorder="1" applyAlignment="1">
      <alignment horizontal="center" vertical="center" wrapText="1"/>
    </xf>
    <xf numFmtId="0" fontId="37" fillId="5" borderId="40" xfId="0" applyFont="1" applyFill="1" applyBorder="1" applyAlignment="1">
      <alignment vertical="center" wrapText="1"/>
    </xf>
    <xf numFmtId="0" fontId="24" fillId="5" borderId="51" xfId="0" applyFont="1" applyFill="1" applyBorder="1" applyAlignment="1">
      <alignment wrapText="1"/>
    </xf>
    <xf numFmtId="165" fontId="37" fillId="5" borderId="39" xfId="0" applyNumberFormat="1" applyFont="1" applyFill="1" applyBorder="1" applyAlignment="1">
      <alignment horizontal="right" vertical="center"/>
    </xf>
    <xf numFmtId="0" fontId="38" fillId="5" borderId="42" xfId="0" applyFont="1" applyFill="1" applyBorder="1" applyAlignment="1">
      <alignment vertical="center" wrapText="1"/>
    </xf>
    <xf numFmtId="164" fontId="38" fillId="5" borderId="0" xfId="0" applyNumberFormat="1" applyFont="1" applyFill="1" applyAlignment="1">
      <alignment horizontal="center" vertical="center" wrapText="1"/>
    </xf>
    <xf numFmtId="0" fontId="36" fillId="5" borderId="0" xfId="0" applyFont="1" applyFill="1" applyAlignment="1">
      <alignment vertical="center" wrapText="1"/>
    </xf>
    <xf numFmtId="0" fontId="0" fillId="5" borderId="0" xfId="0" applyFill="1" applyAlignment="1">
      <alignment horizontal="center" vertical="center" wrapText="1"/>
    </xf>
    <xf numFmtId="0" fontId="0" fillId="5" borderId="0" xfId="0" applyFill="1" applyAlignment="1">
      <alignment horizontal="center" vertical="center"/>
    </xf>
    <xf numFmtId="0" fontId="36" fillId="5" borderId="0" xfId="0" applyFont="1" applyFill="1" applyAlignment="1">
      <alignment horizontal="center" vertical="center" wrapText="1"/>
    </xf>
    <xf numFmtId="0" fontId="38" fillId="5" borderId="0" xfId="0" applyFont="1" applyFill="1" applyAlignment="1">
      <alignment horizontal="center" vertical="center" wrapText="1"/>
    </xf>
    <xf numFmtId="0" fontId="37" fillId="5" borderId="0" xfId="0" applyFont="1" applyFill="1" applyAlignment="1">
      <alignment horizontal="center" vertical="center" wrapText="1"/>
    </xf>
    <xf numFmtId="0" fontId="36" fillId="14" borderId="0" xfId="0" applyFont="1" applyFill="1" applyAlignment="1">
      <alignment vertical="center" wrapText="1"/>
    </xf>
    <xf numFmtId="164" fontId="45" fillId="14" borderId="0" xfId="0" applyNumberFormat="1" applyFont="1" applyFill="1" applyAlignment="1">
      <alignment horizontal="center" vertical="center" wrapText="1"/>
    </xf>
    <xf numFmtId="164" fontId="49" fillId="14" borderId="23" xfId="0" applyNumberFormat="1" applyFont="1" applyFill="1" applyBorder="1" applyAlignment="1">
      <alignment horizontal="center" vertical="center" wrapText="1"/>
    </xf>
    <xf numFmtId="0" fontId="53" fillId="14" borderId="51" xfId="0" applyFont="1" applyFill="1" applyBorder="1" applyAlignment="1">
      <alignment vertical="top" wrapText="1"/>
    </xf>
    <xf numFmtId="0" fontId="0" fillId="14" borderId="0" xfId="0" applyFill="1" applyAlignment="1">
      <alignment horizontal="center" vertical="center" wrapText="1"/>
    </xf>
    <xf numFmtId="2" fontId="0" fillId="14" borderId="0" xfId="0" applyNumberFormat="1" applyFill="1" applyAlignment="1">
      <alignment vertical="center"/>
    </xf>
    <xf numFmtId="14" fontId="11" fillId="14" borderId="1" xfId="0" applyNumberFormat="1" applyFont="1" applyFill="1" applyBorder="1" applyAlignment="1">
      <alignment horizontal="left" vertical="center" wrapText="1"/>
    </xf>
    <xf numFmtId="167" fontId="49" fillId="14" borderId="39" xfId="4" applyNumberFormat="1" applyFont="1" applyFill="1" applyBorder="1" applyAlignment="1">
      <alignment horizontal="center" vertical="center" wrapText="1"/>
    </xf>
    <xf numFmtId="167" fontId="49" fillId="14" borderId="1" xfId="4" applyNumberFormat="1" applyFont="1" applyFill="1" applyBorder="1" applyAlignment="1">
      <alignment horizontal="center" vertical="center" wrapText="1"/>
    </xf>
    <xf numFmtId="14" fontId="27" fillId="14" borderId="1" xfId="0" applyNumberFormat="1" applyFont="1" applyFill="1" applyBorder="1" applyAlignment="1">
      <alignment horizontal="left" vertical="center" wrapText="1"/>
    </xf>
    <xf numFmtId="14" fontId="26" fillId="14" borderId="1" xfId="0" applyNumberFormat="1" applyFont="1" applyFill="1" applyBorder="1" applyAlignment="1">
      <alignment horizontal="left" vertical="center" wrapText="1"/>
    </xf>
    <xf numFmtId="0" fontId="44" fillId="5" borderId="5" xfId="2" applyFill="1" applyBorder="1" applyAlignment="1">
      <alignment vertical="center" wrapText="1"/>
    </xf>
    <xf numFmtId="0" fontId="47" fillId="14" borderId="1" xfId="0" applyFont="1" applyFill="1" applyBorder="1" applyAlignment="1">
      <alignment vertical="top"/>
    </xf>
    <xf numFmtId="0" fontId="36" fillId="14" borderId="0" xfId="0" applyFont="1" applyFill="1" applyAlignment="1">
      <alignment horizontal="center" vertical="center" wrapText="1"/>
    </xf>
    <xf numFmtId="164" fontId="49" fillId="14" borderId="45" xfId="0" applyNumberFormat="1" applyFont="1" applyFill="1" applyBorder="1" applyAlignment="1">
      <alignment horizontal="center" vertical="center" wrapText="1"/>
    </xf>
    <xf numFmtId="0" fontId="53" fillId="14" borderId="38" xfId="0" applyFont="1" applyFill="1" applyBorder="1" applyAlignment="1">
      <alignment vertical="top" wrapText="1"/>
    </xf>
    <xf numFmtId="14" fontId="38" fillId="5" borderId="1" xfId="0" applyNumberFormat="1" applyFont="1" applyFill="1" applyBorder="1" applyAlignment="1">
      <alignment horizontal="center" vertical="center" wrapText="1"/>
    </xf>
    <xf numFmtId="167" fontId="0" fillId="5" borderId="1" xfId="4" applyNumberFormat="1" applyFont="1" applyFill="1" applyBorder="1" applyAlignment="1">
      <alignment vertical="center"/>
    </xf>
    <xf numFmtId="167" fontId="0" fillId="6" borderId="1" xfId="4" applyNumberFormat="1" applyFont="1" applyFill="1" applyBorder="1" applyAlignment="1">
      <alignment vertical="center"/>
    </xf>
    <xf numFmtId="167" fontId="0" fillId="5" borderId="40" xfId="4" applyNumberFormat="1" applyFont="1" applyFill="1" applyBorder="1" applyAlignment="1">
      <alignment vertical="center"/>
    </xf>
    <xf numFmtId="167" fontId="49" fillId="14" borderId="5" xfId="4" applyNumberFormat="1" applyFont="1" applyFill="1" applyBorder="1" applyAlignment="1">
      <alignment horizontal="center" vertical="center" wrapText="1"/>
    </xf>
    <xf numFmtId="167" fontId="49" fillId="14" borderId="44" xfId="4" applyNumberFormat="1" applyFont="1" applyFill="1" applyBorder="1" applyAlignment="1">
      <alignment horizontal="center" vertical="center" wrapText="1"/>
    </xf>
    <xf numFmtId="167" fontId="40" fillId="14" borderId="1" xfId="4" applyNumberFormat="1" applyFont="1" applyFill="1" applyBorder="1" applyAlignment="1">
      <alignment horizontal="center" vertical="center"/>
    </xf>
    <xf numFmtId="167" fontId="40" fillId="14" borderId="40" xfId="4" applyNumberFormat="1" applyFont="1" applyFill="1" applyBorder="1" applyAlignment="1">
      <alignment horizontal="center" vertical="center"/>
    </xf>
    <xf numFmtId="164" fontId="49" fillId="14" borderId="1" xfId="0" applyNumberFormat="1" applyFont="1" applyFill="1" applyBorder="1" applyAlignment="1">
      <alignment horizontal="center" vertical="center" wrapText="1"/>
    </xf>
    <xf numFmtId="164" fontId="49" fillId="14" borderId="5" xfId="0" applyNumberFormat="1" applyFont="1" applyFill="1" applyBorder="1" applyAlignment="1">
      <alignment horizontal="center" vertical="center" wrapText="1"/>
    </xf>
    <xf numFmtId="164" fontId="49" fillId="14" borderId="44" xfId="0" applyNumberFormat="1" applyFont="1" applyFill="1" applyBorder="1" applyAlignment="1">
      <alignment horizontal="center" vertical="center" wrapText="1"/>
    </xf>
    <xf numFmtId="164" fontId="40" fillId="14" borderId="1" xfId="0" applyNumberFormat="1" applyFont="1" applyFill="1" applyBorder="1" applyAlignment="1">
      <alignment horizontal="center" vertical="center"/>
    </xf>
    <xf numFmtId="164" fontId="49" fillId="14" borderId="1" xfId="0" applyNumberFormat="1" applyFont="1" applyFill="1" applyBorder="1" applyAlignment="1">
      <alignment horizontal="center" vertical="center"/>
    </xf>
    <xf numFmtId="164" fontId="49" fillId="14" borderId="39" xfId="0" applyNumberFormat="1" applyFont="1" applyFill="1" applyBorder="1" applyAlignment="1">
      <alignment horizontal="center" vertical="center"/>
    </xf>
    <xf numFmtId="164" fontId="40" fillId="14" borderId="39" xfId="0" applyNumberFormat="1" applyFont="1" applyFill="1" applyBorder="1" applyAlignment="1">
      <alignment horizontal="center" vertical="center"/>
    </xf>
    <xf numFmtId="164" fontId="40" fillId="14" borderId="40" xfId="0" applyNumberFormat="1" applyFont="1" applyFill="1" applyBorder="1" applyAlignment="1">
      <alignment horizontal="center" vertical="center"/>
    </xf>
    <xf numFmtId="164" fontId="49" fillId="14" borderId="40" xfId="0" applyNumberFormat="1" applyFont="1" applyFill="1" applyBorder="1" applyAlignment="1">
      <alignment horizontal="center" vertical="center"/>
    </xf>
    <xf numFmtId="167" fontId="49" fillId="15" borderId="5" xfId="4" applyNumberFormat="1" applyFont="1" applyFill="1" applyBorder="1" applyAlignment="1">
      <alignment horizontal="center" vertical="center" wrapText="1"/>
    </xf>
    <xf numFmtId="167" fontId="40" fillId="15" borderId="1" xfId="4" applyNumberFormat="1" applyFont="1" applyFill="1" applyBorder="1" applyAlignment="1">
      <alignment horizontal="center" vertical="center"/>
    </xf>
    <xf numFmtId="164" fontId="49" fillId="15" borderId="5" xfId="0" applyNumberFormat="1" applyFont="1" applyFill="1" applyBorder="1" applyAlignment="1">
      <alignment horizontal="center" vertical="center" wrapText="1"/>
    </xf>
    <xf numFmtId="164" fontId="49" fillId="15" borderId="1" xfId="0" applyNumberFormat="1" applyFont="1" applyFill="1" applyBorder="1" applyAlignment="1">
      <alignment horizontal="center" vertical="center"/>
    </xf>
    <xf numFmtId="164" fontId="40" fillId="15" borderId="1" xfId="0" applyNumberFormat="1" applyFont="1" applyFill="1" applyBorder="1" applyAlignment="1">
      <alignment horizontal="center" vertical="center"/>
    </xf>
    <xf numFmtId="167" fontId="38" fillId="0" borderId="1" xfId="4" applyNumberFormat="1" applyFont="1" applyFill="1" applyBorder="1" applyAlignment="1">
      <alignment horizontal="right" vertical="center"/>
    </xf>
    <xf numFmtId="167" fontId="38" fillId="5" borderId="1" xfId="4" applyNumberFormat="1" applyFont="1" applyFill="1" applyBorder="1" applyAlignment="1">
      <alignment horizontal="right" vertical="center"/>
    </xf>
    <xf numFmtId="167" fontId="38" fillId="6" borderId="1" xfId="4" applyNumberFormat="1" applyFont="1" applyFill="1" applyBorder="1" applyAlignment="1">
      <alignment horizontal="right" vertical="center"/>
    </xf>
    <xf numFmtId="167" fontId="38" fillId="5" borderId="40" xfId="4" applyNumberFormat="1" applyFont="1" applyFill="1" applyBorder="1" applyAlignment="1">
      <alignment horizontal="right" vertical="center"/>
    </xf>
    <xf numFmtId="0" fontId="38" fillId="5" borderId="46" xfId="0" applyFont="1" applyFill="1" applyBorder="1" applyAlignment="1">
      <alignment horizontal="center" vertical="center" wrapText="1"/>
    </xf>
    <xf numFmtId="167" fontId="49" fillId="14" borderId="45" xfId="4" applyNumberFormat="1" applyFont="1" applyFill="1" applyBorder="1" applyAlignment="1">
      <alignment horizontal="center" vertical="center" wrapText="1"/>
    </xf>
    <xf numFmtId="167" fontId="49" fillId="14" borderId="4" xfId="4" applyNumberFormat="1" applyFont="1" applyFill="1" applyBorder="1" applyAlignment="1">
      <alignment horizontal="center" vertical="center" wrapText="1"/>
    </xf>
    <xf numFmtId="167" fontId="49" fillId="14" borderId="46" xfId="4" applyNumberFormat="1" applyFont="1" applyFill="1" applyBorder="1" applyAlignment="1">
      <alignment horizontal="center" vertical="center" wrapText="1"/>
    </xf>
    <xf numFmtId="164" fontId="49" fillId="14" borderId="4" xfId="0" applyNumberFormat="1" applyFont="1" applyFill="1" applyBorder="1" applyAlignment="1">
      <alignment horizontal="center" vertical="center" wrapText="1"/>
    </xf>
    <xf numFmtId="164" fontId="49" fillId="14" borderId="46" xfId="0" applyNumberFormat="1" applyFont="1" applyFill="1" applyBorder="1" applyAlignment="1">
      <alignment horizontal="center" vertical="center" wrapText="1"/>
    </xf>
    <xf numFmtId="167" fontId="0" fillId="9" borderId="1" xfId="4" applyNumberFormat="1" applyFont="1" applyFill="1" applyBorder="1" applyAlignment="1">
      <alignment vertical="center"/>
    </xf>
    <xf numFmtId="167" fontId="49" fillId="9" borderId="4" xfId="4" applyNumberFormat="1" applyFont="1" applyFill="1" applyBorder="1" applyAlignment="1">
      <alignment horizontal="center" vertical="center" wrapText="1"/>
    </xf>
    <xf numFmtId="167" fontId="38" fillId="9" borderId="1" xfId="4" applyNumberFormat="1" applyFont="1" applyFill="1" applyBorder="1" applyAlignment="1">
      <alignment horizontal="right" vertical="center"/>
    </xf>
    <xf numFmtId="164" fontId="49" fillId="9" borderId="4" xfId="0" applyNumberFormat="1" applyFont="1" applyFill="1" applyBorder="1" applyAlignment="1">
      <alignment horizontal="center" vertical="center" wrapText="1"/>
    </xf>
    <xf numFmtId="164" fontId="38" fillId="9" borderId="1" xfId="0" applyNumberFormat="1" applyFont="1" applyFill="1" applyBorder="1" applyAlignment="1">
      <alignment horizontal="right" vertical="center"/>
    </xf>
    <xf numFmtId="164" fontId="37" fillId="9" borderId="1" xfId="0" applyNumberFormat="1" applyFont="1" applyFill="1" applyBorder="1" applyAlignment="1">
      <alignment horizontal="right" vertical="center"/>
    </xf>
    <xf numFmtId="167" fontId="79" fillId="2" borderId="5" xfId="4" applyNumberFormat="1" applyFont="1" applyFill="1" applyBorder="1" applyAlignment="1">
      <alignment horizontal="center" vertical="center"/>
    </xf>
    <xf numFmtId="0" fontId="53" fillId="2" borderId="38" xfId="0" applyFont="1" applyFill="1" applyBorder="1" applyAlignment="1">
      <alignment horizontal="center" vertical="center" wrapText="1"/>
    </xf>
    <xf numFmtId="167" fontId="79" fillId="14" borderId="5" xfId="4" applyNumberFormat="1" applyFont="1" applyFill="1" applyBorder="1" applyAlignment="1">
      <alignment horizontal="center" vertical="center"/>
    </xf>
    <xf numFmtId="0" fontId="53" fillId="14" borderId="38" xfId="0" applyFont="1" applyFill="1" applyBorder="1" applyAlignment="1">
      <alignment horizontal="center" vertical="center" wrapText="1"/>
    </xf>
    <xf numFmtId="0" fontId="38" fillId="5" borderId="49"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49" xfId="0" applyFont="1" applyFill="1" applyBorder="1" applyAlignment="1">
      <alignment horizontal="center" vertical="center" wrapText="1"/>
    </xf>
    <xf numFmtId="164" fontId="38" fillId="14" borderId="1" xfId="0" applyNumberFormat="1" applyFont="1" applyFill="1" applyBorder="1" applyAlignment="1">
      <alignment horizontal="center" vertical="center" wrapText="1"/>
    </xf>
    <xf numFmtId="167" fontId="79" fillId="2" borderId="1" xfId="4" applyNumberFormat="1" applyFont="1" applyFill="1" applyBorder="1" applyAlignment="1">
      <alignment horizontal="center" vertical="center"/>
    </xf>
    <xf numFmtId="0" fontId="53" fillId="2" borderId="49" xfId="0" applyFont="1" applyFill="1" applyBorder="1" applyAlignment="1">
      <alignment horizontal="center" vertical="center" wrapText="1"/>
    </xf>
    <xf numFmtId="167" fontId="79" fillId="14" borderId="4" xfId="4" applyNumberFormat="1" applyFont="1" applyFill="1" applyBorder="1" applyAlignment="1">
      <alignment horizontal="center" vertical="center"/>
    </xf>
    <xf numFmtId="0" fontId="53" fillId="14" borderId="50" xfId="0" applyFont="1" applyFill="1" applyBorder="1" applyAlignment="1">
      <alignment horizontal="center" vertical="center" wrapText="1"/>
    </xf>
    <xf numFmtId="0" fontId="38" fillId="2" borderId="49" xfId="0" applyFont="1" applyFill="1" applyBorder="1" applyAlignment="1">
      <alignment horizontal="center" vertical="center" wrapText="1"/>
    </xf>
    <xf numFmtId="164" fontId="49" fillId="14" borderId="0" xfId="0" applyNumberFormat="1" applyFont="1" applyFill="1" applyAlignment="1">
      <alignment horizontal="center" vertical="center" wrapText="1"/>
    </xf>
    <xf numFmtId="164" fontId="37" fillId="6" borderId="5" xfId="0" applyNumberFormat="1" applyFont="1" applyFill="1" applyBorder="1" applyAlignment="1">
      <alignment horizontal="right" vertical="center"/>
    </xf>
    <xf numFmtId="165" fontId="37" fillId="5" borderId="5" xfId="0" applyNumberFormat="1" applyFont="1" applyFill="1" applyBorder="1" applyAlignment="1">
      <alignment horizontal="center" vertical="center" wrapText="1"/>
    </xf>
    <xf numFmtId="164" fontId="37" fillId="5" borderId="44" xfId="0" applyNumberFormat="1" applyFont="1" applyFill="1" applyBorder="1" applyAlignment="1">
      <alignment horizontal="right" vertical="center"/>
    </xf>
    <xf numFmtId="14" fontId="26" fillId="5" borderId="1" xfId="0" applyNumberFormat="1" applyFont="1" applyFill="1" applyBorder="1" applyAlignment="1">
      <alignment horizontal="left" vertical="center" wrapText="1"/>
    </xf>
    <xf numFmtId="164" fontId="0" fillId="0" borderId="1" xfId="0" applyNumberFormat="1" applyBorder="1" applyAlignment="1">
      <alignment horizontal="center" vertical="center"/>
    </xf>
    <xf numFmtId="164" fontId="37" fillId="5" borderId="39" xfId="0" applyNumberFormat="1" applyFont="1" applyFill="1" applyBorder="1" applyAlignment="1">
      <alignment horizontal="right" vertical="center"/>
    </xf>
    <xf numFmtId="164" fontId="37" fillId="5" borderId="45" xfId="0" applyNumberFormat="1" applyFont="1" applyFill="1" applyBorder="1" applyAlignment="1">
      <alignment horizontal="right" vertical="center"/>
    </xf>
    <xf numFmtId="164" fontId="0" fillId="5" borderId="43" xfId="0" applyNumberFormat="1" applyFill="1" applyBorder="1" applyAlignment="1">
      <alignment horizontal="center" vertical="center"/>
    </xf>
    <xf numFmtId="167" fontId="49" fillId="0" borderId="43" xfId="4" applyNumberFormat="1" applyFont="1" applyFill="1" applyBorder="1" applyAlignment="1">
      <alignment horizontal="center" vertical="center" wrapText="1"/>
    </xf>
    <xf numFmtId="167" fontId="38" fillId="5" borderId="5" xfId="4" applyNumberFormat="1" applyFont="1" applyFill="1" applyBorder="1" applyAlignment="1">
      <alignment horizontal="right" vertical="center"/>
    </xf>
    <xf numFmtId="165" fontId="37" fillId="0" borderId="5" xfId="0" applyNumberFormat="1" applyFont="1" applyBorder="1" applyAlignment="1">
      <alignment horizontal="center" vertical="center" wrapText="1"/>
    </xf>
    <xf numFmtId="165" fontId="37" fillId="0" borderId="5" xfId="0" applyNumberFormat="1" applyFont="1" applyBorder="1" applyAlignment="1">
      <alignment horizontal="right" vertical="center"/>
    </xf>
    <xf numFmtId="167" fontId="38" fillId="9" borderId="5" xfId="4" applyNumberFormat="1" applyFont="1" applyFill="1" applyBorder="1" applyAlignment="1">
      <alignment horizontal="right" vertical="center"/>
    </xf>
    <xf numFmtId="0" fontId="0" fillId="5" borderId="39" xfId="0" applyFill="1" applyBorder="1" applyAlignment="1">
      <alignment horizontal="center" vertical="center" wrapText="1"/>
    </xf>
    <xf numFmtId="0" fontId="0" fillId="5" borderId="23" xfId="0" applyFill="1" applyBorder="1" applyAlignment="1">
      <alignment horizontal="center" vertical="center"/>
    </xf>
    <xf numFmtId="0" fontId="0" fillId="5" borderId="43" xfId="0" applyFill="1" applyBorder="1" applyAlignment="1">
      <alignment horizontal="center" vertical="center"/>
    </xf>
    <xf numFmtId="165" fontId="37" fillId="5" borderId="43" xfId="0" applyNumberFormat="1" applyFont="1" applyFill="1" applyBorder="1" applyAlignment="1">
      <alignment horizontal="right" vertical="center"/>
    </xf>
    <xf numFmtId="167" fontId="38" fillId="0" borderId="5" xfId="4" applyNumberFormat="1" applyFont="1" applyFill="1" applyBorder="1" applyAlignment="1">
      <alignment horizontal="right" vertical="center"/>
    </xf>
    <xf numFmtId="167" fontId="38" fillId="5" borderId="44" xfId="4" applyNumberFormat="1" applyFont="1" applyFill="1" applyBorder="1" applyAlignment="1">
      <alignment horizontal="right" vertical="center"/>
    </xf>
    <xf numFmtId="0" fontId="48" fillId="5" borderId="5" xfId="0" applyFont="1" applyFill="1" applyBorder="1" applyAlignment="1">
      <alignment vertical="center" wrapText="1"/>
    </xf>
    <xf numFmtId="0" fontId="0" fillId="5" borderId="39" xfId="0" applyFill="1" applyBorder="1" applyAlignment="1">
      <alignment vertical="center"/>
    </xf>
    <xf numFmtId="167" fontId="80" fillId="14" borderId="45" xfId="4" applyNumberFormat="1" applyFont="1" applyFill="1" applyBorder="1" applyAlignment="1">
      <alignment horizontal="center" vertical="center" wrapText="1"/>
    </xf>
    <xf numFmtId="167" fontId="80" fillId="14" borderId="4" xfId="4" applyNumberFormat="1" applyFont="1" applyFill="1" applyBorder="1" applyAlignment="1">
      <alignment horizontal="center" vertical="center" wrapText="1"/>
    </xf>
    <xf numFmtId="167" fontId="80" fillId="9" borderId="4" xfId="4" applyNumberFormat="1" applyFont="1" applyFill="1" applyBorder="1" applyAlignment="1">
      <alignment horizontal="center" vertical="center" wrapText="1"/>
    </xf>
    <xf numFmtId="167" fontId="80" fillId="14" borderId="46" xfId="4" applyNumberFormat="1" applyFont="1" applyFill="1" applyBorder="1" applyAlignment="1">
      <alignment horizontal="center" vertical="center" wrapText="1"/>
    </xf>
    <xf numFmtId="0" fontId="56" fillId="2" borderId="40" xfId="0" applyFont="1" applyFill="1" applyBorder="1" applyAlignment="1">
      <alignment horizontal="center" vertical="center" wrapText="1"/>
    </xf>
    <xf numFmtId="164" fontId="49" fillId="14" borderId="39" xfId="0" applyNumberFormat="1" applyFont="1" applyFill="1" applyBorder="1" applyAlignment="1">
      <alignment horizontal="center" vertical="center" wrapText="1"/>
    </xf>
    <xf numFmtId="164" fontId="49" fillId="14" borderId="40" xfId="0" applyNumberFormat="1" applyFont="1" applyFill="1" applyBorder="1" applyAlignment="1">
      <alignment horizontal="center" vertical="center" wrapText="1"/>
    </xf>
    <xf numFmtId="164" fontId="37" fillId="5" borderId="40" xfId="0" applyNumberFormat="1" applyFont="1" applyFill="1" applyBorder="1" applyAlignment="1">
      <alignment horizontal="center" vertical="center"/>
    </xf>
    <xf numFmtId="164" fontId="37" fillId="5" borderId="40" xfId="0" applyNumberFormat="1" applyFont="1" applyFill="1" applyBorder="1" applyAlignment="1">
      <alignment horizontal="center" vertical="center" wrapText="1"/>
    </xf>
    <xf numFmtId="164" fontId="37" fillId="5" borderId="46" xfId="0" applyNumberFormat="1" applyFont="1" applyFill="1" applyBorder="1" applyAlignment="1">
      <alignment horizontal="center" vertical="center" wrapText="1"/>
    </xf>
    <xf numFmtId="165" fontId="37" fillId="5" borderId="40" xfId="0" applyNumberFormat="1" applyFont="1" applyFill="1" applyBorder="1" applyAlignment="1">
      <alignment horizontal="center" vertical="center" wrapText="1"/>
    </xf>
    <xf numFmtId="164" fontId="49" fillId="14" borderId="43" xfId="0" applyNumberFormat="1" applyFont="1" applyFill="1" applyBorder="1" applyAlignment="1">
      <alignment horizontal="center" vertical="center" wrapText="1"/>
    </xf>
    <xf numFmtId="0" fontId="38" fillId="14" borderId="49" xfId="0" applyFont="1" applyFill="1" applyBorder="1" applyAlignment="1">
      <alignment horizontal="left" vertical="center" wrapText="1"/>
    </xf>
    <xf numFmtId="0" fontId="38" fillId="5" borderId="49" xfId="0" applyFont="1" applyFill="1" applyBorder="1" applyAlignment="1">
      <alignment horizontal="left" vertical="center" wrapText="1"/>
    </xf>
    <xf numFmtId="0" fontId="38" fillId="5" borderId="49" xfId="0" applyFont="1" applyFill="1" applyBorder="1" applyAlignment="1">
      <alignment vertical="center" wrapText="1"/>
    </xf>
    <xf numFmtId="0" fontId="38" fillId="14" borderId="49" xfId="0" applyFont="1" applyFill="1" applyBorder="1" applyAlignment="1">
      <alignment vertical="center" wrapText="1"/>
    </xf>
    <xf numFmtId="0" fontId="38" fillId="5" borderId="50" xfId="0" applyFont="1" applyFill="1" applyBorder="1" applyAlignment="1">
      <alignment horizontal="left" vertical="center" wrapText="1"/>
    </xf>
    <xf numFmtId="0" fontId="37" fillId="5" borderId="49" xfId="0" applyFont="1" applyFill="1" applyBorder="1" applyAlignment="1">
      <alignment vertical="center" wrapText="1"/>
    </xf>
    <xf numFmtId="0" fontId="0" fillId="5" borderId="49" xfId="0" applyFill="1" applyBorder="1" applyAlignment="1">
      <alignment vertical="center" wrapText="1"/>
    </xf>
    <xf numFmtId="164" fontId="38" fillId="5" borderId="49" xfId="0" applyNumberFormat="1" applyFont="1" applyFill="1" applyBorder="1" applyAlignment="1">
      <alignment vertical="center" wrapText="1"/>
    </xf>
    <xf numFmtId="0" fontId="38" fillId="2" borderId="49" xfId="0" applyFont="1" applyFill="1" applyBorder="1" applyAlignment="1">
      <alignment vertical="center" wrapText="1"/>
    </xf>
    <xf numFmtId="0" fontId="38" fillId="5" borderId="49" xfId="0" applyFont="1" applyFill="1" applyBorder="1" applyAlignment="1">
      <alignment vertical="top" wrapText="1"/>
    </xf>
    <xf numFmtId="0" fontId="53" fillId="2" borderId="49" xfId="0" applyFont="1" applyFill="1" applyBorder="1" applyAlignment="1">
      <alignment vertical="center" wrapText="1"/>
    </xf>
    <xf numFmtId="0" fontId="37" fillId="5" borderId="49" xfId="0" applyFont="1" applyFill="1" applyBorder="1" applyAlignment="1">
      <alignment vertical="top" wrapText="1"/>
    </xf>
    <xf numFmtId="0" fontId="37" fillId="5" borderId="49" xfId="0" applyFont="1" applyFill="1" applyBorder="1" applyAlignment="1">
      <alignment horizontal="left" vertical="center" wrapText="1"/>
    </xf>
    <xf numFmtId="0" fontId="77" fillId="5" borderId="49" xfId="0" applyFont="1" applyFill="1" applyBorder="1" applyAlignment="1">
      <alignment vertical="center" wrapText="1"/>
    </xf>
    <xf numFmtId="0" fontId="53" fillId="5" borderId="49" xfId="0" applyFont="1" applyFill="1" applyBorder="1" applyAlignment="1">
      <alignment vertical="center" wrapText="1"/>
    </xf>
    <xf numFmtId="0" fontId="23" fillId="5" borderId="49" xfId="0" applyFont="1" applyFill="1" applyBorder="1" applyAlignment="1">
      <alignment horizontal="left" vertical="center" wrapText="1"/>
    </xf>
    <xf numFmtId="0" fontId="18" fillId="5" borderId="49" xfId="0" applyFont="1" applyFill="1" applyBorder="1" applyAlignment="1">
      <alignment horizontal="left" vertical="center" wrapText="1"/>
    </xf>
    <xf numFmtId="0" fontId="15" fillId="5" borderId="49" xfId="0" applyFont="1" applyFill="1" applyBorder="1" applyAlignment="1">
      <alignment horizontal="left" vertical="center" wrapText="1"/>
    </xf>
    <xf numFmtId="0" fontId="58" fillId="5" borderId="49" xfId="0" applyFont="1" applyFill="1" applyBorder="1" applyAlignment="1">
      <alignment vertical="center" wrapText="1"/>
    </xf>
    <xf numFmtId="164" fontId="49" fillId="14" borderId="41" xfId="0" applyNumberFormat="1" applyFont="1" applyFill="1" applyBorder="1" applyAlignment="1">
      <alignment horizontal="center" vertical="center" wrapText="1"/>
    </xf>
    <xf numFmtId="14" fontId="37" fillId="5" borderId="5" xfId="0" applyNumberFormat="1" applyFont="1" applyFill="1" applyBorder="1" applyAlignment="1">
      <alignment horizontal="right" vertical="center" wrapText="1"/>
    </xf>
    <xf numFmtId="0" fontId="36" fillId="2" borderId="38" xfId="0" applyFont="1" applyFill="1" applyBorder="1" applyAlignment="1">
      <alignment vertical="top"/>
    </xf>
    <xf numFmtId="0" fontId="40" fillId="14" borderId="39" xfId="0" applyFont="1" applyFill="1" applyBorder="1" applyAlignment="1">
      <alignment horizontal="center" vertical="top"/>
    </xf>
    <xf numFmtId="0" fontId="36" fillId="14" borderId="40" xfId="0" applyFont="1" applyFill="1" applyBorder="1" applyAlignment="1">
      <alignment vertical="top"/>
    </xf>
    <xf numFmtId="0" fontId="49" fillId="14" borderId="39" xfId="0" applyFont="1" applyFill="1" applyBorder="1" applyAlignment="1">
      <alignment horizontal="center" vertical="center"/>
    </xf>
    <xf numFmtId="0" fontId="44" fillId="14" borderId="40" xfId="2" applyFill="1" applyBorder="1" applyAlignment="1">
      <alignment horizontal="left" vertical="center" wrapText="1"/>
    </xf>
    <xf numFmtId="0" fontId="44" fillId="5" borderId="40" xfId="2" applyFill="1" applyBorder="1" applyAlignment="1">
      <alignment vertical="center" wrapText="1"/>
    </xf>
    <xf numFmtId="0" fontId="40" fillId="14" borderId="39" xfId="0" applyFont="1" applyFill="1" applyBorder="1" applyAlignment="1">
      <alignment horizontal="center" vertical="center"/>
    </xf>
    <xf numFmtId="0" fontId="44" fillId="14" borderId="40" xfId="2" applyFill="1" applyBorder="1" applyAlignment="1">
      <alignment vertical="center" wrapText="1"/>
    </xf>
    <xf numFmtId="0" fontId="44" fillId="5" borderId="44" xfId="2" applyFill="1" applyBorder="1" applyAlignment="1">
      <alignment vertical="center" wrapText="1"/>
    </xf>
    <xf numFmtId="0" fontId="49" fillId="14" borderId="39" xfId="0" applyFont="1" applyFill="1" applyBorder="1" applyAlignment="1">
      <alignment horizontal="center" vertical="top"/>
    </xf>
    <xf numFmtId="164" fontId="44" fillId="5" borderId="40" xfId="2" applyNumberFormat="1" applyFill="1" applyBorder="1" applyAlignment="1">
      <alignment vertical="center" wrapText="1"/>
    </xf>
    <xf numFmtId="0" fontId="44" fillId="2" borderId="44" xfId="2" applyFill="1" applyBorder="1" applyAlignment="1">
      <alignment vertical="center" wrapText="1"/>
    </xf>
    <xf numFmtId="14" fontId="44" fillId="5" borderId="40" xfId="2" applyNumberFormat="1" applyFill="1" applyBorder="1" applyAlignment="1">
      <alignment vertical="center" wrapText="1"/>
    </xf>
    <xf numFmtId="0" fontId="44" fillId="5" borderId="51" xfId="2" applyFill="1" applyBorder="1" applyAlignment="1">
      <alignment vertical="center" wrapText="1"/>
    </xf>
    <xf numFmtId="0" fontId="61" fillId="5" borderId="40" xfId="2" applyFont="1" applyFill="1" applyBorder="1" applyAlignment="1">
      <alignment vertical="center" wrapText="1"/>
    </xf>
    <xf numFmtId="0" fontId="62" fillId="5" borderId="40" xfId="2" applyFont="1" applyFill="1" applyBorder="1" applyAlignment="1">
      <alignment vertical="center" wrapText="1"/>
    </xf>
    <xf numFmtId="0" fontId="76" fillId="5" borderId="40" xfId="2" applyFont="1" applyFill="1" applyBorder="1" applyAlignment="1">
      <alignment vertical="center" wrapText="1"/>
    </xf>
    <xf numFmtId="0" fontId="44" fillId="5" borderId="40" xfId="2" applyFill="1" applyBorder="1" applyAlignment="1">
      <alignment horizontal="left" vertical="center" wrapText="1"/>
    </xf>
    <xf numFmtId="0" fontId="44" fillId="5" borderId="40" xfId="2" applyFill="1" applyBorder="1" applyAlignment="1">
      <alignment vertical="center"/>
    </xf>
    <xf numFmtId="0" fontId="55" fillId="5" borderId="40" xfId="0" applyFont="1" applyFill="1" applyBorder="1" applyAlignment="1">
      <alignment vertical="center" wrapText="1"/>
    </xf>
    <xf numFmtId="0" fontId="44" fillId="5" borderId="51" xfId="2" applyFill="1" applyBorder="1" applyAlignment="1">
      <alignment horizontal="left" vertical="center" wrapText="1"/>
    </xf>
    <xf numFmtId="0" fontId="49" fillId="14" borderId="41" xfId="0" applyFont="1" applyFill="1" applyBorder="1" applyAlignment="1">
      <alignment horizontal="center" vertical="top"/>
    </xf>
    <xf numFmtId="0" fontId="47" fillId="14" borderId="27" xfId="0" applyFont="1" applyFill="1" applyBorder="1" applyAlignment="1">
      <alignment vertical="top"/>
    </xf>
    <xf numFmtId="0" fontId="36" fillId="14" borderId="42" xfId="0" applyFont="1" applyFill="1" applyBorder="1" applyAlignment="1">
      <alignment vertical="top"/>
    </xf>
    <xf numFmtId="0" fontId="82" fillId="5" borderId="16" xfId="0" applyFont="1" applyFill="1" applyBorder="1" applyAlignment="1">
      <alignment horizontal="left" vertical="top" wrapText="1"/>
    </xf>
    <xf numFmtId="0" fontId="82" fillId="5" borderId="36" xfId="0" applyFont="1" applyFill="1" applyBorder="1" applyAlignment="1">
      <alignment horizontal="left" vertical="top" wrapText="1"/>
    </xf>
    <xf numFmtId="0" fontId="82" fillId="5" borderId="0" xfId="0" applyFont="1" applyFill="1" applyAlignment="1">
      <alignment horizontal="left" vertical="top" wrapText="1"/>
    </xf>
    <xf numFmtId="167" fontId="82" fillId="0" borderId="29" xfId="4" applyNumberFormat="1" applyFont="1" applyFill="1" applyBorder="1" applyAlignment="1">
      <alignment horizontal="center" vertical="top" wrapText="1"/>
    </xf>
    <xf numFmtId="167" fontId="82" fillId="5" borderId="16" xfId="4" applyNumberFormat="1" applyFont="1" applyFill="1" applyBorder="1" applyAlignment="1">
      <alignment horizontal="center" vertical="top" wrapText="1"/>
    </xf>
    <xf numFmtId="165" fontId="82" fillId="5" borderId="14" xfId="0" applyNumberFormat="1" applyFont="1" applyFill="1" applyBorder="1" applyAlignment="1">
      <alignment horizontal="center" vertical="top" wrapText="1"/>
    </xf>
    <xf numFmtId="165" fontId="82" fillId="6" borderId="14" xfId="0" applyNumberFormat="1" applyFont="1" applyFill="1" applyBorder="1" applyAlignment="1">
      <alignment horizontal="center" vertical="top" wrapText="1"/>
    </xf>
    <xf numFmtId="165" fontId="82" fillId="5" borderId="22" xfId="0" applyNumberFormat="1" applyFont="1" applyFill="1" applyBorder="1" applyAlignment="1">
      <alignment horizontal="center" vertical="top" wrapText="1"/>
    </xf>
    <xf numFmtId="165" fontId="82" fillId="5" borderId="0" xfId="0" applyNumberFormat="1" applyFont="1" applyFill="1" applyAlignment="1">
      <alignment horizontal="center" vertical="top" wrapText="1"/>
    </xf>
    <xf numFmtId="165" fontId="82" fillId="5" borderId="29" xfId="0" applyNumberFormat="1" applyFont="1" applyFill="1" applyBorder="1" applyAlignment="1">
      <alignment horizontal="center" vertical="top" wrapText="1"/>
    </xf>
    <xf numFmtId="165" fontId="82" fillId="0" borderId="16" xfId="0" applyNumberFormat="1" applyFont="1" applyBorder="1" applyAlignment="1">
      <alignment horizontal="center" vertical="top" wrapText="1"/>
    </xf>
    <xf numFmtId="165" fontId="82" fillId="5" borderId="16" xfId="0" applyNumberFormat="1" applyFont="1" applyFill="1" applyBorder="1" applyAlignment="1">
      <alignment horizontal="center" vertical="top" wrapText="1"/>
    </xf>
    <xf numFmtId="165" fontId="82" fillId="5" borderId="36" xfId="0" applyNumberFormat="1" applyFont="1" applyFill="1" applyBorder="1" applyAlignment="1">
      <alignment horizontal="center" vertical="top" wrapText="1"/>
    </xf>
    <xf numFmtId="165" fontId="82" fillId="0" borderId="13" xfId="0" applyNumberFormat="1" applyFont="1" applyBorder="1" applyAlignment="1">
      <alignment horizontal="center" vertical="top" wrapText="1"/>
    </xf>
    <xf numFmtId="165" fontId="82" fillId="5" borderId="13" xfId="0" applyNumberFormat="1" applyFont="1" applyFill="1" applyBorder="1" applyAlignment="1">
      <alignment horizontal="center" vertical="top" wrapText="1"/>
    </xf>
    <xf numFmtId="0" fontId="84" fillId="5" borderId="31" xfId="0" applyFont="1" applyFill="1" applyBorder="1" applyAlignment="1">
      <alignment horizontal="left" vertical="top" wrapText="1"/>
    </xf>
    <xf numFmtId="0" fontId="84" fillId="5" borderId="48" xfId="0" applyFont="1" applyFill="1" applyBorder="1" applyAlignment="1">
      <alignment horizontal="left" vertical="top" wrapText="1"/>
    </xf>
    <xf numFmtId="0" fontId="84" fillId="5" borderId="0" xfId="0" applyFont="1" applyFill="1" applyAlignment="1">
      <alignment horizontal="left" vertical="top" wrapText="1"/>
    </xf>
    <xf numFmtId="167" fontId="84" fillId="0" borderId="30" xfId="4" applyNumberFormat="1" applyFont="1" applyFill="1" applyBorder="1" applyAlignment="1">
      <alignment horizontal="center" vertical="top" wrapText="1"/>
    </xf>
    <xf numFmtId="167" fontId="84" fillId="5" borderId="31" xfId="4" applyNumberFormat="1" applyFont="1" applyFill="1" applyBorder="1" applyAlignment="1">
      <alignment horizontal="center" vertical="top" wrapText="1"/>
    </xf>
    <xf numFmtId="3" fontId="84" fillId="5" borderId="0" xfId="0" applyNumberFormat="1" applyFont="1" applyFill="1" applyAlignment="1">
      <alignment horizontal="center" vertical="top" wrapText="1"/>
    </xf>
    <xf numFmtId="165" fontId="84" fillId="5" borderId="30" xfId="4" applyNumberFormat="1" applyFont="1" applyFill="1" applyBorder="1" applyAlignment="1">
      <alignment horizontal="center" vertical="top" wrapText="1"/>
    </xf>
    <xf numFmtId="167" fontId="83" fillId="0" borderId="31" xfId="4" applyNumberFormat="1" applyFont="1" applyFill="1" applyBorder="1" applyAlignment="1">
      <alignment horizontal="center" vertical="top" wrapText="1"/>
    </xf>
    <xf numFmtId="167" fontId="83" fillId="5" borderId="31" xfId="4" applyNumberFormat="1" applyFont="1" applyFill="1" applyBorder="1" applyAlignment="1">
      <alignment horizontal="center" vertical="top" wrapText="1"/>
    </xf>
    <xf numFmtId="167" fontId="83" fillId="5" borderId="48" xfId="4" applyNumberFormat="1" applyFont="1" applyFill="1" applyBorder="1" applyAlignment="1">
      <alignment horizontal="center" vertical="top" wrapText="1"/>
    </xf>
    <xf numFmtId="167" fontId="83" fillId="0" borderId="25" xfId="4" applyNumberFormat="1" applyFont="1" applyFill="1" applyBorder="1" applyAlignment="1">
      <alignment horizontal="center" vertical="top" wrapText="1"/>
    </xf>
    <xf numFmtId="167" fontId="83" fillId="5" borderId="26" xfId="4" applyNumberFormat="1" applyFont="1" applyFill="1" applyBorder="1" applyAlignment="1">
      <alignment horizontal="center" vertical="top" wrapText="1"/>
    </xf>
    <xf numFmtId="167" fontId="83" fillId="6" borderId="26" xfId="4" applyNumberFormat="1" applyFont="1" applyFill="1" applyBorder="1" applyAlignment="1">
      <alignment horizontal="center" vertical="top" wrapText="1"/>
    </xf>
    <xf numFmtId="167" fontId="83" fillId="5" borderId="28" xfId="4" applyNumberFormat="1" applyFont="1" applyFill="1" applyBorder="1" applyAlignment="1">
      <alignment horizontal="center" vertical="top" wrapText="1"/>
    </xf>
    <xf numFmtId="167" fontId="83" fillId="5" borderId="30" xfId="4" applyNumberFormat="1" applyFont="1" applyFill="1" applyBorder="1" applyAlignment="1">
      <alignment horizontal="center" vertical="top" wrapText="1"/>
    </xf>
    <xf numFmtId="164" fontId="49" fillId="4" borderId="5" xfId="0" applyNumberFormat="1" applyFont="1" applyFill="1" applyBorder="1" applyAlignment="1">
      <alignment horizontal="center" vertical="center" wrapText="1"/>
    </xf>
    <xf numFmtId="164" fontId="49" fillId="4" borderId="1" xfId="0" applyNumberFormat="1" applyFont="1" applyFill="1" applyBorder="1" applyAlignment="1">
      <alignment horizontal="center" vertical="center"/>
    </xf>
    <xf numFmtId="164" fontId="40" fillId="4" borderId="1" xfId="0" applyNumberFormat="1" applyFont="1" applyFill="1" applyBorder="1" applyAlignment="1">
      <alignment horizontal="center" vertical="center"/>
    </xf>
    <xf numFmtId="164" fontId="49" fillId="4" borderId="4" xfId="0" applyNumberFormat="1" applyFont="1" applyFill="1" applyBorder="1" applyAlignment="1">
      <alignment horizontal="center" vertical="center" wrapText="1"/>
    </xf>
    <xf numFmtId="164" fontId="37" fillId="4" borderId="1" xfId="0" applyNumberFormat="1" applyFont="1" applyFill="1" applyBorder="1" applyAlignment="1">
      <alignment horizontal="right" vertical="center"/>
    </xf>
    <xf numFmtId="165" fontId="82" fillId="4" borderId="14" xfId="0" applyNumberFormat="1" applyFont="1" applyFill="1" applyBorder="1" applyAlignment="1">
      <alignment horizontal="center" vertical="top" wrapText="1"/>
    </xf>
    <xf numFmtId="167" fontId="83" fillId="4" borderId="26" xfId="4" applyNumberFormat="1" applyFont="1" applyFill="1" applyBorder="1" applyAlignment="1">
      <alignment horizontal="center" vertical="top" wrapText="1"/>
    </xf>
    <xf numFmtId="0" fontId="56" fillId="4" borderId="27" xfId="0" applyFont="1" applyFill="1" applyBorder="1" applyAlignment="1">
      <alignment horizontal="center" vertical="center" wrapText="1"/>
    </xf>
    <xf numFmtId="0" fontId="83" fillId="5" borderId="1" xfId="0" applyFont="1" applyFill="1" applyBorder="1" applyAlignment="1">
      <alignment vertical="top" wrapText="1"/>
    </xf>
    <xf numFmtId="0" fontId="83" fillId="5" borderId="40" xfId="0" applyFont="1" applyFill="1" applyBorder="1" applyAlignment="1">
      <alignment vertical="top" wrapText="1"/>
    </xf>
    <xf numFmtId="0" fontId="82" fillId="5" borderId="1" xfId="0" applyFont="1" applyFill="1" applyBorder="1" applyAlignment="1">
      <alignment vertical="top" wrapText="1"/>
    </xf>
    <xf numFmtId="0" fontId="82" fillId="5" borderId="40" xfId="0" applyFont="1" applyFill="1" applyBorder="1" applyAlignment="1">
      <alignment vertical="top" wrapText="1"/>
    </xf>
    <xf numFmtId="167" fontId="82" fillId="5" borderId="36" xfId="4" applyNumberFormat="1" applyFont="1" applyFill="1" applyBorder="1" applyAlignment="1">
      <alignment horizontal="center" vertical="top" wrapText="1"/>
    </xf>
    <xf numFmtId="167" fontId="84" fillId="5" borderId="48" xfId="4" applyNumberFormat="1" applyFont="1" applyFill="1" applyBorder="1" applyAlignment="1">
      <alignment horizontal="center" vertical="top" wrapText="1"/>
    </xf>
    <xf numFmtId="167" fontId="49" fillId="14" borderId="40" xfId="4" applyNumberFormat="1" applyFont="1" applyFill="1" applyBorder="1" applyAlignment="1">
      <alignment horizontal="center" vertical="center" wrapText="1"/>
    </xf>
    <xf numFmtId="167" fontId="49" fillId="5" borderId="40" xfId="4" applyNumberFormat="1" applyFont="1" applyFill="1" applyBorder="1" applyAlignment="1">
      <alignment horizontal="center" vertical="center" wrapText="1"/>
    </xf>
    <xf numFmtId="167" fontId="49" fillId="5" borderId="40" xfId="4" applyNumberFormat="1" applyFont="1" applyFill="1" applyBorder="1" applyAlignment="1">
      <alignment vertical="center" wrapText="1"/>
    </xf>
    <xf numFmtId="3" fontId="84" fillId="0" borderId="25" xfId="0" applyNumberFormat="1" applyFont="1" applyBorder="1" applyAlignment="1">
      <alignment horizontal="center" vertical="top" wrapText="1"/>
    </xf>
    <xf numFmtId="167" fontId="49" fillId="14" borderId="43" xfId="4" applyNumberFormat="1" applyFont="1" applyFill="1" applyBorder="1" applyAlignment="1">
      <alignment horizontal="center" vertical="center" wrapText="1"/>
    </xf>
    <xf numFmtId="167" fontId="0" fillId="0" borderId="39" xfId="4" applyNumberFormat="1" applyFont="1" applyFill="1" applyBorder="1" applyAlignment="1">
      <alignment vertical="center"/>
    </xf>
    <xf numFmtId="167" fontId="40" fillId="14" borderId="39" xfId="4" applyNumberFormat="1" applyFont="1" applyFill="1" applyBorder="1" applyAlignment="1">
      <alignment horizontal="center" vertical="center"/>
    </xf>
    <xf numFmtId="167" fontId="38" fillId="0" borderId="39" xfId="4" applyNumberFormat="1" applyFont="1" applyFill="1" applyBorder="1" applyAlignment="1">
      <alignment horizontal="right" vertical="center"/>
    </xf>
    <xf numFmtId="0" fontId="37" fillId="5" borderId="5" xfId="0" applyFont="1" applyFill="1" applyBorder="1" applyAlignment="1">
      <alignment vertical="top" wrapText="1"/>
    </xf>
    <xf numFmtId="0" fontId="37" fillId="5" borderId="5" xfId="0" applyFont="1" applyFill="1" applyBorder="1" applyAlignment="1">
      <alignment horizontal="center" vertical="center"/>
    </xf>
    <xf numFmtId="0" fontId="37" fillId="5" borderId="44" xfId="0" applyFont="1" applyFill="1" applyBorder="1" applyAlignment="1">
      <alignment horizontal="center" vertical="center" wrapText="1"/>
    </xf>
    <xf numFmtId="0" fontId="82" fillId="5" borderId="29" xfId="0" applyFont="1" applyFill="1" applyBorder="1" applyAlignment="1">
      <alignment horizontal="right" vertical="top" wrapText="1"/>
    </xf>
    <xf numFmtId="0" fontId="84" fillId="5" borderId="30" xfId="0" applyFont="1" applyFill="1" applyBorder="1" applyAlignment="1">
      <alignment vertical="top" wrapText="1"/>
    </xf>
    <xf numFmtId="0" fontId="36" fillId="2" borderId="37" xfId="0" applyFont="1" applyFill="1" applyBorder="1" applyAlignment="1">
      <alignment vertical="top" wrapText="1"/>
    </xf>
    <xf numFmtId="0" fontId="36" fillId="14" borderId="39" xfId="0" applyFont="1" applyFill="1" applyBorder="1" applyAlignment="1">
      <alignment vertical="top" wrapText="1"/>
    </xf>
    <xf numFmtId="0" fontId="38" fillId="14" borderId="39" xfId="0" applyFont="1" applyFill="1" applyBorder="1" applyAlignment="1">
      <alignment horizontal="left" vertical="center" wrapText="1"/>
    </xf>
    <xf numFmtId="0" fontId="37" fillId="5" borderId="39" xfId="0" applyFont="1" applyFill="1" applyBorder="1" applyAlignment="1">
      <alignment vertical="center" wrapText="1"/>
    </xf>
    <xf numFmtId="0" fontId="37" fillId="14" borderId="39" xfId="0" applyFont="1" applyFill="1" applyBorder="1" applyAlignment="1">
      <alignment vertical="center" wrapText="1"/>
    </xf>
    <xf numFmtId="0" fontId="38" fillId="5" borderId="39" xfId="0" applyFont="1" applyFill="1" applyBorder="1" applyAlignment="1">
      <alignment vertical="center" wrapText="1"/>
    </xf>
    <xf numFmtId="0" fontId="38" fillId="14" borderId="39" xfId="0" applyFont="1" applyFill="1" applyBorder="1" applyAlignment="1">
      <alignment vertical="center" wrapText="1"/>
    </xf>
    <xf numFmtId="0" fontId="38" fillId="5" borderId="43" xfId="2" applyFont="1" applyFill="1" applyBorder="1" applyAlignment="1">
      <alignment vertical="center" wrapText="1"/>
    </xf>
    <xf numFmtId="0" fontId="38" fillId="5" borderId="39" xfId="0" applyFont="1" applyFill="1" applyBorder="1" applyAlignment="1">
      <alignment horizontal="left" vertical="center" wrapText="1"/>
    </xf>
    <xf numFmtId="164" fontId="38" fillId="5" borderId="39" xfId="0" applyNumberFormat="1" applyFont="1" applyFill="1" applyBorder="1" applyAlignment="1">
      <alignment vertical="center" wrapText="1"/>
    </xf>
    <xf numFmtId="0" fontId="37" fillId="2" borderId="43" xfId="0" applyFont="1" applyFill="1" applyBorder="1" applyAlignment="1">
      <alignment vertical="center" wrapText="1"/>
    </xf>
    <xf numFmtId="0" fontId="22" fillId="5" borderId="39" xfId="0" applyFont="1" applyFill="1" applyBorder="1" applyAlignment="1">
      <alignment vertical="center" wrapText="1"/>
    </xf>
    <xf numFmtId="49" fontId="31" fillId="5" borderId="39" xfId="0" applyNumberFormat="1" applyFont="1" applyFill="1" applyBorder="1" applyAlignment="1">
      <alignment vertical="center" wrapText="1"/>
    </xf>
    <xf numFmtId="49" fontId="30" fillId="5" borderId="39" xfId="0" applyNumberFormat="1" applyFont="1" applyFill="1" applyBorder="1" applyAlignment="1">
      <alignment vertical="center" wrapText="1"/>
    </xf>
    <xf numFmtId="0" fontId="36" fillId="2" borderId="52" xfId="0" applyFont="1" applyFill="1" applyBorder="1" applyAlignment="1">
      <alignment vertical="center" wrapText="1"/>
    </xf>
    <xf numFmtId="0" fontId="37" fillId="5" borderId="45" xfId="0" applyFont="1" applyFill="1" applyBorder="1" applyAlignment="1">
      <alignment vertical="center" wrapText="1"/>
    </xf>
    <xf numFmtId="0" fontId="37" fillId="5" borderId="45" xfId="0" applyFont="1" applyFill="1" applyBorder="1" applyAlignment="1">
      <alignment horizontal="left" vertical="center" wrapText="1"/>
    </xf>
    <xf numFmtId="0" fontId="37" fillId="5" borderId="39" xfId="0" applyFont="1" applyFill="1" applyBorder="1" applyAlignment="1">
      <alignment vertical="center"/>
    </xf>
    <xf numFmtId="0" fontId="0" fillId="5" borderId="35" xfId="0" applyFill="1" applyBorder="1" applyAlignment="1">
      <alignment horizontal="left" vertical="center" wrapText="1"/>
    </xf>
    <xf numFmtId="0" fontId="0" fillId="5" borderId="39" xfId="0" applyFill="1" applyBorder="1" applyAlignment="1">
      <alignment horizontal="left" vertical="center" wrapText="1"/>
    </xf>
    <xf numFmtId="0" fontId="37" fillId="5" borderId="39" xfId="0" applyFont="1" applyFill="1" applyBorder="1" applyAlignment="1">
      <alignment horizontal="left" vertical="center" wrapText="1"/>
    </xf>
    <xf numFmtId="0" fontId="19" fillId="5" borderId="39" xfId="0" applyFont="1" applyFill="1" applyBorder="1" applyAlignment="1">
      <alignment horizontal="left" vertical="center" wrapText="1"/>
    </xf>
    <xf numFmtId="0" fontId="37" fillId="5" borderId="39" xfId="0" applyFont="1" applyFill="1" applyBorder="1" applyAlignment="1">
      <alignment vertical="top" wrapText="1"/>
    </xf>
    <xf numFmtId="0" fontId="36" fillId="14" borderId="41" xfId="0" applyFont="1" applyFill="1" applyBorder="1" applyAlignment="1">
      <alignment vertical="top" wrapText="1"/>
    </xf>
    <xf numFmtId="167" fontId="79" fillId="14" borderId="27" xfId="4" applyNumberFormat="1" applyFont="1" applyFill="1" applyBorder="1" applyAlignment="1">
      <alignment horizontal="center" vertical="center"/>
    </xf>
    <xf numFmtId="0" fontId="53" fillId="14" borderId="54" xfId="0" applyFont="1" applyFill="1" applyBorder="1" applyAlignment="1">
      <alignment horizontal="center" vertical="center" wrapText="1"/>
    </xf>
    <xf numFmtId="167" fontId="49" fillId="14" borderId="41" xfId="4" applyNumberFormat="1" applyFont="1" applyFill="1" applyBorder="1" applyAlignment="1">
      <alignment horizontal="center" vertical="center" wrapText="1"/>
    </xf>
    <xf numFmtId="167" fontId="49" fillId="14" borderId="27" xfId="4" applyNumberFormat="1" applyFont="1" applyFill="1" applyBorder="1" applyAlignment="1">
      <alignment horizontal="center" vertical="center" wrapText="1"/>
    </xf>
    <xf numFmtId="167" fontId="49" fillId="14" borderId="42" xfId="4" applyNumberFormat="1" applyFont="1" applyFill="1" applyBorder="1" applyAlignment="1">
      <alignment horizontal="center" vertical="center" wrapText="1"/>
    </xf>
    <xf numFmtId="167" fontId="49" fillId="9" borderId="27" xfId="4" applyNumberFormat="1" applyFont="1" applyFill="1" applyBorder="1" applyAlignment="1">
      <alignment horizontal="center" vertical="center" wrapText="1"/>
    </xf>
    <xf numFmtId="164" fontId="49" fillId="14" borderId="27" xfId="0" applyNumberFormat="1" applyFont="1" applyFill="1" applyBorder="1" applyAlignment="1">
      <alignment horizontal="center" vertical="center" wrapText="1"/>
    </xf>
    <xf numFmtId="164" fontId="49" fillId="14" borderId="42" xfId="0" applyNumberFormat="1" applyFont="1" applyFill="1" applyBorder="1" applyAlignment="1">
      <alignment horizontal="center" vertical="center" wrapText="1"/>
    </xf>
    <xf numFmtId="164" fontId="49" fillId="9" borderId="27" xfId="0" applyNumberFormat="1" applyFont="1" applyFill="1" applyBorder="1" applyAlignment="1">
      <alignment horizontal="center" vertical="center" wrapText="1"/>
    </xf>
    <xf numFmtId="164" fontId="49" fillId="4" borderId="27" xfId="0" applyNumberFormat="1" applyFont="1" applyFill="1" applyBorder="1" applyAlignment="1">
      <alignment horizontal="center" vertical="center" wrapText="1"/>
    </xf>
    <xf numFmtId="167" fontId="49" fillId="2" borderId="1" xfId="4" applyNumberFormat="1" applyFont="1" applyFill="1" applyBorder="1" applyAlignment="1">
      <alignment horizontal="center" vertical="center" wrapText="1"/>
    </xf>
    <xf numFmtId="167" fontId="49" fillId="2" borderId="40" xfId="4" applyNumberFormat="1" applyFont="1" applyFill="1" applyBorder="1" applyAlignment="1">
      <alignment horizontal="center" vertical="center" wrapText="1"/>
    </xf>
    <xf numFmtId="167" fontId="49" fillId="7" borderId="1" xfId="4" applyNumberFormat="1" applyFont="1" applyFill="1" applyBorder="1" applyAlignment="1">
      <alignment horizontal="center" vertical="center" wrapText="1"/>
    </xf>
    <xf numFmtId="164" fontId="49" fillId="5" borderId="0" xfId="0" applyNumberFormat="1" applyFont="1" applyFill="1" applyAlignment="1">
      <alignment horizontal="center" vertical="center" wrapText="1"/>
    </xf>
    <xf numFmtId="165" fontId="49" fillId="2" borderId="39" xfId="0" applyNumberFormat="1" applyFont="1" applyFill="1" applyBorder="1" applyAlignment="1">
      <alignment horizontal="center" vertical="center" wrapText="1"/>
    </xf>
    <xf numFmtId="165" fontId="49" fillId="0" borderId="1" xfId="0" applyNumberFormat="1" applyFont="1" applyBorder="1" applyAlignment="1">
      <alignment horizontal="center" vertical="center" wrapText="1"/>
    </xf>
    <xf numFmtId="165" fontId="49" fillId="2" borderId="1" xfId="0" applyNumberFormat="1" applyFont="1" applyFill="1" applyBorder="1" applyAlignment="1">
      <alignment horizontal="center" vertical="center" wrapText="1"/>
    </xf>
    <xf numFmtId="164" fontId="49" fillId="2" borderId="1" xfId="0" applyNumberFormat="1" applyFont="1" applyFill="1" applyBorder="1" applyAlignment="1">
      <alignment horizontal="center" vertical="center" wrapText="1"/>
    </xf>
    <xf numFmtId="164" fontId="49" fillId="8" borderId="1" xfId="0" applyNumberFormat="1" applyFont="1" applyFill="1" applyBorder="1" applyAlignment="1">
      <alignment horizontal="center" vertical="center" wrapText="1"/>
    </xf>
    <xf numFmtId="164" fontId="49" fillId="2" borderId="40" xfId="0" applyNumberFormat="1" applyFont="1" applyFill="1" applyBorder="1" applyAlignment="1">
      <alignment horizontal="center" vertical="center" wrapText="1"/>
    </xf>
    <xf numFmtId="164" fontId="49" fillId="7" borderId="1" xfId="0" applyNumberFormat="1" applyFont="1" applyFill="1" applyBorder="1" applyAlignment="1">
      <alignment horizontal="center" vertical="center" wrapText="1"/>
    </xf>
    <xf numFmtId="164" fontId="49" fillId="0" borderId="1" xfId="0" applyNumberFormat="1" applyFont="1" applyBorder="1" applyAlignment="1">
      <alignment horizontal="center" vertical="center" wrapText="1"/>
    </xf>
    <xf numFmtId="167" fontId="80" fillId="0" borderId="39" xfId="4" applyNumberFormat="1" applyFont="1" applyFill="1" applyBorder="1" applyAlignment="1">
      <alignment horizontal="center" vertical="center" wrapText="1"/>
    </xf>
    <xf numFmtId="167" fontId="80" fillId="2" borderId="1" xfId="4" applyNumberFormat="1" applyFont="1" applyFill="1" applyBorder="1" applyAlignment="1">
      <alignment horizontal="center" vertical="center" wrapText="1"/>
    </xf>
    <xf numFmtId="167" fontId="80" fillId="2" borderId="40" xfId="4" applyNumberFormat="1" applyFont="1" applyFill="1" applyBorder="1" applyAlignment="1">
      <alignment horizontal="center" vertical="center" wrapText="1"/>
    </xf>
    <xf numFmtId="167" fontId="80" fillId="7" borderId="1" xfId="4" applyNumberFormat="1" applyFont="1" applyFill="1" applyBorder="1" applyAlignment="1">
      <alignment horizontal="center" vertical="center" wrapText="1"/>
    </xf>
    <xf numFmtId="164" fontId="80" fillId="5" borderId="0" xfId="0" applyNumberFormat="1" applyFont="1" applyFill="1" applyAlignment="1">
      <alignment horizontal="center" vertical="center" wrapText="1"/>
    </xf>
    <xf numFmtId="164" fontId="80" fillId="2" borderId="39" xfId="0" applyNumberFormat="1" applyFont="1" applyFill="1" applyBorder="1" applyAlignment="1">
      <alignment horizontal="center" vertical="center" wrapText="1"/>
    </xf>
    <xf numFmtId="164" fontId="80" fillId="0" borderId="1" xfId="0" applyNumberFormat="1" applyFont="1" applyBorder="1" applyAlignment="1">
      <alignment horizontal="center" vertical="center" wrapText="1"/>
    </xf>
    <xf numFmtId="167" fontId="49" fillId="2" borderId="5" xfId="4" applyNumberFormat="1" applyFont="1" applyFill="1" applyBorder="1" applyAlignment="1">
      <alignment horizontal="center" vertical="center" wrapText="1"/>
    </xf>
    <xf numFmtId="167" fontId="49" fillId="2" borderId="44" xfId="4" applyNumberFormat="1" applyFont="1" applyFill="1" applyBorder="1" applyAlignment="1">
      <alignment horizontal="center" vertical="center" wrapText="1"/>
    </xf>
    <xf numFmtId="167" fontId="49" fillId="7" borderId="5" xfId="4" applyNumberFormat="1" applyFont="1" applyFill="1" applyBorder="1" applyAlignment="1">
      <alignment horizontal="center" vertical="center" wrapText="1"/>
    </xf>
    <xf numFmtId="164" fontId="49" fillId="0" borderId="5" xfId="0" applyNumberFormat="1" applyFont="1" applyBorder="1" applyAlignment="1">
      <alignment horizontal="center" vertical="center" wrapText="1"/>
    </xf>
    <xf numFmtId="164" fontId="49" fillId="2" borderId="5" xfId="0" applyNumberFormat="1" applyFont="1" applyFill="1" applyBorder="1" applyAlignment="1">
      <alignment horizontal="center" vertical="center" wrapText="1"/>
    </xf>
    <xf numFmtId="164" fontId="49" fillId="8" borderId="5" xfId="0" applyNumberFormat="1" applyFont="1" applyFill="1" applyBorder="1" applyAlignment="1">
      <alignment horizontal="center" vertical="center" wrapText="1"/>
    </xf>
    <xf numFmtId="164" fontId="49" fillId="2" borderId="44" xfId="0" applyNumberFormat="1" applyFont="1" applyFill="1" applyBorder="1" applyAlignment="1">
      <alignment horizontal="center" vertical="center" wrapText="1"/>
    </xf>
    <xf numFmtId="165" fontId="49" fillId="14" borderId="45" xfId="0" applyNumberFormat="1" applyFont="1" applyFill="1" applyBorder="1" applyAlignment="1">
      <alignment horizontal="center" vertical="center" wrapText="1"/>
    </xf>
    <xf numFmtId="165" fontId="49" fillId="7" borderId="1" xfId="0" applyNumberFormat="1" applyFont="1" applyFill="1" applyBorder="1" applyAlignment="1">
      <alignment horizontal="center" vertical="center" wrapText="1"/>
    </xf>
    <xf numFmtId="0" fontId="85" fillId="16" borderId="39" xfId="0" applyFont="1" applyFill="1" applyBorder="1" applyAlignment="1">
      <alignment horizontal="center" vertical="center" wrapText="1"/>
    </xf>
    <xf numFmtId="3" fontId="86" fillId="0" borderId="39" xfId="0" applyNumberFormat="1" applyFont="1" applyBorder="1" applyAlignment="1">
      <alignment horizontal="center" wrapText="1"/>
    </xf>
    <xf numFmtId="165" fontId="86" fillId="0" borderId="39" xfId="0" applyNumberFormat="1" applyFont="1" applyBorder="1" applyAlignment="1">
      <alignment horizontal="center" vertical="center"/>
    </xf>
    <xf numFmtId="0" fontId="86" fillId="0" borderId="0" xfId="0" applyFont="1"/>
    <xf numFmtId="0" fontId="86" fillId="0" borderId="0" xfId="0" applyFont="1" applyAlignment="1">
      <alignment horizontal="center"/>
    </xf>
    <xf numFmtId="0" fontId="88" fillId="0" borderId="0" xfId="0" applyFont="1" applyAlignment="1">
      <alignment horizontal="center"/>
    </xf>
    <xf numFmtId="0" fontId="89" fillId="0" borderId="0" xfId="0" applyFont="1"/>
    <xf numFmtId="0" fontId="85" fillId="16" borderId="40" xfId="0" applyFont="1" applyFill="1" applyBorder="1" applyAlignment="1">
      <alignment horizontal="center" vertical="center" wrapText="1"/>
    </xf>
    <xf numFmtId="3" fontId="86" fillId="0" borderId="40" xfId="0" applyNumberFormat="1" applyFont="1" applyBorder="1" applyAlignment="1">
      <alignment horizontal="center" wrapText="1"/>
    </xf>
    <xf numFmtId="165" fontId="86" fillId="12" borderId="39" xfId="0" applyNumberFormat="1" applyFont="1" applyFill="1" applyBorder="1" applyAlignment="1">
      <alignment horizontal="center" vertical="center"/>
    </xf>
    <xf numFmtId="165" fontId="86" fillId="12" borderId="40" xfId="0" applyNumberFormat="1" applyFont="1" applyFill="1" applyBorder="1" applyAlignment="1">
      <alignment horizontal="center" vertical="center"/>
    </xf>
    <xf numFmtId="165" fontId="86" fillId="0" borderId="40" xfId="0" applyNumberFormat="1" applyFont="1" applyBorder="1" applyAlignment="1">
      <alignment horizontal="center" vertical="center"/>
    </xf>
    <xf numFmtId="0" fontId="86" fillId="0" borderId="0" xfId="0" applyFont="1" applyAlignment="1">
      <alignment horizontal="left" vertical="center"/>
    </xf>
    <xf numFmtId="3" fontId="86" fillId="0" borderId="0" xfId="0" applyNumberFormat="1" applyFont="1" applyAlignment="1">
      <alignment horizontal="center" vertical="center"/>
    </xf>
    <xf numFmtId="0" fontId="91" fillId="0" borderId="0" xfId="0" applyFont="1"/>
    <xf numFmtId="167" fontId="86" fillId="16" borderId="39" xfId="4" applyNumberFormat="1" applyFont="1" applyFill="1" applyBorder="1" applyAlignment="1">
      <alignment horizontal="center" wrapText="1"/>
    </xf>
    <xf numFmtId="167" fontId="86" fillId="16" borderId="40" xfId="4" applyNumberFormat="1" applyFont="1" applyFill="1" applyBorder="1" applyAlignment="1">
      <alignment horizontal="center" wrapText="1"/>
    </xf>
    <xf numFmtId="165" fontId="86" fillId="12" borderId="39" xfId="0" applyNumberFormat="1" applyFont="1" applyFill="1" applyBorder="1" applyAlignment="1">
      <alignment horizontal="center"/>
    </xf>
    <xf numFmtId="165" fontId="86" fillId="12" borderId="40" xfId="0" applyNumberFormat="1" applyFont="1" applyFill="1" applyBorder="1" applyAlignment="1">
      <alignment horizontal="center"/>
    </xf>
    <xf numFmtId="165" fontId="87" fillId="0" borderId="40" xfId="0" applyNumberFormat="1" applyFont="1" applyBorder="1" applyAlignment="1">
      <alignment horizontal="center" vertical="center" wrapText="1"/>
    </xf>
    <xf numFmtId="165" fontId="86" fillId="0" borderId="40" xfId="0" applyNumberFormat="1" applyFont="1" applyBorder="1" applyAlignment="1">
      <alignment horizontal="center" vertical="center" wrapText="1"/>
    </xf>
    <xf numFmtId="165" fontId="86" fillId="16" borderId="39" xfId="0" applyNumberFormat="1" applyFont="1" applyFill="1" applyBorder="1" applyAlignment="1">
      <alignment horizontal="center"/>
    </xf>
    <xf numFmtId="165" fontId="86" fillId="16" borderId="40" xfId="0" applyNumberFormat="1" applyFont="1" applyFill="1" applyBorder="1" applyAlignment="1">
      <alignment horizontal="center"/>
    </xf>
    <xf numFmtId="165" fontId="87" fillId="12" borderId="39" xfId="0" applyNumberFormat="1" applyFont="1" applyFill="1" applyBorder="1" applyAlignment="1">
      <alignment horizontal="center" vertical="center"/>
    </xf>
    <xf numFmtId="165" fontId="87" fillId="12" borderId="40" xfId="0" applyNumberFormat="1" applyFont="1" applyFill="1" applyBorder="1" applyAlignment="1">
      <alignment horizontal="center" vertical="center"/>
    </xf>
    <xf numFmtId="165" fontId="86" fillId="0" borderId="41" xfId="0" applyNumberFormat="1" applyFont="1" applyBorder="1" applyAlignment="1">
      <alignment horizontal="center" vertical="center"/>
    </xf>
    <xf numFmtId="165" fontId="86" fillId="0" borderId="42" xfId="0" applyNumberFormat="1" applyFont="1" applyBorder="1" applyAlignment="1">
      <alignment horizontal="center" vertical="center"/>
    </xf>
    <xf numFmtId="0" fontId="85" fillId="16" borderId="58" xfId="0" applyFont="1" applyFill="1" applyBorder="1"/>
    <xf numFmtId="0" fontId="85" fillId="16" borderId="58" xfId="0" applyFont="1" applyFill="1" applyBorder="1" applyAlignment="1">
      <alignment horizontal="left" vertical="center"/>
    </xf>
    <xf numFmtId="0" fontId="86" fillId="0" borderId="58" xfId="0" applyFont="1" applyBorder="1" applyAlignment="1">
      <alignment horizontal="left" vertical="center"/>
    </xf>
    <xf numFmtId="0" fontId="85" fillId="12" borderId="58" xfId="0" applyFont="1" applyFill="1" applyBorder="1"/>
    <xf numFmtId="0" fontId="86" fillId="0" borderId="58" xfId="0" applyFont="1" applyBorder="1" applyAlignment="1">
      <alignment horizontal="left" vertical="center" wrapText="1"/>
    </xf>
    <xf numFmtId="0" fontId="85" fillId="12" borderId="58" xfId="0" applyFont="1" applyFill="1" applyBorder="1" applyAlignment="1">
      <alignment vertical="center"/>
    </xf>
    <xf numFmtId="0" fontId="87" fillId="0" borderId="58" xfId="0" applyFont="1" applyBorder="1" applyAlignment="1">
      <alignment horizontal="left" vertical="center" wrapText="1"/>
    </xf>
    <xf numFmtId="0" fontId="86" fillId="0" borderId="59" xfId="0" applyFont="1" applyBorder="1" applyAlignment="1">
      <alignment horizontal="left" vertical="center"/>
    </xf>
    <xf numFmtId="167" fontId="82" fillId="0" borderId="13" xfId="4" applyNumberFormat="1" applyFont="1" applyFill="1" applyBorder="1" applyAlignment="1">
      <alignment horizontal="center" vertical="top" wrapText="1"/>
    </xf>
    <xf numFmtId="167" fontId="82" fillId="5" borderId="14" xfId="4" applyNumberFormat="1" applyFont="1" applyFill="1" applyBorder="1" applyAlignment="1">
      <alignment horizontal="center" vertical="top" wrapText="1"/>
    </xf>
    <xf numFmtId="167" fontId="82" fillId="6" borderId="14" xfId="4" applyNumberFormat="1" applyFont="1" applyFill="1" applyBorder="1" applyAlignment="1">
      <alignment horizontal="center" vertical="top" wrapText="1"/>
    </xf>
    <xf numFmtId="167" fontId="82" fillId="5" borderId="22" xfId="4" applyNumberFormat="1" applyFont="1" applyFill="1" applyBorder="1" applyAlignment="1">
      <alignment horizontal="center" vertical="top" wrapText="1"/>
    </xf>
    <xf numFmtId="14" fontId="94" fillId="5" borderId="1" xfId="0" applyNumberFormat="1" applyFont="1" applyFill="1" applyBorder="1" applyAlignment="1">
      <alignment horizontal="right" vertical="center" wrapText="1"/>
    </xf>
    <xf numFmtId="14" fontId="10" fillId="5" borderId="1" xfId="0" applyNumberFormat="1" applyFont="1" applyFill="1" applyBorder="1" applyAlignment="1">
      <alignment horizontal="right" vertical="center" wrapText="1"/>
    </xf>
    <xf numFmtId="14" fontId="9" fillId="5" borderId="1" xfId="0" applyNumberFormat="1" applyFont="1" applyFill="1" applyBorder="1" applyAlignment="1">
      <alignment horizontal="right" vertical="center" wrapText="1"/>
    </xf>
    <xf numFmtId="0" fontId="0" fillId="5" borderId="39" xfId="0" applyFill="1" applyBorder="1" applyAlignment="1">
      <alignment vertical="center" wrapText="1"/>
    </xf>
    <xf numFmtId="14" fontId="8" fillId="5" borderId="1" xfId="0" applyNumberFormat="1" applyFont="1" applyFill="1" applyBorder="1" applyAlignment="1">
      <alignment horizontal="right" vertical="center" wrapText="1"/>
    </xf>
    <xf numFmtId="14" fontId="7" fillId="5" borderId="1" xfId="0" applyNumberFormat="1" applyFont="1" applyFill="1" applyBorder="1" applyAlignment="1">
      <alignment horizontal="right" vertical="center" wrapText="1"/>
    </xf>
    <xf numFmtId="0" fontId="38" fillId="5" borderId="38" xfId="0" applyFont="1" applyFill="1" applyBorder="1" applyAlignment="1">
      <alignment horizontal="left" vertical="center" wrapText="1"/>
    </xf>
    <xf numFmtId="14" fontId="37" fillId="5" borderId="1" xfId="0" applyNumberFormat="1" applyFont="1" applyFill="1" applyBorder="1" applyAlignment="1">
      <alignment horizontal="center" vertical="center" wrapText="1"/>
    </xf>
    <xf numFmtId="0" fontId="96" fillId="5" borderId="39" xfId="0" applyFont="1" applyFill="1" applyBorder="1" applyAlignment="1">
      <alignment vertical="center" wrapText="1"/>
    </xf>
    <xf numFmtId="164" fontId="38" fillId="0" borderId="0" xfId="0" applyNumberFormat="1" applyFont="1" applyAlignment="1">
      <alignment vertical="top"/>
    </xf>
    <xf numFmtId="170" fontId="38" fillId="0" borderId="0" xfId="0" applyNumberFormat="1" applyFont="1" applyAlignment="1">
      <alignment vertical="top"/>
    </xf>
    <xf numFmtId="164" fontId="49" fillId="4" borderId="1" xfId="0" applyNumberFormat="1" applyFont="1" applyFill="1" applyBorder="1" applyAlignment="1">
      <alignment horizontal="center" vertical="center" wrapText="1"/>
    </xf>
    <xf numFmtId="164" fontId="49" fillId="0" borderId="37" xfId="0" applyNumberFormat="1" applyFont="1" applyBorder="1" applyAlignment="1">
      <alignment horizontal="center" vertical="center" wrapText="1"/>
    </xf>
    <xf numFmtId="164" fontId="49" fillId="14" borderId="37" xfId="0" applyNumberFormat="1" applyFont="1" applyFill="1" applyBorder="1" applyAlignment="1">
      <alignment horizontal="center" vertical="center" wrapText="1"/>
    </xf>
    <xf numFmtId="164" fontId="49" fillId="14" borderId="52" xfId="0" applyNumberFormat="1" applyFont="1" applyFill="1" applyBorder="1" applyAlignment="1">
      <alignment horizontal="center" vertical="center"/>
    </xf>
    <xf numFmtId="164" fontId="40" fillId="14" borderId="52" xfId="0" applyNumberFormat="1" applyFont="1" applyFill="1" applyBorder="1" applyAlignment="1">
      <alignment horizontal="center" vertical="center"/>
    </xf>
    <xf numFmtId="164" fontId="49" fillId="14" borderId="60" xfId="0" applyNumberFormat="1" applyFont="1" applyFill="1" applyBorder="1" applyAlignment="1">
      <alignment horizontal="center" vertical="center" wrapText="1"/>
    </xf>
    <xf numFmtId="165" fontId="37" fillId="0" borderId="52" xfId="0" applyNumberFormat="1" applyFont="1" applyBorder="1" applyAlignment="1">
      <alignment horizontal="right" vertical="center"/>
    </xf>
    <xf numFmtId="164" fontId="49" fillId="0" borderId="52" xfId="0" applyNumberFormat="1" applyFont="1" applyBorder="1" applyAlignment="1">
      <alignment horizontal="center" vertical="center" wrapText="1"/>
    </xf>
    <xf numFmtId="164" fontId="49" fillId="14" borderId="61" xfId="0" applyNumberFormat="1" applyFont="1" applyFill="1" applyBorder="1" applyAlignment="1">
      <alignment horizontal="center" vertical="center" wrapText="1"/>
    </xf>
    <xf numFmtId="164" fontId="49" fillId="2" borderId="47" xfId="0" applyNumberFormat="1" applyFont="1" applyFill="1" applyBorder="1" applyAlignment="1">
      <alignment horizontal="center" vertical="center" wrapText="1"/>
    </xf>
    <xf numFmtId="164" fontId="49" fillId="2" borderId="18" xfId="0" applyNumberFormat="1" applyFont="1" applyFill="1" applyBorder="1" applyAlignment="1">
      <alignment horizontal="center" vertical="center" wrapText="1"/>
    </xf>
    <xf numFmtId="164" fontId="49" fillId="7" borderId="18" xfId="0" applyNumberFormat="1" applyFont="1" applyFill="1" applyBorder="1" applyAlignment="1">
      <alignment horizontal="center" vertical="center" wrapText="1"/>
    </xf>
    <xf numFmtId="14" fontId="6" fillId="5" borderId="1" xfId="0" applyNumberFormat="1" applyFont="1" applyFill="1" applyBorder="1" applyAlignment="1">
      <alignment horizontal="right" vertical="center" wrapText="1"/>
    </xf>
    <xf numFmtId="0" fontId="44" fillId="5" borderId="0" xfId="2" applyFill="1" applyAlignment="1">
      <alignment wrapText="1"/>
    </xf>
    <xf numFmtId="165" fontId="0" fillId="0" borderId="0" xfId="0" applyNumberFormat="1"/>
    <xf numFmtId="3" fontId="84" fillId="17" borderId="26" xfId="0" applyNumberFormat="1" applyFont="1" applyFill="1" applyBorder="1" applyAlignment="1">
      <alignment horizontal="center" vertical="top" wrapText="1"/>
    </xf>
    <xf numFmtId="3" fontId="0" fillId="5" borderId="39" xfId="0" applyNumberFormat="1" applyFill="1" applyBorder="1" applyAlignment="1">
      <alignment horizontal="left" vertical="center" wrapText="1"/>
    </xf>
    <xf numFmtId="167" fontId="49" fillId="18" borderId="5" xfId="4" applyNumberFormat="1" applyFont="1" applyFill="1" applyBorder="1" applyAlignment="1">
      <alignment horizontal="center" vertical="center" wrapText="1"/>
    </xf>
    <xf numFmtId="167" fontId="80" fillId="18" borderId="1" xfId="4" applyNumberFormat="1" applyFont="1" applyFill="1" applyBorder="1" applyAlignment="1">
      <alignment horizontal="center" vertical="center" wrapText="1"/>
    </xf>
    <xf numFmtId="167" fontId="49" fillId="18" borderId="1" xfId="4" applyNumberFormat="1" applyFont="1" applyFill="1" applyBorder="1" applyAlignment="1">
      <alignment horizontal="center" vertical="center" wrapText="1"/>
    </xf>
    <xf numFmtId="14" fontId="0" fillId="5" borderId="1" xfId="0" applyNumberFormat="1" applyFill="1" applyBorder="1" applyAlignment="1">
      <alignment horizontal="center" vertical="center" wrapText="1"/>
    </xf>
    <xf numFmtId="14" fontId="44" fillId="5" borderId="1" xfId="2" applyNumberFormat="1" applyFill="1" applyBorder="1" applyAlignment="1">
      <alignment horizontal="left" vertical="center" wrapText="1"/>
    </xf>
    <xf numFmtId="164" fontId="49" fillId="6" borderId="4" xfId="0" applyNumberFormat="1" applyFont="1" applyFill="1" applyBorder="1" applyAlignment="1">
      <alignment horizontal="center" vertical="center" wrapText="1"/>
    </xf>
    <xf numFmtId="164" fontId="49" fillId="9" borderId="5" xfId="0" applyNumberFormat="1" applyFont="1" applyFill="1" applyBorder="1" applyAlignment="1">
      <alignment horizontal="center" vertical="center" wrapText="1"/>
    </xf>
    <xf numFmtId="164" fontId="49" fillId="9" borderId="1" xfId="0" applyNumberFormat="1" applyFont="1" applyFill="1" applyBorder="1" applyAlignment="1">
      <alignment horizontal="center" vertical="center"/>
    </xf>
    <xf numFmtId="164" fontId="40" fillId="9" borderId="1" xfId="0" applyNumberFormat="1" applyFont="1" applyFill="1" applyBorder="1" applyAlignment="1">
      <alignment horizontal="center" vertical="center"/>
    </xf>
    <xf numFmtId="0" fontId="38" fillId="5" borderId="39" xfId="0" applyFont="1" applyFill="1" applyBorder="1" applyAlignment="1">
      <alignment horizontal="center" vertical="center"/>
    </xf>
    <xf numFmtId="0" fontId="0" fillId="5" borderId="39" xfId="0" applyFill="1" applyBorder="1" applyAlignment="1">
      <alignment horizontal="center" vertical="center"/>
    </xf>
    <xf numFmtId="165" fontId="82" fillId="5" borderId="65" xfId="0" applyNumberFormat="1" applyFont="1" applyFill="1" applyBorder="1" applyAlignment="1">
      <alignment horizontal="center" vertical="top" wrapText="1"/>
    </xf>
    <xf numFmtId="167" fontId="83" fillId="5" borderId="66" xfId="4" applyNumberFormat="1" applyFont="1" applyFill="1" applyBorder="1" applyAlignment="1">
      <alignment horizontal="center" vertical="top" wrapText="1"/>
    </xf>
    <xf numFmtId="0" fontId="82" fillId="5" borderId="10" xfId="0" applyFont="1" applyFill="1" applyBorder="1" applyAlignment="1">
      <alignment vertical="top" wrapText="1"/>
    </xf>
    <xf numFmtId="0" fontId="83" fillId="5" borderId="10" xfId="0" applyFont="1" applyFill="1" applyBorder="1" applyAlignment="1">
      <alignment vertical="top" wrapText="1"/>
    </xf>
    <xf numFmtId="0" fontId="41" fillId="14" borderId="10" xfId="0" applyFont="1" applyFill="1" applyBorder="1" applyAlignment="1">
      <alignment vertical="top"/>
    </xf>
    <xf numFmtId="0" fontId="33" fillId="14" borderId="10" xfId="0" applyFont="1" applyFill="1" applyBorder="1" applyAlignment="1">
      <alignment horizontal="left" vertical="center" wrapText="1"/>
    </xf>
    <xf numFmtId="0" fontId="33" fillId="5" borderId="10" xfId="0" applyFont="1" applyFill="1" applyBorder="1" applyAlignment="1">
      <alignment horizontal="left" vertical="center" wrapText="1"/>
    </xf>
    <xf numFmtId="0" fontId="48" fillId="5" borderId="10" xfId="0" applyFont="1" applyFill="1" applyBorder="1" applyAlignment="1">
      <alignment horizontal="left" vertical="center" wrapText="1"/>
    </xf>
    <xf numFmtId="0" fontId="48" fillId="14" borderId="10" xfId="0" applyFont="1" applyFill="1" applyBorder="1" applyAlignment="1">
      <alignment horizontal="left" vertical="center" wrapText="1"/>
    </xf>
    <xf numFmtId="0" fontId="48" fillId="5" borderId="8" xfId="0" applyFont="1" applyFill="1" applyBorder="1" applyAlignment="1">
      <alignment horizontal="left" vertical="center" wrapText="1"/>
    </xf>
    <xf numFmtId="0" fontId="47" fillId="14" borderId="10" xfId="0" applyFont="1" applyFill="1" applyBorder="1" applyAlignment="1">
      <alignment vertical="top"/>
    </xf>
    <xf numFmtId="0" fontId="53" fillId="5" borderId="10" xfId="0" applyFont="1" applyFill="1" applyBorder="1" applyAlignment="1">
      <alignment vertical="center" wrapText="1"/>
    </xf>
    <xf numFmtId="0" fontId="53" fillId="5" borderId="10" xfId="0" applyFont="1" applyFill="1" applyBorder="1" applyAlignment="1">
      <alignment horizontal="left" vertical="center" wrapText="1"/>
    </xf>
    <xf numFmtId="0" fontId="48" fillId="5" borderId="10" xfId="0" applyFont="1" applyFill="1" applyBorder="1" applyAlignment="1">
      <alignment horizontal="center" vertical="center" wrapText="1"/>
    </xf>
    <xf numFmtId="0" fontId="53" fillId="5" borderId="10" xfId="0" applyFont="1" applyFill="1" applyBorder="1" applyAlignment="1">
      <alignment horizontal="center" vertical="center" wrapText="1"/>
    </xf>
    <xf numFmtId="0" fontId="48" fillId="5" borderId="10" xfId="0" applyFont="1" applyFill="1" applyBorder="1" applyAlignment="1">
      <alignment vertical="center" wrapText="1"/>
    </xf>
    <xf numFmtId="0" fontId="33" fillId="2" borderId="8" xfId="0" applyFont="1" applyFill="1" applyBorder="1" applyAlignment="1">
      <alignment vertical="center" wrapText="1"/>
    </xf>
    <xf numFmtId="0" fontId="33" fillId="5" borderId="10" xfId="0" applyFont="1" applyFill="1" applyBorder="1" applyAlignment="1">
      <alignment vertical="center" wrapText="1"/>
    </xf>
    <xf numFmtId="0" fontId="48" fillId="5" borderId="11" xfId="0" applyFont="1" applyFill="1" applyBorder="1" applyAlignment="1">
      <alignment vertical="center" wrapText="1"/>
    </xf>
    <xf numFmtId="0" fontId="47" fillId="14" borderId="67" xfId="0" applyFont="1" applyFill="1" applyBorder="1" applyAlignment="1">
      <alignment vertical="top"/>
    </xf>
    <xf numFmtId="0" fontId="49" fillId="2" borderId="38" xfId="0" applyFont="1" applyFill="1" applyBorder="1" applyAlignment="1">
      <alignment vertical="top"/>
    </xf>
    <xf numFmtId="0" fontId="40" fillId="14" borderId="40" xfId="0" applyFont="1" applyFill="1" applyBorder="1" applyAlignment="1">
      <alignment horizontal="left" vertical="top"/>
    </xf>
    <xf numFmtId="0" fontId="38" fillId="5" borderId="40" xfId="0" applyFont="1" applyFill="1" applyBorder="1" applyAlignment="1">
      <alignment horizontal="center" vertical="center"/>
    </xf>
    <xf numFmtId="0" fontId="0" fillId="5" borderId="40" xfId="0" applyFill="1" applyBorder="1" applyAlignment="1">
      <alignment horizontal="center" vertical="center"/>
    </xf>
    <xf numFmtId="0" fontId="0" fillId="5" borderId="38" xfId="0" applyFill="1" applyBorder="1" applyAlignment="1">
      <alignment horizontal="center" vertical="center"/>
    </xf>
    <xf numFmtId="0" fontId="49" fillId="14" borderId="40" xfId="0" applyFont="1" applyFill="1" applyBorder="1" applyAlignment="1">
      <alignment vertical="top"/>
    </xf>
    <xf numFmtId="0" fontId="38" fillId="5" borderId="38" xfId="0" applyFont="1" applyFill="1" applyBorder="1" applyAlignment="1">
      <alignment horizontal="center" vertical="center"/>
    </xf>
    <xf numFmtId="0" fontId="49" fillId="2" borderId="38" xfId="0" applyFont="1" applyFill="1" applyBorder="1" applyAlignment="1">
      <alignment vertical="center"/>
    </xf>
    <xf numFmtId="0" fontId="49" fillId="14" borderId="40" xfId="0" applyFont="1" applyFill="1" applyBorder="1" applyAlignment="1">
      <alignment wrapText="1"/>
    </xf>
    <xf numFmtId="0" fontId="49" fillId="14" borderId="40" xfId="0" applyFont="1" applyFill="1" applyBorder="1" applyAlignment="1">
      <alignment vertical="top" wrapText="1"/>
    </xf>
    <xf numFmtId="0" fontId="0" fillId="5" borderId="49" xfId="0" applyFill="1" applyBorder="1" applyAlignment="1">
      <alignment horizontal="center" vertical="center"/>
    </xf>
    <xf numFmtId="0" fontId="0" fillId="5" borderId="40" xfId="0" applyFill="1" applyBorder="1" applyAlignment="1">
      <alignment horizontal="center" vertical="center" wrapText="1"/>
    </xf>
    <xf numFmtId="0" fontId="49" fillId="14" borderId="42" xfId="0" applyFont="1" applyFill="1" applyBorder="1" applyAlignment="1">
      <alignment vertical="top" wrapText="1"/>
    </xf>
    <xf numFmtId="0" fontId="44" fillId="14" borderId="40" xfId="2" applyFill="1" applyBorder="1" applyAlignment="1">
      <alignment vertical="top"/>
    </xf>
    <xf numFmtId="164" fontId="63" fillId="5" borderId="39" xfId="0" applyNumberFormat="1" applyFont="1" applyFill="1" applyBorder="1" applyAlignment="1">
      <alignment horizontal="right" vertical="center"/>
    </xf>
    <xf numFmtId="164" fontId="37" fillId="5" borderId="10" xfId="0" applyNumberFormat="1" applyFont="1" applyFill="1" applyBorder="1" applyAlignment="1">
      <alignment horizontal="center" vertical="center"/>
    </xf>
    <xf numFmtId="14" fontId="5" fillId="5" borderId="1" xfId="0" applyNumberFormat="1" applyFont="1" applyFill="1" applyBorder="1" applyAlignment="1">
      <alignment horizontal="right" vertical="center" wrapText="1"/>
    </xf>
    <xf numFmtId="0" fontId="4" fillId="5" borderId="39" xfId="0" applyFont="1" applyFill="1" applyBorder="1" applyAlignment="1">
      <alignment vertical="center" wrapText="1"/>
    </xf>
    <xf numFmtId="0" fontId="37" fillId="8" borderId="39" xfId="0" applyFont="1" applyFill="1" applyBorder="1" applyAlignment="1">
      <alignment vertical="center" wrapText="1"/>
    </xf>
    <xf numFmtId="167" fontId="37" fillId="0" borderId="45" xfId="4" applyNumberFormat="1" applyFont="1" applyFill="1" applyBorder="1" applyAlignment="1">
      <alignment horizontal="right" vertical="center"/>
    </xf>
    <xf numFmtId="0" fontId="75" fillId="0" borderId="0" xfId="0" applyFont="1" applyAlignment="1">
      <alignment horizontal="center"/>
    </xf>
    <xf numFmtId="167" fontId="75" fillId="0" borderId="0" xfId="4" applyNumberFormat="1" applyFont="1" applyFill="1" applyAlignment="1">
      <alignment horizontal="center"/>
    </xf>
    <xf numFmtId="165" fontId="75" fillId="0" borderId="0" xfId="0" applyNumberFormat="1" applyFont="1" applyAlignment="1">
      <alignment horizontal="center"/>
    </xf>
    <xf numFmtId="4" fontId="75" fillId="0" borderId="0" xfId="0" applyNumberFormat="1" applyFont="1" applyAlignment="1">
      <alignment horizontal="center"/>
    </xf>
    <xf numFmtId="0" fontId="75" fillId="0" borderId="0" xfId="0" applyFont="1"/>
    <xf numFmtId="169" fontId="75" fillId="0" borderId="0" xfId="0" applyNumberFormat="1" applyFont="1"/>
    <xf numFmtId="0" fontId="97" fillId="0" borderId="0" xfId="0" applyFont="1"/>
    <xf numFmtId="165" fontId="97" fillId="0" borderId="0" xfId="0" applyNumberFormat="1" applyFont="1" applyAlignment="1">
      <alignment horizontal="center"/>
    </xf>
    <xf numFmtId="166" fontId="97" fillId="0" borderId="0" xfId="0" applyNumberFormat="1" applyFont="1" applyAlignment="1">
      <alignment horizontal="center"/>
    </xf>
    <xf numFmtId="0" fontId="97" fillId="0" borderId="0" xfId="0" applyFont="1" applyAlignment="1">
      <alignment horizontal="center"/>
    </xf>
    <xf numFmtId="164" fontId="37" fillId="8" borderId="1" xfId="0" applyNumberFormat="1" applyFont="1" applyFill="1" applyBorder="1" applyAlignment="1">
      <alignment horizontal="right" vertical="center"/>
    </xf>
    <xf numFmtId="165" fontId="82" fillId="9" borderId="16" xfId="0" applyNumberFormat="1" applyFont="1" applyFill="1" applyBorder="1" applyAlignment="1">
      <alignment horizontal="center" vertical="top" wrapText="1"/>
    </xf>
    <xf numFmtId="167" fontId="83" fillId="9" borderId="31" xfId="4" applyNumberFormat="1" applyFont="1" applyFill="1" applyBorder="1" applyAlignment="1">
      <alignment horizontal="center" vertical="top" wrapText="1"/>
    </xf>
    <xf numFmtId="164" fontId="49" fillId="19" borderId="1" xfId="0" applyNumberFormat="1" applyFont="1" applyFill="1" applyBorder="1" applyAlignment="1">
      <alignment horizontal="center" vertical="center" wrapText="1"/>
    </xf>
    <xf numFmtId="164" fontId="37" fillId="9" borderId="27" xfId="0" applyNumberFormat="1" applyFont="1" applyFill="1" applyBorder="1" applyAlignment="1">
      <alignment horizontal="right" vertical="center"/>
    </xf>
    <xf numFmtId="3" fontId="84" fillId="20" borderId="26" xfId="0" applyNumberFormat="1" applyFont="1" applyFill="1" applyBorder="1" applyAlignment="1">
      <alignment horizontal="center" vertical="top" wrapText="1"/>
    </xf>
    <xf numFmtId="3" fontId="84" fillId="20" borderId="28" xfId="0" applyNumberFormat="1" applyFont="1" applyFill="1" applyBorder="1" applyAlignment="1">
      <alignment horizontal="center" vertical="top" wrapText="1"/>
    </xf>
    <xf numFmtId="14" fontId="86" fillId="0" borderId="0" xfId="0" applyNumberFormat="1" applyFont="1"/>
    <xf numFmtId="0" fontId="86" fillId="0" borderId="0" xfId="0" applyFont="1" applyAlignment="1">
      <alignment horizontal="right"/>
    </xf>
    <xf numFmtId="0" fontId="87" fillId="0" borderId="0" xfId="0" applyFont="1" applyAlignment="1">
      <alignment horizontal="center"/>
    </xf>
    <xf numFmtId="0" fontId="88" fillId="0" borderId="0" xfId="0" applyFont="1"/>
    <xf numFmtId="0" fontId="85" fillId="16" borderId="74" xfId="0" applyFont="1" applyFill="1" applyBorder="1" applyAlignment="1">
      <alignment horizontal="center" vertical="center"/>
    </xf>
    <xf numFmtId="0" fontId="85" fillId="16" borderId="7" xfId="0" applyFont="1" applyFill="1" applyBorder="1" applyAlignment="1">
      <alignment horizontal="center" vertical="center" wrapText="1"/>
    </xf>
    <xf numFmtId="0" fontId="85" fillId="16" borderId="29" xfId="0" applyFont="1" applyFill="1" applyBorder="1" applyAlignment="1">
      <alignment horizontal="center" vertical="center" wrapText="1"/>
    </xf>
    <xf numFmtId="0" fontId="85" fillId="16" borderId="74" xfId="0" applyFont="1" applyFill="1" applyBorder="1" applyAlignment="1">
      <alignment horizontal="center" vertical="center" wrapText="1"/>
    </xf>
    <xf numFmtId="0" fontId="85" fillId="16" borderId="36" xfId="0" applyFont="1" applyFill="1" applyBorder="1" applyAlignment="1">
      <alignment horizontal="center" vertical="center" wrapText="1"/>
    </xf>
    <xf numFmtId="0" fontId="85" fillId="16" borderId="52" xfId="0" applyFont="1" applyFill="1" applyBorder="1"/>
    <xf numFmtId="3" fontId="86" fillId="16" borderId="43" xfId="0" applyNumberFormat="1" applyFont="1" applyFill="1" applyBorder="1" applyAlignment="1">
      <alignment horizontal="center"/>
    </xf>
    <xf numFmtId="3" fontId="86" fillId="16" borderId="39" xfId="0" applyNumberFormat="1" applyFont="1" applyFill="1" applyBorder="1" applyAlignment="1">
      <alignment horizontal="center"/>
    </xf>
    <xf numFmtId="3" fontId="86" fillId="16" borderId="55" xfId="0" applyNumberFormat="1" applyFont="1" applyFill="1" applyBorder="1" applyAlignment="1">
      <alignment horizontal="center"/>
    </xf>
    <xf numFmtId="3" fontId="86" fillId="16" borderId="5" xfId="0" applyNumberFormat="1" applyFont="1" applyFill="1" applyBorder="1" applyAlignment="1">
      <alignment horizontal="center"/>
    </xf>
    <xf numFmtId="0" fontId="86" fillId="16" borderId="53" xfId="0" applyFont="1" applyFill="1" applyBorder="1"/>
    <xf numFmtId="0" fontId="85" fillId="0" borderId="52" xfId="0" applyFont="1" applyBorder="1" applyAlignment="1">
      <alignment horizontal="left" vertical="center"/>
    </xf>
    <xf numFmtId="165" fontId="86" fillId="16" borderId="39" xfId="0" applyNumberFormat="1" applyFont="1" applyFill="1" applyBorder="1" applyAlignment="1">
      <alignment horizontal="center" wrapText="1"/>
    </xf>
    <xf numFmtId="165" fontId="86" fillId="16" borderId="2" xfId="0" applyNumberFormat="1" applyFont="1" applyFill="1" applyBorder="1" applyAlignment="1">
      <alignment horizontal="center" wrapText="1"/>
    </xf>
    <xf numFmtId="165" fontId="86" fillId="16" borderId="52" xfId="0" applyNumberFormat="1" applyFont="1" applyFill="1" applyBorder="1" applyAlignment="1">
      <alignment horizontal="center" wrapText="1"/>
    </xf>
    <xf numFmtId="165" fontId="86" fillId="16" borderId="1" xfId="0" applyNumberFormat="1" applyFont="1" applyFill="1" applyBorder="1" applyAlignment="1">
      <alignment horizontal="center" wrapText="1"/>
    </xf>
    <xf numFmtId="0" fontId="86" fillId="16" borderId="40" xfId="0" applyFont="1" applyFill="1" applyBorder="1"/>
    <xf numFmtId="0" fontId="86" fillId="0" borderId="52" xfId="0" applyFont="1" applyBorder="1" applyAlignment="1">
      <alignment horizontal="left" vertical="center"/>
    </xf>
    <xf numFmtId="3" fontId="86" fillId="0" borderId="2" xfId="0" applyNumberFormat="1" applyFont="1" applyBorder="1" applyAlignment="1">
      <alignment horizontal="center" wrapText="1"/>
    </xf>
    <xf numFmtId="3" fontId="86" fillId="22" borderId="2" xfId="0" applyNumberFormat="1" applyFont="1" applyFill="1" applyBorder="1" applyAlignment="1">
      <alignment horizontal="center" wrapText="1"/>
    </xf>
    <xf numFmtId="3" fontId="86" fillId="0" borderId="52" xfId="0" applyNumberFormat="1" applyFont="1" applyBorder="1" applyAlignment="1">
      <alignment horizontal="center" wrapText="1"/>
    </xf>
    <xf numFmtId="3" fontId="86" fillId="0" borderId="1" xfId="0" applyNumberFormat="1" applyFont="1" applyBorder="1" applyAlignment="1">
      <alignment horizontal="center" wrapText="1"/>
    </xf>
    <xf numFmtId="0" fontId="86" fillId="0" borderId="40" xfId="0" applyFont="1" applyBorder="1"/>
    <xf numFmtId="0" fontId="85" fillId="12" borderId="52" xfId="0" applyFont="1" applyFill="1" applyBorder="1"/>
    <xf numFmtId="3" fontId="86" fillId="12" borderId="39" xfId="0" applyNumberFormat="1" applyFont="1" applyFill="1" applyBorder="1" applyAlignment="1">
      <alignment horizontal="center"/>
    </xf>
    <xf numFmtId="3" fontId="86" fillId="12" borderId="2" xfId="0" applyNumberFormat="1" applyFont="1" applyFill="1" applyBorder="1" applyAlignment="1">
      <alignment horizontal="center"/>
    </xf>
    <xf numFmtId="164" fontId="86" fillId="12" borderId="1" xfId="0" applyNumberFormat="1" applyFont="1" applyFill="1" applyBorder="1" applyAlignment="1">
      <alignment horizontal="center"/>
    </xf>
    <xf numFmtId="0" fontId="86" fillId="12" borderId="40" xfId="0" applyFont="1" applyFill="1" applyBorder="1"/>
    <xf numFmtId="0" fontId="86" fillId="0" borderId="52" xfId="0" applyFont="1" applyBorder="1" applyAlignment="1">
      <alignment horizontal="left" vertical="center" wrapText="1"/>
    </xf>
    <xf numFmtId="3" fontId="86" fillId="0" borderId="39" xfId="0" applyNumberFormat="1" applyFont="1" applyBorder="1" applyAlignment="1">
      <alignment horizontal="center" vertical="center"/>
    </xf>
    <xf numFmtId="0" fontId="100" fillId="0" borderId="2" xfId="0" applyFont="1" applyBorder="1" applyAlignment="1">
      <alignment horizontal="left" vertical="center" wrapText="1"/>
    </xf>
    <xf numFmtId="164" fontId="86" fillId="0" borderId="1" xfId="0" applyNumberFormat="1" applyFont="1" applyBorder="1" applyAlignment="1">
      <alignment horizontal="center" vertical="center"/>
    </xf>
    <xf numFmtId="0" fontId="86" fillId="0" borderId="40" xfId="0" applyFont="1" applyBorder="1" applyAlignment="1">
      <alignment horizontal="center" wrapText="1"/>
    </xf>
    <xf numFmtId="0" fontId="86" fillId="0" borderId="1" xfId="0" applyFont="1" applyBorder="1" applyAlignment="1">
      <alignment horizontal="center"/>
    </xf>
    <xf numFmtId="3" fontId="101" fillId="0" borderId="2" xfId="0" applyNumberFormat="1" applyFont="1" applyBorder="1" applyAlignment="1">
      <alignment horizontal="left" vertical="center"/>
    </xf>
    <xf numFmtId="0" fontId="85" fillId="12" borderId="52" xfId="0" applyFont="1" applyFill="1" applyBorder="1" applyAlignment="1">
      <alignment vertical="center"/>
    </xf>
    <xf numFmtId="3" fontId="86" fillId="12" borderId="39" xfId="0" applyNumberFormat="1" applyFont="1" applyFill="1" applyBorder="1" applyAlignment="1">
      <alignment horizontal="center" vertical="center"/>
    </xf>
    <xf numFmtId="3" fontId="101" fillId="12" borderId="2" xfId="0" applyNumberFormat="1" applyFont="1" applyFill="1" applyBorder="1" applyAlignment="1">
      <alignment horizontal="left" vertical="center"/>
    </xf>
    <xf numFmtId="164" fontId="87" fillId="12" borderId="1" xfId="0" applyNumberFormat="1" applyFont="1" applyFill="1" applyBorder="1" applyAlignment="1">
      <alignment horizontal="center"/>
    </xf>
    <xf numFmtId="0" fontId="86" fillId="0" borderId="1" xfId="0" applyFont="1" applyBorder="1" applyAlignment="1">
      <alignment horizontal="center" vertical="center"/>
    </xf>
    <xf numFmtId="0" fontId="87" fillId="0" borderId="52" xfId="0" applyFont="1" applyBorder="1" applyAlignment="1">
      <alignment horizontal="left" vertical="center" wrapText="1"/>
    </xf>
    <xf numFmtId="3" fontId="101" fillId="0" borderId="2" xfId="0" applyNumberFormat="1" applyFont="1" applyBorder="1" applyAlignment="1">
      <alignment horizontal="left" vertical="center" wrapText="1"/>
    </xf>
    <xf numFmtId="0" fontId="86" fillId="0" borderId="40" xfId="0" applyFont="1" applyBorder="1" applyAlignment="1">
      <alignment horizontal="center" vertical="center" wrapText="1"/>
    </xf>
    <xf numFmtId="0" fontId="87" fillId="0" borderId="1" xfId="0" applyFont="1" applyBorder="1" applyAlignment="1">
      <alignment horizontal="center" vertical="center"/>
    </xf>
    <xf numFmtId="164" fontId="87" fillId="0" borderId="1" xfId="0" applyNumberFormat="1" applyFont="1" applyBorder="1" applyAlignment="1">
      <alignment horizontal="center" vertical="center"/>
    </xf>
    <xf numFmtId="0" fontId="86" fillId="0" borderId="40" xfId="0" applyFont="1" applyBorder="1" applyAlignment="1">
      <alignment horizontal="center" vertical="center"/>
    </xf>
    <xf numFmtId="1" fontId="87" fillId="0" borderId="1" xfId="0" applyNumberFormat="1" applyFont="1" applyBorder="1" applyAlignment="1">
      <alignment horizontal="center" vertical="center"/>
    </xf>
    <xf numFmtId="0" fontId="87" fillId="0" borderId="40" xfId="0" applyFont="1" applyBorder="1" applyAlignment="1">
      <alignment horizontal="center" vertical="center"/>
    </xf>
    <xf numFmtId="1" fontId="86" fillId="12" borderId="39" xfId="0" applyNumberFormat="1" applyFont="1" applyFill="1" applyBorder="1" applyAlignment="1">
      <alignment horizontal="center" vertical="center"/>
    </xf>
    <xf numFmtId="0" fontId="103" fillId="0" borderId="0" xfId="0" applyFont="1" applyAlignment="1">
      <alignment vertical="center"/>
    </xf>
    <xf numFmtId="3" fontId="87" fillId="12" borderId="39" xfId="0" applyNumberFormat="1" applyFont="1" applyFill="1" applyBorder="1" applyAlignment="1">
      <alignment horizontal="center" vertical="center"/>
    </xf>
    <xf numFmtId="3" fontId="86" fillId="0" borderId="2" xfId="0" applyNumberFormat="1" applyFont="1" applyBorder="1" applyAlignment="1">
      <alignment horizontal="left" vertical="center"/>
    </xf>
    <xf numFmtId="0" fontId="86" fillId="0" borderId="61" xfId="0" applyFont="1" applyBorder="1" applyAlignment="1">
      <alignment horizontal="left" vertical="center"/>
    </xf>
    <xf numFmtId="3" fontId="86" fillId="0" borderId="41" xfId="0" applyNumberFormat="1" applyFont="1" applyBorder="1" applyAlignment="1">
      <alignment horizontal="center" vertical="center"/>
    </xf>
    <xf numFmtId="3" fontId="86" fillId="0" borderId="75" xfId="0" applyNumberFormat="1" applyFont="1" applyBorder="1" applyAlignment="1">
      <alignment horizontal="center" vertical="center"/>
    </xf>
    <xf numFmtId="3" fontId="86" fillId="0" borderId="75" xfId="0" applyNumberFormat="1" applyFont="1" applyBorder="1" applyAlignment="1">
      <alignment horizontal="left" vertical="center"/>
    </xf>
    <xf numFmtId="0" fontId="86" fillId="0" borderId="27" xfId="0" applyFont="1" applyBorder="1" applyAlignment="1">
      <alignment horizontal="center"/>
    </xf>
    <xf numFmtId="0" fontId="86" fillId="0" borderId="42" xfId="0" applyFont="1" applyBorder="1"/>
    <xf numFmtId="0" fontId="101" fillId="0" borderId="0" xfId="0" applyFont="1"/>
    <xf numFmtId="3" fontId="86" fillId="0" borderId="0" xfId="0" applyNumberFormat="1" applyFont="1" applyAlignment="1">
      <alignment horizontal="center"/>
    </xf>
    <xf numFmtId="0" fontId="105" fillId="3" borderId="4" xfId="0" applyFont="1" applyFill="1" applyBorder="1" applyAlignment="1">
      <alignment horizontal="center" vertical="center"/>
    </xf>
    <xf numFmtId="0" fontId="105" fillId="17" borderId="4" xfId="0" applyFont="1" applyFill="1" applyBorder="1" applyAlignment="1">
      <alignment horizontal="left"/>
    </xf>
    <xf numFmtId="165" fontId="105" fillId="17" borderId="11" xfId="0" applyNumberFormat="1" applyFont="1" applyFill="1" applyBorder="1" applyAlignment="1">
      <alignment horizontal="center" vertical="center"/>
    </xf>
    <xf numFmtId="0" fontId="105" fillId="21" borderId="4" xfId="0" applyFont="1" applyFill="1" applyBorder="1" applyAlignment="1">
      <alignment horizontal="left"/>
    </xf>
    <xf numFmtId="167" fontId="105" fillId="21" borderId="11" xfId="4" applyNumberFormat="1" applyFont="1" applyFill="1" applyBorder="1" applyAlignment="1">
      <alignment horizontal="center" vertical="center"/>
    </xf>
    <xf numFmtId="0" fontId="106" fillId="16" borderId="1" xfId="0" applyFont="1" applyFill="1" applyBorder="1" applyAlignment="1">
      <alignment vertical="center" wrapText="1"/>
    </xf>
    <xf numFmtId="165" fontId="106" fillId="16" borderId="11" xfId="0" applyNumberFormat="1" applyFont="1" applyFill="1" applyBorder="1" applyAlignment="1">
      <alignment horizontal="center" vertical="center"/>
    </xf>
    <xf numFmtId="0" fontId="107" fillId="0" borderId="1" xfId="0" applyFont="1" applyBorder="1" applyAlignment="1">
      <alignment vertical="center" wrapText="1"/>
    </xf>
    <xf numFmtId="3" fontId="107" fillId="0" borderId="1" xfId="0" applyNumberFormat="1" applyFont="1" applyBorder="1" applyAlignment="1">
      <alignment horizontal="center" vertical="center"/>
    </xf>
    <xf numFmtId="165" fontId="107" fillId="3" borderId="1" xfId="0" applyNumberFormat="1" applyFont="1" applyFill="1" applyBorder="1" applyAlignment="1">
      <alignment horizontal="center" vertical="center"/>
    </xf>
    <xf numFmtId="165" fontId="108" fillId="3" borderId="1" xfId="0" applyNumberFormat="1" applyFont="1" applyFill="1" applyBorder="1" applyAlignment="1">
      <alignment horizontal="center" vertical="center"/>
    </xf>
    <xf numFmtId="3" fontId="107" fillId="3" borderId="1" xfId="0" applyNumberFormat="1" applyFont="1" applyFill="1" applyBorder="1" applyAlignment="1">
      <alignment horizontal="center" vertical="center"/>
    </xf>
    <xf numFmtId="0" fontId="109" fillId="0" borderId="1" xfId="0" applyFont="1" applyBorder="1" applyAlignment="1">
      <alignment vertical="center" wrapText="1"/>
    </xf>
    <xf numFmtId="165" fontId="107" fillId="0" borderId="1" xfId="0" applyNumberFormat="1" applyFont="1" applyBorder="1" applyAlignment="1">
      <alignment horizontal="center" vertical="center"/>
    </xf>
    <xf numFmtId="165" fontId="110" fillId="3" borderId="1" xfId="0" applyNumberFormat="1" applyFont="1" applyFill="1" applyBorder="1" applyAlignment="1">
      <alignment horizontal="center" vertical="center"/>
    </xf>
    <xf numFmtId="165" fontId="108" fillId="0" borderId="1" xfId="0" applyNumberFormat="1" applyFont="1" applyBorder="1" applyAlignment="1">
      <alignment horizontal="center" vertical="center"/>
    </xf>
    <xf numFmtId="3" fontId="0" fillId="0" borderId="0" xfId="0" applyNumberFormat="1"/>
    <xf numFmtId="0" fontId="112" fillId="0" borderId="0" xfId="0" applyFont="1"/>
    <xf numFmtId="0" fontId="107" fillId="0" borderId="1" xfId="0" applyFont="1" applyBorder="1" applyAlignment="1">
      <alignment horizontal="left" vertical="center" wrapText="1"/>
    </xf>
    <xf numFmtId="4" fontId="107" fillId="0" borderId="1" xfId="0" applyNumberFormat="1" applyFont="1" applyBorder="1" applyAlignment="1">
      <alignment horizontal="center" vertical="center"/>
    </xf>
    <xf numFmtId="3" fontId="113" fillId="0" borderId="1" xfId="0" applyNumberFormat="1" applyFont="1" applyBorder="1" applyAlignment="1">
      <alignment horizontal="center" vertical="center"/>
    </xf>
    <xf numFmtId="166" fontId="0" fillId="0" borderId="0" xfId="0" applyNumberFormat="1"/>
    <xf numFmtId="0" fontId="107" fillId="0" borderId="0" xfId="0" applyFont="1" applyAlignment="1">
      <alignment horizontal="left" vertical="center" wrapText="1"/>
    </xf>
    <xf numFmtId="3" fontId="107" fillId="0" borderId="0" xfId="0" applyNumberFormat="1" applyFont="1" applyAlignment="1">
      <alignment horizontal="center" vertical="center"/>
    </xf>
    <xf numFmtId="3" fontId="107" fillId="3" borderId="0" xfId="0" applyNumberFormat="1" applyFont="1" applyFill="1" applyAlignment="1">
      <alignment horizontal="center" vertical="center"/>
    </xf>
    <xf numFmtId="4" fontId="107" fillId="3" borderId="0" xfId="0" applyNumberFormat="1" applyFont="1" applyFill="1" applyAlignment="1">
      <alignment horizontal="center" vertical="center"/>
    </xf>
    <xf numFmtId="165" fontId="107" fillId="3" borderId="0" xfId="0" applyNumberFormat="1" applyFont="1" applyFill="1" applyAlignment="1">
      <alignment horizontal="center" vertical="center"/>
    </xf>
    <xf numFmtId="0" fontId="116" fillId="0" borderId="0" xfId="0" applyFont="1"/>
    <xf numFmtId="0" fontId="117" fillId="0" borderId="0" xfId="0" applyFont="1" applyAlignment="1">
      <alignment horizontal="right"/>
    </xf>
    <xf numFmtId="0" fontId="120" fillId="0" borderId="0" xfId="0" applyFont="1"/>
    <xf numFmtId="0" fontId="121" fillId="0" borderId="0" xfId="0" applyFont="1"/>
    <xf numFmtId="0" fontId="101" fillId="0" borderId="1" xfId="0" applyFont="1" applyBorder="1"/>
    <xf numFmtId="164" fontId="101" fillId="0" borderId="1" xfId="0" applyNumberFormat="1" applyFont="1" applyBorder="1" applyAlignment="1">
      <alignment horizontal="center" vertical="center"/>
    </xf>
    <xf numFmtId="165" fontId="101" fillId="0" borderId="1" xfId="0" applyNumberFormat="1" applyFont="1" applyBorder="1" applyAlignment="1">
      <alignment horizontal="center" vertical="center"/>
    </xf>
    <xf numFmtId="170" fontId="120" fillId="0" borderId="0" xfId="0" applyNumberFormat="1" applyFont="1"/>
    <xf numFmtId="164" fontId="101" fillId="0" borderId="0" xfId="0" applyNumberFormat="1" applyFont="1"/>
    <xf numFmtId="0" fontId="101" fillId="0" borderId="1" xfId="0" applyFont="1" applyBorder="1" applyAlignment="1">
      <alignment horizontal="left" wrapText="1"/>
    </xf>
    <xf numFmtId="0" fontId="119" fillId="16" borderId="1" xfId="0" applyFont="1" applyFill="1" applyBorder="1" applyAlignment="1">
      <alignment horizontal="left"/>
    </xf>
    <xf numFmtId="164" fontId="101" fillId="16" borderId="5" xfId="0" applyNumberFormat="1" applyFont="1" applyFill="1" applyBorder="1" applyAlignment="1">
      <alignment horizontal="center"/>
    </xf>
    <xf numFmtId="171" fontId="122" fillId="0" borderId="0" xfId="0" applyNumberFormat="1" applyFont="1"/>
    <xf numFmtId="0" fontId="44" fillId="0" borderId="0" xfId="2"/>
    <xf numFmtId="170" fontId="124" fillId="0" borderId="0" xfId="0" applyNumberFormat="1" applyFont="1"/>
    <xf numFmtId="172" fontId="120" fillId="0" borderId="0" xfId="0" applyNumberFormat="1" applyFont="1" applyAlignment="1">
      <alignment horizontal="left"/>
    </xf>
    <xf numFmtId="0" fontId="120" fillId="0" borderId="0" xfId="0" applyFont="1" applyAlignment="1">
      <alignment horizontal="left"/>
    </xf>
    <xf numFmtId="0" fontId="124" fillId="0" borderId="0" xfId="0" applyFont="1" applyAlignment="1">
      <alignment horizontal="center"/>
    </xf>
    <xf numFmtId="0" fontId="125" fillId="0" borderId="0" xfId="0" applyFont="1"/>
    <xf numFmtId="2" fontId="125" fillId="0" borderId="0" xfId="0" applyNumberFormat="1" applyFont="1"/>
    <xf numFmtId="170" fontId="125" fillId="0" borderId="0" xfId="0" applyNumberFormat="1" applyFont="1"/>
    <xf numFmtId="2" fontId="120" fillId="0" borderId="0" xfId="0" applyNumberFormat="1" applyFont="1"/>
    <xf numFmtId="2" fontId="124" fillId="0" borderId="0" xfId="0" applyNumberFormat="1" applyFont="1"/>
    <xf numFmtId="0" fontId="101" fillId="0" borderId="70" xfId="0" applyFont="1" applyBorder="1"/>
    <xf numFmtId="0" fontId="119" fillId="0" borderId="1" xfId="0" applyFont="1" applyBorder="1" applyAlignment="1">
      <alignment horizontal="center" vertical="center"/>
    </xf>
    <xf numFmtId="0" fontId="101" fillId="0" borderId="34" xfId="0" applyFont="1" applyBorder="1"/>
    <xf numFmtId="0" fontId="119" fillId="0" borderId="9" xfId="0" applyFont="1" applyBorder="1" applyAlignment="1">
      <alignment horizontal="center" vertical="center"/>
    </xf>
    <xf numFmtId="0" fontId="119" fillId="0" borderId="12" xfId="0" applyFont="1" applyBorder="1" applyAlignment="1">
      <alignment horizontal="center" vertical="center"/>
    </xf>
    <xf numFmtId="0" fontId="119" fillId="0" borderId="1" xfId="0" applyFont="1" applyBorder="1" applyAlignment="1">
      <alignment horizontal="center" vertical="center" wrapText="1"/>
    </xf>
    <xf numFmtId="0" fontId="119" fillId="0" borderId="70" xfId="0" applyFont="1" applyBorder="1" applyAlignment="1">
      <alignment horizontal="center" vertical="top"/>
    </xf>
    <xf numFmtId="3" fontId="101" fillId="0" borderId="4" xfId="0" applyNumberFormat="1" applyFont="1" applyBorder="1" applyAlignment="1">
      <alignment horizontal="center" vertical="top"/>
    </xf>
    <xf numFmtId="3" fontId="101" fillId="0" borderId="11" xfId="0" applyNumberFormat="1" applyFont="1" applyBorder="1" applyAlignment="1">
      <alignment horizontal="center" vertical="top"/>
    </xf>
    <xf numFmtId="0" fontId="119" fillId="0" borderId="6" xfId="0" applyFont="1" applyBorder="1" applyAlignment="1">
      <alignment horizontal="center" vertical="top"/>
    </xf>
    <xf numFmtId="167" fontId="101" fillId="0" borderId="5" xfId="4" applyNumberFormat="1" applyFont="1" applyBorder="1" applyAlignment="1">
      <alignment horizontal="center"/>
    </xf>
    <xf numFmtId="167" fontId="101" fillId="0" borderId="5" xfId="4" applyNumberFormat="1" applyFont="1" applyFill="1" applyBorder="1" applyAlignment="1">
      <alignment horizontal="center"/>
    </xf>
    <xf numFmtId="167" fontId="101" fillId="0" borderId="8" xfId="4" applyNumberFormat="1" applyFont="1" applyFill="1" applyBorder="1" applyAlignment="1">
      <alignment horizontal="center"/>
    </xf>
    <xf numFmtId="3" fontId="119" fillId="0" borderId="4" xfId="4" applyNumberFormat="1" applyFont="1" applyBorder="1" applyAlignment="1">
      <alignment horizontal="center" vertical="top"/>
    </xf>
    <xf numFmtId="3" fontId="101" fillId="0" borderId="4" xfId="4" applyNumberFormat="1" applyFont="1" applyBorder="1" applyAlignment="1">
      <alignment horizontal="center" vertical="top"/>
    </xf>
    <xf numFmtId="0" fontId="101" fillId="0" borderId="5" xfId="0" applyFont="1" applyBorder="1" applyAlignment="1">
      <alignment horizontal="center"/>
    </xf>
    <xf numFmtId="3" fontId="119" fillId="0" borderId="4" xfId="0" applyNumberFormat="1" applyFont="1" applyBorder="1" applyAlignment="1">
      <alignment horizontal="center" vertical="top"/>
    </xf>
    <xf numFmtId="0" fontId="101" fillId="0" borderId="6" xfId="0" applyFont="1" applyBorder="1" applyAlignment="1">
      <alignment vertical="top"/>
    </xf>
    <xf numFmtId="0" fontId="85" fillId="2" borderId="34" xfId="0" applyFont="1" applyFill="1" applyBorder="1" applyAlignment="1">
      <alignment horizontal="center" vertical="center" wrapText="1"/>
    </xf>
    <xf numFmtId="3" fontId="85" fillId="2" borderId="9" xfId="4" applyNumberFormat="1" applyFont="1" applyFill="1" applyBorder="1" applyAlignment="1">
      <alignment horizontal="center" vertical="center"/>
    </xf>
    <xf numFmtId="3" fontId="85" fillId="2" borderId="9" xfId="0" applyNumberFormat="1" applyFont="1" applyFill="1" applyBorder="1" applyAlignment="1">
      <alignment horizontal="center" vertical="center"/>
    </xf>
    <xf numFmtId="3" fontId="85" fillId="2" borderId="12" xfId="0" applyNumberFormat="1" applyFont="1" applyFill="1" applyBorder="1" applyAlignment="1">
      <alignment horizontal="center" vertical="center"/>
    </xf>
    <xf numFmtId="0" fontId="86" fillId="21" borderId="6" xfId="0" applyFont="1" applyFill="1" applyBorder="1" applyAlignment="1">
      <alignment horizontal="center" vertical="top"/>
    </xf>
    <xf numFmtId="167" fontId="86" fillId="21" borderId="5" xfId="4" applyNumberFormat="1" applyFont="1" applyFill="1" applyBorder="1" applyAlignment="1">
      <alignment horizontal="center" vertical="top"/>
    </xf>
    <xf numFmtId="167" fontId="86" fillId="21" borderId="8" xfId="4" applyNumberFormat="1" applyFont="1" applyFill="1" applyBorder="1" applyAlignment="1">
      <alignment horizontal="center" vertical="top"/>
    </xf>
    <xf numFmtId="0" fontId="126" fillId="0" borderId="0" xfId="0" applyFont="1" applyAlignment="1">
      <alignment horizontal="center"/>
    </xf>
    <xf numFmtId="0" fontId="104" fillId="3" borderId="11" xfId="0" applyFont="1" applyFill="1" applyBorder="1" applyAlignment="1">
      <alignment horizontal="center" vertical="center"/>
    </xf>
    <xf numFmtId="0" fontId="104" fillId="3" borderId="4" xfId="0" applyFont="1" applyFill="1" applyBorder="1" applyAlignment="1">
      <alignment horizontal="center" vertical="center"/>
    </xf>
    <xf numFmtId="0" fontId="104" fillId="3" borderId="11" xfId="0" applyFont="1" applyFill="1" applyBorder="1" applyAlignment="1">
      <alignment horizontal="center" vertical="center" wrapText="1"/>
    </xf>
    <xf numFmtId="0" fontId="104" fillId="17" borderId="4" xfId="0" applyFont="1" applyFill="1" applyBorder="1" applyAlignment="1">
      <alignment horizontal="left"/>
    </xf>
    <xf numFmtId="165" fontId="104" fillId="17" borderId="11" xfId="0" applyNumberFormat="1" applyFont="1" applyFill="1" applyBorder="1" applyAlignment="1">
      <alignment horizontal="center" vertical="center"/>
    </xf>
    <xf numFmtId="167" fontId="104" fillId="17" borderId="11" xfId="4" applyNumberFormat="1" applyFont="1" applyFill="1" applyBorder="1" applyAlignment="1">
      <alignment horizontal="center" vertical="center"/>
    </xf>
    <xf numFmtId="0" fontId="89" fillId="0" borderId="0" xfId="0" applyFont="1" applyAlignment="1">
      <alignment wrapText="1"/>
    </xf>
    <xf numFmtId="0" fontId="118" fillId="0" borderId="0" xfId="0" applyFont="1" applyAlignment="1">
      <alignment horizontal="right"/>
    </xf>
    <xf numFmtId="14" fontId="118" fillId="0" borderId="0" xfId="0" applyNumberFormat="1" applyFont="1" applyAlignment="1">
      <alignment horizontal="center" vertical="center"/>
    </xf>
    <xf numFmtId="0" fontId="119" fillId="16" borderId="5" xfId="0" applyFont="1" applyFill="1" applyBorder="1" applyAlignment="1">
      <alignment horizontal="center" vertical="center"/>
    </xf>
    <xf numFmtId="14" fontId="41" fillId="0" borderId="0" xfId="0" applyNumberFormat="1" applyFont="1" applyAlignment="1">
      <alignment horizontal="center"/>
    </xf>
    <xf numFmtId="0" fontId="105" fillId="3" borderId="11" xfId="0" applyFont="1" applyFill="1" applyBorder="1" applyAlignment="1">
      <alignment horizontal="center" vertical="center"/>
    </xf>
    <xf numFmtId="0" fontId="105" fillId="3" borderId="11" xfId="0" applyFont="1" applyFill="1" applyBorder="1" applyAlignment="1">
      <alignment horizontal="center" vertical="center" wrapText="1"/>
    </xf>
    <xf numFmtId="0" fontId="111" fillId="16" borderId="1" xfId="0" applyFont="1" applyFill="1" applyBorder="1" applyAlignment="1">
      <alignment vertical="center" wrapText="1"/>
    </xf>
    <xf numFmtId="165" fontId="106" fillId="16" borderId="1" xfId="0" applyNumberFormat="1" applyFont="1" applyFill="1" applyBorder="1" applyAlignment="1">
      <alignment horizontal="center" vertical="center"/>
    </xf>
    <xf numFmtId="3" fontId="126" fillId="0" borderId="0" xfId="0" applyNumberFormat="1" applyFont="1" applyAlignment="1">
      <alignment horizontal="center"/>
    </xf>
    <xf numFmtId="1" fontId="126" fillId="0" borderId="0" xfId="0" applyNumberFormat="1" applyFont="1" applyAlignment="1">
      <alignment horizontal="center"/>
    </xf>
    <xf numFmtId="0" fontId="108" fillId="0" borderId="1" xfId="0" applyFont="1" applyBorder="1" applyAlignment="1">
      <alignment vertical="center" wrapText="1"/>
    </xf>
    <xf numFmtId="0" fontId="108" fillId="0" borderId="1" xfId="0" applyFont="1" applyBorder="1" applyAlignment="1">
      <alignment horizontal="left" vertical="center" wrapText="1"/>
    </xf>
    <xf numFmtId="14" fontId="118" fillId="0" borderId="0" xfId="0" applyNumberFormat="1" applyFont="1"/>
    <xf numFmtId="170" fontId="101" fillId="0" borderId="1" xfId="0" applyNumberFormat="1" applyFont="1" applyBorder="1" applyAlignment="1">
      <alignment horizontal="center" vertical="center"/>
    </xf>
    <xf numFmtId="0" fontId="119" fillId="16" borderId="5" xfId="0" applyFont="1" applyFill="1" applyBorder="1" applyAlignment="1">
      <alignment horizontal="center" vertical="center" wrapText="1"/>
    </xf>
    <xf numFmtId="14" fontId="33" fillId="0" borderId="0" xfId="0" applyNumberFormat="1" applyFont="1" applyAlignment="1">
      <alignment horizontal="center" vertical="center"/>
    </xf>
    <xf numFmtId="164" fontId="101" fillId="0" borderId="1" xfId="0" applyNumberFormat="1" applyFont="1" applyBorder="1" applyAlignment="1">
      <alignment horizontal="center"/>
    </xf>
    <xf numFmtId="14" fontId="33" fillId="0" borderId="0" xfId="0" applyNumberFormat="1" applyFont="1" applyAlignment="1">
      <alignment horizontal="center"/>
    </xf>
    <xf numFmtId="0" fontId="128" fillId="0" borderId="0" xfId="0" applyFont="1" applyAlignment="1">
      <alignment horizontal="center"/>
    </xf>
    <xf numFmtId="164" fontId="128" fillId="0" borderId="0" xfId="0" applyNumberFormat="1" applyFont="1" applyAlignment="1">
      <alignment horizontal="center"/>
    </xf>
    <xf numFmtId="0" fontId="92" fillId="0" borderId="0" xfId="0" applyFont="1"/>
    <xf numFmtId="0" fontId="105" fillId="0" borderId="0" xfId="0" applyFont="1"/>
    <xf numFmtId="0" fontId="107" fillId="0" borderId="0" xfId="0" applyFont="1" applyAlignment="1">
      <alignment horizontal="left" vertical="center" wrapText="1" indent="3"/>
    </xf>
    <xf numFmtId="0" fontId="106" fillId="0" borderId="0" xfId="0" applyFont="1"/>
    <xf numFmtId="0" fontId="0" fillId="23" borderId="70" xfId="0" applyFill="1" applyBorder="1"/>
    <xf numFmtId="0" fontId="33" fillId="23" borderId="1" xfId="0" applyFont="1" applyFill="1" applyBorder="1" applyAlignment="1">
      <alignment horizontal="center" vertical="center"/>
    </xf>
    <xf numFmtId="0" fontId="0" fillId="23" borderId="34" xfId="0" applyFill="1" applyBorder="1"/>
    <xf numFmtId="0" fontId="0" fillId="23" borderId="9" xfId="0" applyFill="1" applyBorder="1" applyAlignment="1">
      <alignment horizontal="center" vertical="center"/>
    </xf>
    <xf numFmtId="0" fontId="0" fillId="23" borderId="9" xfId="0" applyFill="1" applyBorder="1" applyAlignment="1">
      <alignment horizontal="center" vertical="center" wrapText="1"/>
    </xf>
    <xf numFmtId="0" fontId="0" fillId="23" borderId="12" xfId="0" applyFill="1" applyBorder="1" applyAlignment="1">
      <alignment horizontal="center" vertical="center"/>
    </xf>
    <xf numFmtId="3" fontId="3" fillId="23" borderId="4" xfId="0" applyNumberFormat="1" applyFont="1" applyFill="1" applyBorder="1" applyAlignment="1">
      <alignment horizontal="center" vertical="top"/>
    </xf>
    <xf numFmtId="3" fontId="0" fillId="23" borderId="4" xfId="0" applyNumberFormat="1" applyFill="1" applyBorder="1" applyAlignment="1">
      <alignment horizontal="center" vertical="top"/>
    </xf>
    <xf numFmtId="3" fontId="0" fillId="23" borderId="11" xfId="0" applyNumberFormat="1" applyFill="1" applyBorder="1" applyAlignment="1">
      <alignment horizontal="center" vertical="top"/>
    </xf>
    <xf numFmtId="167" fontId="0" fillId="23" borderId="5" xfId="4" applyNumberFormat="1" applyFont="1" applyFill="1" applyBorder="1" applyAlignment="1">
      <alignment horizontal="center"/>
    </xf>
    <xf numFmtId="167" fontId="0" fillId="23" borderId="8" xfId="4" applyNumberFormat="1" applyFont="1" applyFill="1" applyBorder="1" applyAlignment="1">
      <alignment horizontal="center"/>
    </xf>
    <xf numFmtId="3" fontId="33" fillId="23" borderId="4" xfId="4" applyNumberFormat="1" applyFont="1" applyFill="1" applyBorder="1" applyAlignment="1">
      <alignment horizontal="center" vertical="top"/>
    </xf>
    <xf numFmtId="3" fontId="3" fillId="23" borderId="4" xfId="4" applyNumberFormat="1" applyFont="1" applyFill="1" applyBorder="1" applyAlignment="1">
      <alignment horizontal="center" vertical="top"/>
    </xf>
    <xf numFmtId="0" fontId="0" fillId="23" borderId="5" xfId="0" applyFill="1" applyBorder="1" applyAlignment="1">
      <alignment horizontal="center"/>
    </xf>
    <xf numFmtId="3" fontId="33" fillId="23" borderId="4" xfId="0" applyNumberFormat="1" applyFont="1" applyFill="1" applyBorder="1" applyAlignment="1">
      <alignment horizontal="center" vertical="top"/>
    </xf>
    <xf numFmtId="0" fontId="98" fillId="25" borderId="6" xfId="0" applyFont="1" applyFill="1" applyBorder="1" applyAlignment="1">
      <alignment horizontal="center" vertical="top"/>
    </xf>
    <xf numFmtId="167" fontId="98" fillId="25" borderId="5" xfId="4" applyNumberFormat="1" applyFont="1" applyFill="1" applyBorder="1" applyAlignment="1">
      <alignment horizontal="center" vertical="top"/>
    </xf>
    <xf numFmtId="167" fontId="98" fillId="25" borderId="8" xfId="4" applyNumberFormat="1" applyFont="1" applyFill="1" applyBorder="1" applyAlignment="1">
      <alignment horizontal="center" vertical="top"/>
    </xf>
    <xf numFmtId="0" fontId="0" fillId="23" borderId="0" xfId="0" applyFill="1"/>
    <xf numFmtId="0" fontId="129" fillId="23" borderId="0" xfId="0" applyFont="1" applyFill="1"/>
    <xf numFmtId="0" fontId="33" fillId="23" borderId="0" xfId="0" applyFont="1" applyFill="1"/>
    <xf numFmtId="0" fontId="0" fillId="23" borderId="0" xfId="0" applyFill="1" applyAlignment="1">
      <alignment horizontal="center"/>
    </xf>
    <xf numFmtId="0" fontId="99" fillId="23" borderId="0" xfId="0" applyFont="1" applyFill="1" applyAlignment="1">
      <alignment horizontal="center"/>
    </xf>
    <xf numFmtId="3" fontId="99" fillId="23" borderId="0" xfId="0" applyNumberFormat="1" applyFont="1" applyFill="1" applyAlignment="1">
      <alignment horizontal="right"/>
    </xf>
    <xf numFmtId="3" fontId="99" fillId="23" borderId="0" xfId="0" applyNumberFormat="1" applyFont="1" applyFill="1"/>
    <xf numFmtId="0" fontId="127" fillId="23" borderId="0" xfId="0" applyFont="1" applyFill="1"/>
    <xf numFmtId="0" fontId="56" fillId="4" borderId="4" xfId="0" applyFont="1" applyFill="1" applyBorder="1" applyAlignment="1">
      <alignment horizontal="center" vertical="center" wrapText="1"/>
    </xf>
    <xf numFmtId="164" fontId="49" fillId="19" borderId="5" xfId="0" applyNumberFormat="1" applyFont="1" applyFill="1" applyBorder="1" applyAlignment="1">
      <alignment horizontal="center" vertical="center" wrapText="1"/>
    </xf>
    <xf numFmtId="165" fontId="82" fillId="4" borderId="15" xfId="0" applyNumberFormat="1" applyFont="1" applyFill="1" applyBorder="1" applyAlignment="1">
      <alignment horizontal="center" vertical="top" wrapText="1"/>
    </xf>
    <xf numFmtId="167" fontId="83" fillId="4" borderId="33" xfId="4" applyNumberFormat="1" applyFont="1" applyFill="1" applyBorder="1" applyAlignment="1">
      <alignment horizontal="center" vertical="top" wrapText="1"/>
    </xf>
    <xf numFmtId="0" fontId="56" fillId="2" borderId="46" xfId="0" applyFont="1" applyFill="1" applyBorder="1" applyAlignment="1">
      <alignment horizontal="center" vertical="center" wrapText="1"/>
    </xf>
    <xf numFmtId="0" fontId="130" fillId="0" borderId="0" xfId="0" applyFont="1" applyAlignment="1">
      <alignment horizontal="left" vertical="center"/>
    </xf>
    <xf numFmtId="0" fontId="123" fillId="0" borderId="0" xfId="0" applyFont="1" applyAlignment="1">
      <alignment horizontal="left"/>
    </xf>
    <xf numFmtId="14" fontId="131" fillId="0" borderId="0" xfId="0" applyNumberFormat="1" applyFont="1" applyAlignment="1">
      <alignment horizontal="center" vertical="center"/>
    </xf>
    <xf numFmtId="167" fontId="132" fillId="5" borderId="0" xfId="4" applyNumberFormat="1" applyFont="1" applyFill="1" applyAlignment="1">
      <alignment horizontal="center"/>
    </xf>
    <xf numFmtId="165" fontId="133" fillId="5" borderId="5" xfId="0" applyNumberFormat="1" applyFont="1" applyFill="1" applyBorder="1" applyAlignment="1">
      <alignment horizontal="right" vertical="center"/>
    </xf>
    <xf numFmtId="165" fontId="133" fillId="5" borderId="1" xfId="0" applyNumberFormat="1" applyFont="1" applyFill="1" applyBorder="1" applyAlignment="1">
      <alignment horizontal="right" vertical="center"/>
    </xf>
    <xf numFmtId="165" fontId="133" fillId="5" borderId="27" xfId="0" applyNumberFormat="1" applyFont="1" applyFill="1" applyBorder="1" applyAlignment="1">
      <alignment horizontal="right" vertical="center"/>
    </xf>
    <xf numFmtId="0" fontId="133" fillId="0" borderId="0" xfId="0" applyFont="1"/>
    <xf numFmtId="167" fontId="133" fillId="0" borderId="0" xfId="4" applyNumberFormat="1" applyFont="1" applyFill="1" applyAlignment="1">
      <alignment horizontal="center"/>
    </xf>
    <xf numFmtId="165" fontId="133" fillId="0" borderId="0" xfId="0" applyNumberFormat="1" applyFont="1" applyAlignment="1">
      <alignment horizontal="center"/>
    </xf>
    <xf numFmtId="168" fontId="133" fillId="0" borderId="0" xfId="0" applyNumberFormat="1" applyFont="1"/>
    <xf numFmtId="165" fontId="133" fillId="5" borderId="1" xfId="0" applyNumberFormat="1" applyFont="1" applyFill="1" applyBorder="1" applyAlignment="1">
      <alignment horizontal="center" vertical="center" wrapText="1"/>
    </xf>
    <xf numFmtId="165" fontId="133" fillId="5" borderId="5" xfId="0" applyNumberFormat="1" applyFont="1" applyFill="1" applyBorder="1" applyAlignment="1">
      <alignment horizontal="center" vertical="center" wrapText="1"/>
    </xf>
    <xf numFmtId="165" fontId="133" fillId="5" borderId="27" xfId="0" applyNumberFormat="1" applyFont="1" applyFill="1" applyBorder="1" applyAlignment="1">
      <alignment horizontal="center" vertical="center" wrapText="1"/>
    </xf>
    <xf numFmtId="0" fontId="35" fillId="0" borderId="0" xfId="0" applyFont="1" applyAlignment="1">
      <alignment horizontal="center"/>
    </xf>
    <xf numFmtId="164" fontId="135" fillId="0" borderId="0" xfId="0" applyNumberFormat="1" applyFont="1" applyAlignment="1">
      <alignment horizontal="center"/>
    </xf>
    <xf numFmtId="0" fontId="136" fillId="0" borderId="0" xfId="0" applyFont="1" applyAlignment="1">
      <alignment horizontal="center"/>
    </xf>
    <xf numFmtId="164" fontId="133" fillId="5" borderId="1" xfId="0" applyNumberFormat="1" applyFont="1" applyFill="1" applyBorder="1" applyAlignment="1">
      <alignment horizontal="right" vertical="center"/>
    </xf>
    <xf numFmtId="0" fontId="35" fillId="0" borderId="0" xfId="0" applyFont="1"/>
    <xf numFmtId="165" fontId="35" fillId="0" borderId="0" xfId="0" applyNumberFormat="1" applyFont="1" applyAlignment="1">
      <alignment horizontal="center"/>
    </xf>
    <xf numFmtId="4" fontId="134" fillId="0" borderId="0" xfId="0" applyNumberFormat="1" applyFont="1" applyAlignment="1">
      <alignment horizontal="center"/>
    </xf>
    <xf numFmtId="0" fontId="134" fillId="0" borderId="0" xfId="0" applyFont="1"/>
    <xf numFmtId="169" fontId="134" fillId="0" borderId="0" xfId="0" applyNumberFormat="1" applyFont="1"/>
    <xf numFmtId="164" fontId="137" fillId="0" borderId="0" xfId="0" applyNumberFormat="1" applyFont="1" applyAlignment="1">
      <alignment horizontal="center"/>
    </xf>
    <xf numFmtId="164" fontId="133" fillId="5" borderId="5" xfId="0" applyNumberFormat="1" applyFont="1" applyFill="1" applyBorder="1" applyAlignment="1">
      <alignment horizontal="right" vertical="center"/>
    </xf>
    <xf numFmtId="164" fontId="133" fillId="5" borderId="27" xfId="0" applyNumberFormat="1" applyFont="1" applyFill="1" applyBorder="1" applyAlignment="1">
      <alignment horizontal="right" vertical="center"/>
    </xf>
    <xf numFmtId="164" fontId="133" fillId="9" borderId="1" xfId="0" applyNumberFormat="1" applyFont="1" applyFill="1" applyBorder="1" applyAlignment="1">
      <alignment horizontal="right" vertical="center"/>
    </xf>
    <xf numFmtId="164" fontId="133" fillId="9" borderId="27" xfId="0" applyNumberFormat="1" applyFont="1" applyFill="1" applyBorder="1" applyAlignment="1">
      <alignment horizontal="right" vertical="center"/>
    </xf>
    <xf numFmtId="4" fontId="108" fillId="0" borderId="1" xfId="0" applyNumberFormat="1" applyFont="1" applyBorder="1" applyAlignment="1">
      <alignment horizontal="center" vertical="center"/>
    </xf>
    <xf numFmtId="173" fontId="107" fillId="0" borderId="1" xfId="0" applyNumberFormat="1" applyFont="1" applyBorder="1" applyAlignment="1">
      <alignment horizontal="center" vertical="center"/>
    </xf>
    <xf numFmtId="0" fontId="0" fillId="0" borderId="1" xfId="0" applyBorder="1"/>
    <xf numFmtId="164" fontId="107" fillId="0" borderId="1" xfId="0" applyNumberFormat="1" applyFont="1" applyBorder="1" applyAlignment="1">
      <alignment horizontal="center" vertical="center"/>
    </xf>
    <xf numFmtId="0" fontId="106" fillId="0" borderId="1" xfId="0" applyFont="1" applyBorder="1" applyAlignment="1">
      <alignment horizontal="left" vertical="center" wrapText="1"/>
    </xf>
    <xf numFmtId="0" fontId="107" fillId="0" borderId="1" xfId="0" applyFont="1" applyBorder="1" applyAlignment="1">
      <alignment horizontal="center" vertical="center" wrapText="1"/>
    </xf>
    <xf numFmtId="164" fontId="107" fillId="0" borderId="1" xfId="0" applyNumberFormat="1" applyFont="1" applyBorder="1" applyAlignment="1">
      <alignment horizontal="center" vertical="center" wrapText="1"/>
    </xf>
    <xf numFmtId="165" fontId="104" fillId="16" borderId="11" xfId="0" applyNumberFormat="1" applyFont="1" applyFill="1" applyBorder="1" applyAlignment="1">
      <alignment horizontal="center" vertical="center"/>
    </xf>
    <xf numFmtId="0" fontId="106" fillId="16" borderId="1" xfId="0" applyFont="1" applyFill="1" applyBorder="1"/>
    <xf numFmtId="0" fontId="33" fillId="16" borderId="1" xfId="0" applyFont="1" applyFill="1" applyBorder="1"/>
    <xf numFmtId="164" fontId="106" fillId="16" borderId="1" xfId="0" applyNumberFormat="1" applyFont="1" applyFill="1" applyBorder="1" applyAlignment="1">
      <alignment horizontal="center" vertical="center"/>
    </xf>
    <xf numFmtId="164" fontId="37" fillId="9" borderId="4" xfId="0" applyNumberFormat="1" applyFont="1" applyFill="1" applyBorder="1" applyAlignment="1">
      <alignment horizontal="right" vertical="center"/>
    </xf>
    <xf numFmtId="164" fontId="37" fillId="4" borderId="4" xfId="0" applyNumberFormat="1" applyFont="1" applyFill="1" applyBorder="1" applyAlignment="1">
      <alignment horizontal="right" vertical="center"/>
    </xf>
    <xf numFmtId="164" fontId="37" fillId="5" borderId="46" xfId="0" applyNumberFormat="1" applyFont="1" applyFill="1" applyBorder="1" applyAlignment="1">
      <alignment horizontal="center" vertical="center"/>
    </xf>
    <xf numFmtId="164" fontId="37" fillId="5" borderId="46" xfId="0" applyNumberFormat="1" applyFont="1" applyFill="1" applyBorder="1" applyAlignment="1">
      <alignment horizontal="right" vertical="center"/>
    </xf>
    <xf numFmtId="164" fontId="37" fillId="5" borderId="4" xfId="0" applyNumberFormat="1" applyFont="1" applyFill="1" applyBorder="1" applyAlignment="1">
      <alignment horizontal="center" vertical="center"/>
    </xf>
    <xf numFmtId="0" fontId="56" fillId="2" borderId="4" xfId="0" applyFont="1" applyFill="1" applyBorder="1" applyAlignment="1">
      <alignment horizontal="center" vertical="center" wrapText="1"/>
    </xf>
    <xf numFmtId="0" fontId="44" fillId="5" borderId="39" xfId="2" applyFill="1" applyBorder="1" applyAlignment="1">
      <alignment vertical="center" wrapText="1"/>
    </xf>
    <xf numFmtId="165" fontId="82" fillId="9" borderId="14" xfId="0" applyNumberFormat="1" applyFont="1" applyFill="1" applyBorder="1" applyAlignment="1">
      <alignment horizontal="center" vertical="top" wrapText="1"/>
    </xf>
    <xf numFmtId="167" fontId="83" fillId="9" borderId="26" xfId="4" applyNumberFormat="1" applyFont="1" applyFill="1" applyBorder="1" applyAlignment="1">
      <alignment horizontal="center" vertical="top" wrapText="1"/>
    </xf>
    <xf numFmtId="164" fontId="49" fillId="14" borderId="24"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xf>
    <xf numFmtId="164" fontId="2" fillId="5" borderId="40" xfId="0" applyNumberFormat="1" applyFont="1" applyFill="1" applyBorder="1" applyAlignment="1">
      <alignment horizontal="center" vertical="center"/>
    </xf>
    <xf numFmtId="2" fontId="37" fillId="0" borderId="52" xfId="0" applyNumberFormat="1" applyFont="1" applyBorder="1" applyAlignment="1">
      <alignment vertical="center"/>
    </xf>
    <xf numFmtId="2" fontId="37" fillId="5" borderId="39" xfId="0" applyNumberFormat="1" applyFont="1" applyFill="1" applyBorder="1" applyAlignment="1">
      <alignment vertical="center"/>
    </xf>
    <xf numFmtId="2" fontId="37" fillId="5" borderId="1" xfId="0" applyNumberFormat="1" applyFont="1" applyFill="1" applyBorder="1" applyAlignment="1">
      <alignment vertical="center"/>
    </xf>
    <xf numFmtId="2" fontId="37" fillId="6" borderId="1" xfId="0" applyNumberFormat="1" applyFont="1" applyFill="1" applyBorder="1" applyAlignment="1">
      <alignment vertical="center"/>
    </xf>
    <xf numFmtId="2" fontId="37" fillId="4" borderId="1" xfId="0" applyNumberFormat="1" applyFont="1" applyFill="1" applyBorder="1" applyAlignment="1">
      <alignment vertical="center"/>
    </xf>
    <xf numFmtId="2" fontId="37" fillId="9" borderId="1" xfId="0" applyNumberFormat="1" applyFont="1" applyFill="1" applyBorder="1" applyAlignment="1">
      <alignment vertical="center"/>
    </xf>
    <xf numFmtId="2" fontId="37" fillId="5" borderId="40" xfId="0" applyNumberFormat="1" applyFont="1" applyFill="1" applyBorder="1" applyAlignment="1">
      <alignment vertical="center"/>
    </xf>
    <xf numFmtId="2" fontId="63" fillId="4" borderId="1" xfId="0" applyNumberFormat="1" applyFont="1" applyFill="1" applyBorder="1" applyAlignment="1">
      <alignment vertical="center"/>
    </xf>
    <xf numFmtId="2" fontId="63" fillId="9" borderId="1" xfId="0" applyNumberFormat="1" applyFont="1" applyFill="1" applyBorder="1" applyAlignment="1">
      <alignment vertical="center"/>
    </xf>
    <xf numFmtId="164" fontId="37" fillId="0" borderId="52" xfId="0" applyNumberFormat="1" applyFont="1" applyBorder="1" applyAlignment="1">
      <alignment vertical="center"/>
    </xf>
    <xf numFmtId="164" fontId="2" fillId="0" borderId="52" xfId="0" applyNumberFormat="1" applyFont="1" applyBorder="1" applyAlignment="1">
      <alignment vertical="center"/>
    </xf>
    <xf numFmtId="164" fontId="2" fillId="5" borderId="39" xfId="0" applyNumberFormat="1" applyFont="1" applyFill="1" applyBorder="1" applyAlignment="1">
      <alignment vertical="center"/>
    </xf>
    <xf numFmtId="164" fontId="2" fillId="5" borderId="1" xfId="0" applyNumberFormat="1" applyFont="1" applyFill="1" applyBorder="1" applyAlignment="1">
      <alignment vertical="center"/>
    </xf>
    <xf numFmtId="164" fontId="2" fillId="6" borderId="1" xfId="0" applyNumberFormat="1" applyFont="1" applyFill="1" applyBorder="1" applyAlignment="1">
      <alignment vertical="center"/>
    </xf>
    <xf numFmtId="164" fontId="2" fillId="4" borderId="1" xfId="0" applyNumberFormat="1" applyFont="1" applyFill="1" applyBorder="1" applyAlignment="1">
      <alignment vertical="center"/>
    </xf>
    <xf numFmtId="164" fontId="2" fillId="9" borderId="1" xfId="0" applyNumberFormat="1" applyFont="1" applyFill="1" applyBorder="1" applyAlignment="1">
      <alignment vertical="center"/>
    </xf>
    <xf numFmtId="164" fontId="2" fillId="5" borderId="40" xfId="0" applyNumberFormat="1" applyFont="1" applyFill="1" applyBorder="1" applyAlignment="1">
      <alignment vertical="center"/>
    </xf>
    <xf numFmtId="164" fontId="37" fillId="5" borderId="40" xfId="0" applyNumberFormat="1" applyFont="1" applyFill="1" applyBorder="1" applyAlignment="1">
      <alignment vertical="center"/>
    </xf>
    <xf numFmtId="164" fontId="49" fillId="10" borderId="1" xfId="0" applyNumberFormat="1" applyFont="1" applyFill="1" applyBorder="1" applyAlignment="1">
      <alignment horizontal="center" vertical="center" wrapText="1"/>
    </xf>
    <xf numFmtId="164" fontId="37" fillId="0" borderId="52" xfId="0" applyNumberFormat="1" applyFont="1" applyBorder="1" applyAlignment="1">
      <alignment horizontal="right" vertical="center"/>
    </xf>
    <xf numFmtId="164" fontId="33" fillId="5" borderId="1" xfId="0" applyNumberFormat="1" applyFont="1" applyFill="1" applyBorder="1" applyAlignment="1">
      <alignment horizontal="right" vertical="center"/>
    </xf>
    <xf numFmtId="164" fontId="48" fillId="5" borderId="1" xfId="0" applyNumberFormat="1" applyFont="1" applyFill="1" applyBorder="1" applyAlignment="1">
      <alignment horizontal="right" vertical="center"/>
    </xf>
    <xf numFmtId="165" fontId="37" fillId="5" borderId="40" xfId="0" applyNumberFormat="1" applyFont="1" applyFill="1" applyBorder="1" applyAlignment="1">
      <alignment horizontal="right" vertical="center"/>
    </xf>
    <xf numFmtId="165" fontId="37" fillId="5" borderId="46" xfId="0" applyNumberFormat="1" applyFont="1" applyFill="1" applyBorder="1" applyAlignment="1">
      <alignment horizontal="right" vertical="center"/>
    </xf>
    <xf numFmtId="164" fontId="2" fillId="5" borderId="1" xfId="0" applyNumberFormat="1" applyFont="1" applyFill="1" applyBorder="1" applyAlignment="1">
      <alignment horizontal="right" vertical="center"/>
    </xf>
    <xf numFmtId="164" fontId="63" fillId="5" borderId="1" xfId="0" applyNumberFormat="1" applyFont="1" applyFill="1" applyBorder="1" applyAlignment="1">
      <alignment horizontal="right" vertical="center"/>
    </xf>
    <xf numFmtId="164" fontId="2" fillId="0" borderId="52" xfId="0" applyNumberFormat="1" applyFont="1" applyBorder="1" applyAlignment="1">
      <alignment horizontal="right" vertical="center"/>
    </xf>
    <xf numFmtId="164" fontId="2" fillId="5" borderId="39" xfId="0" applyNumberFormat="1" applyFont="1" applyFill="1" applyBorder="1" applyAlignment="1">
      <alignment horizontal="right" vertical="center"/>
    </xf>
    <xf numFmtId="2" fontId="2" fillId="5" borderId="1" xfId="0" applyNumberFormat="1" applyFont="1" applyFill="1" applyBorder="1" applyAlignment="1">
      <alignment horizontal="right" vertical="center"/>
    </xf>
    <xf numFmtId="164" fontId="2" fillId="9" borderId="1" xfId="0" applyNumberFormat="1" applyFont="1" applyFill="1" applyBorder="1" applyAlignment="1">
      <alignment horizontal="right" vertical="center"/>
    </xf>
    <xf numFmtId="164" fontId="2" fillId="4" borderId="1" xfId="0" applyNumberFormat="1" applyFont="1" applyFill="1" applyBorder="1" applyAlignment="1">
      <alignment horizontal="right" vertical="center"/>
    </xf>
    <xf numFmtId="164" fontId="2" fillId="5" borderId="40" xfId="0" applyNumberFormat="1" applyFont="1" applyFill="1" applyBorder="1" applyAlignment="1">
      <alignment horizontal="right" vertical="center"/>
    </xf>
    <xf numFmtId="165" fontId="2" fillId="5" borderId="1" xfId="0" applyNumberFormat="1" applyFont="1" applyFill="1" applyBorder="1" applyAlignment="1">
      <alignment horizontal="center" vertical="center"/>
    </xf>
    <xf numFmtId="164" fontId="72" fillId="5" borderId="1" xfId="0" applyNumberFormat="1" applyFont="1" applyFill="1" applyBorder="1" applyAlignment="1">
      <alignment horizontal="right" vertical="center"/>
    </xf>
    <xf numFmtId="165" fontId="49" fillId="2" borderId="40" xfId="0" applyNumberFormat="1" applyFont="1" applyFill="1" applyBorder="1" applyAlignment="1">
      <alignment horizontal="center" vertical="center" wrapText="1"/>
    </xf>
    <xf numFmtId="165" fontId="49" fillId="14" borderId="46" xfId="0" applyNumberFormat="1" applyFont="1" applyFill="1" applyBorder="1" applyAlignment="1">
      <alignment horizontal="center" vertical="center" wrapText="1"/>
    </xf>
    <xf numFmtId="164" fontId="37" fillId="5" borderId="1" xfId="0" applyNumberFormat="1" applyFont="1" applyFill="1" applyBorder="1" applyAlignment="1">
      <alignment horizontal="right" vertical="center" wrapText="1"/>
    </xf>
    <xf numFmtId="164" fontId="37" fillId="5" borderId="39" xfId="0" applyNumberFormat="1" applyFont="1" applyFill="1" applyBorder="1" applyAlignment="1">
      <alignment horizontal="right" vertical="center" wrapText="1"/>
    </xf>
    <xf numFmtId="164" fontId="37" fillId="5" borderId="45" xfId="0" applyNumberFormat="1" applyFont="1" applyFill="1" applyBorder="1" applyAlignment="1">
      <alignment vertical="center"/>
    </xf>
    <xf numFmtId="164" fontId="48" fillId="0" borderId="52" xfId="0" applyNumberFormat="1" applyFont="1" applyBorder="1" applyAlignment="1">
      <alignment vertical="center"/>
    </xf>
    <xf numFmtId="164" fontId="37" fillId="0" borderId="60" xfId="0" applyNumberFormat="1" applyFont="1" applyBorder="1" applyAlignment="1">
      <alignment vertical="center"/>
    </xf>
    <xf numFmtId="164" fontId="37" fillId="9" borderId="1" xfId="0" applyNumberFormat="1" applyFont="1" applyFill="1" applyBorder="1" applyAlignment="1">
      <alignment horizontal="right" vertical="center" wrapText="1"/>
    </xf>
    <xf numFmtId="164" fontId="48" fillId="5" borderId="1" xfId="0" applyNumberFormat="1" applyFont="1" applyFill="1" applyBorder="1" applyAlignment="1">
      <alignment horizontal="right" vertical="center" wrapText="1"/>
    </xf>
    <xf numFmtId="164" fontId="48" fillId="5" borderId="39" xfId="0" applyNumberFormat="1" applyFont="1" applyFill="1" applyBorder="1" applyAlignment="1">
      <alignment horizontal="right" vertical="center"/>
    </xf>
    <xf numFmtId="164" fontId="63" fillId="5" borderId="1" xfId="0" applyNumberFormat="1" applyFont="1" applyFill="1" applyBorder="1" applyAlignment="1">
      <alignment horizontal="right" vertical="center" wrapText="1"/>
    </xf>
    <xf numFmtId="164" fontId="2" fillId="5" borderId="1" xfId="0" applyNumberFormat="1" applyFont="1" applyFill="1" applyBorder="1" applyAlignment="1">
      <alignment horizontal="right" vertical="center" wrapText="1"/>
    </xf>
    <xf numFmtId="2" fontId="37" fillId="5" borderId="1" xfId="0" applyNumberFormat="1" applyFont="1" applyFill="1" applyBorder="1" applyAlignment="1">
      <alignment horizontal="right" vertical="center" wrapText="1"/>
    </xf>
    <xf numFmtId="164" fontId="48" fillId="9" borderId="1" xfId="0" applyNumberFormat="1" applyFont="1" applyFill="1" applyBorder="1" applyAlignment="1">
      <alignment horizontal="right" vertical="center"/>
    </xf>
    <xf numFmtId="164" fontId="48" fillId="4" borderId="1" xfId="0" applyNumberFormat="1" applyFont="1" applyFill="1" applyBorder="1" applyAlignment="1">
      <alignment horizontal="right" vertical="center"/>
    </xf>
    <xf numFmtId="171" fontId="37" fillId="4" borderId="1" xfId="0" applyNumberFormat="1" applyFont="1" applyFill="1" applyBorder="1" applyAlignment="1">
      <alignment horizontal="right" vertical="center"/>
    </xf>
    <xf numFmtId="164" fontId="93" fillId="5" borderId="1" xfId="0" applyNumberFormat="1" applyFont="1" applyFill="1" applyBorder="1" applyAlignment="1">
      <alignment horizontal="right" vertical="center"/>
    </xf>
    <xf numFmtId="164" fontId="37" fillId="5" borderId="46" xfId="0" applyNumberFormat="1" applyFont="1" applyFill="1" applyBorder="1" applyAlignment="1">
      <alignment vertical="center"/>
    </xf>
    <xf numFmtId="164" fontId="65" fillId="5" borderId="39" xfId="0" applyNumberFormat="1" applyFont="1" applyFill="1" applyBorder="1" applyAlignment="1">
      <alignment horizontal="right" vertical="center"/>
    </xf>
    <xf numFmtId="164" fontId="63" fillId="6" borderId="1" xfId="0" applyNumberFormat="1" applyFont="1" applyFill="1" applyBorder="1" applyAlignment="1">
      <alignment horizontal="right" vertical="center"/>
    </xf>
    <xf numFmtId="164" fontId="2" fillId="5" borderId="1" xfId="0" applyNumberFormat="1" applyFont="1" applyFill="1" applyBorder="1" applyAlignment="1">
      <alignment horizontal="center" vertical="center" wrapText="1"/>
    </xf>
    <xf numFmtId="164" fontId="2" fillId="5" borderId="40" xfId="0" applyNumberFormat="1" applyFont="1" applyFill="1" applyBorder="1" applyAlignment="1">
      <alignment horizontal="center" vertical="center" wrapText="1"/>
    </xf>
    <xf numFmtId="165" fontId="2" fillId="0" borderId="52" xfId="0" applyNumberFormat="1" applyFont="1" applyBorder="1" applyAlignment="1">
      <alignment horizontal="right" vertical="center"/>
    </xf>
    <xf numFmtId="165" fontId="2" fillId="5" borderId="39" xfId="0" applyNumberFormat="1" applyFont="1" applyFill="1" applyBorder="1" applyAlignment="1">
      <alignment horizontal="right" vertical="center"/>
    </xf>
    <xf numFmtId="164" fontId="2" fillId="6" borderId="1" xfId="0" applyNumberFormat="1" applyFont="1" applyFill="1" applyBorder="1" applyAlignment="1">
      <alignment horizontal="right" vertical="center"/>
    </xf>
    <xf numFmtId="164" fontId="65" fillId="5" borderId="1" xfId="0" applyNumberFormat="1" applyFont="1" applyFill="1" applyBorder="1" applyAlignment="1">
      <alignment horizontal="right" vertical="center"/>
    </xf>
    <xf numFmtId="164" fontId="48" fillId="6" borderId="1" xfId="0" applyNumberFormat="1" applyFont="1" applyFill="1" applyBorder="1" applyAlignment="1">
      <alignment horizontal="right" vertical="center"/>
    </xf>
    <xf numFmtId="165" fontId="63" fillId="5" borderId="1" xfId="0" applyNumberFormat="1" applyFont="1" applyFill="1" applyBorder="1" applyAlignment="1">
      <alignment horizontal="right" vertical="center"/>
    </xf>
    <xf numFmtId="164" fontId="48" fillId="5" borderId="40" xfId="0" applyNumberFormat="1" applyFont="1" applyFill="1" applyBorder="1" applyAlignment="1">
      <alignment horizontal="right" vertical="center"/>
    </xf>
    <xf numFmtId="165" fontId="48" fillId="5" borderId="40" xfId="0" applyNumberFormat="1" applyFont="1" applyFill="1" applyBorder="1" applyAlignment="1">
      <alignment horizontal="right" vertical="center"/>
    </xf>
    <xf numFmtId="14" fontId="53" fillId="5" borderId="1" xfId="0" applyNumberFormat="1" applyFont="1" applyFill="1" applyBorder="1" applyAlignment="1">
      <alignment horizontal="right" vertical="center" wrapText="1"/>
    </xf>
    <xf numFmtId="164" fontId="37" fillId="2" borderId="39" xfId="0" applyNumberFormat="1" applyFont="1" applyFill="1" applyBorder="1" applyAlignment="1">
      <alignment horizontal="right" vertical="center"/>
    </xf>
    <xf numFmtId="165" fontId="63" fillId="5" borderId="41" xfId="0" applyNumberFormat="1" applyFont="1" applyFill="1" applyBorder="1" applyAlignment="1">
      <alignment horizontal="right" vertical="center"/>
    </xf>
    <xf numFmtId="164" fontId="100" fillId="0" borderId="1" xfId="0" applyNumberFormat="1" applyFont="1" applyBorder="1" applyAlignment="1">
      <alignment horizontal="center" vertical="center"/>
    </xf>
    <xf numFmtId="165" fontId="139" fillId="16" borderId="1" xfId="0" applyNumberFormat="1" applyFont="1" applyFill="1" applyBorder="1" applyAlignment="1">
      <alignment horizontal="center" vertical="center"/>
    </xf>
    <xf numFmtId="164" fontId="100" fillId="0" borderId="0" xfId="0" applyNumberFormat="1" applyFont="1" applyAlignment="1">
      <alignment horizontal="center"/>
    </xf>
    <xf numFmtId="0" fontId="0" fillId="23" borderId="12" xfId="0" applyFill="1" applyBorder="1" applyAlignment="1">
      <alignment horizontal="center" vertical="center" wrapText="1"/>
    </xf>
    <xf numFmtId="0" fontId="41" fillId="24" borderId="34" xfId="0" applyFont="1" applyFill="1" applyBorder="1" applyAlignment="1">
      <alignment horizontal="center" vertical="center"/>
    </xf>
    <xf numFmtId="3" fontId="41" fillId="24" borderId="9" xfId="4" applyNumberFormat="1" applyFont="1" applyFill="1" applyBorder="1" applyAlignment="1">
      <alignment horizontal="center" vertical="center"/>
    </xf>
    <xf numFmtId="3" fontId="41" fillId="24" borderId="9" xfId="0" applyNumberFormat="1" applyFont="1" applyFill="1" applyBorder="1" applyAlignment="1">
      <alignment horizontal="center" vertical="center"/>
    </xf>
    <xf numFmtId="3" fontId="41" fillId="24" borderId="12" xfId="0" applyNumberFormat="1" applyFont="1" applyFill="1" applyBorder="1" applyAlignment="1">
      <alignment horizontal="center" vertical="center"/>
    </xf>
    <xf numFmtId="0" fontId="41" fillId="24" borderId="34" xfId="0" applyFont="1" applyFill="1" applyBorder="1" applyAlignment="1">
      <alignment horizontal="center" vertical="center" wrapText="1"/>
    </xf>
    <xf numFmtId="0" fontId="105" fillId="3" borderId="4" xfId="0" applyFont="1" applyFill="1" applyBorder="1" applyAlignment="1">
      <alignment horizontal="center" vertical="center" wrapText="1"/>
    </xf>
    <xf numFmtId="3" fontId="140" fillId="20" borderId="26" xfId="0" applyNumberFormat="1" applyFont="1" applyFill="1" applyBorder="1" applyAlignment="1">
      <alignment horizontal="center" vertical="top" wrapText="1"/>
    </xf>
    <xf numFmtId="0" fontId="56" fillId="18" borderId="27" xfId="0" applyFont="1" applyFill="1" applyBorder="1" applyAlignment="1">
      <alignment horizontal="center" vertical="center" wrapText="1"/>
    </xf>
    <xf numFmtId="0" fontId="85" fillId="16" borderId="10" xfId="0" applyFont="1" applyFill="1" applyBorder="1" applyAlignment="1">
      <alignment horizontal="center" vertical="center" wrapText="1"/>
    </xf>
    <xf numFmtId="165" fontId="86" fillId="16" borderId="10" xfId="0" applyNumberFormat="1" applyFont="1" applyFill="1" applyBorder="1" applyAlignment="1">
      <alignment horizontal="center"/>
    </xf>
    <xf numFmtId="167" fontId="86" fillId="16" borderId="10" xfId="4" applyNumberFormat="1" applyFont="1" applyFill="1" applyBorder="1" applyAlignment="1">
      <alignment horizontal="center" wrapText="1"/>
    </xf>
    <xf numFmtId="3" fontId="86" fillId="0" borderId="10" xfId="0" applyNumberFormat="1" applyFont="1" applyBorder="1" applyAlignment="1">
      <alignment horizontal="center" wrapText="1"/>
    </xf>
    <xf numFmtId="165" fontId="86" fillId="12" borderId="10" xfId="0" applyNumberFormat="1" applyFont="1" applyFill="1" applyBorder="1" applyAlignment="1">
      <alignment horizontal="center"/>
    </xf>
    <xf numFmtId="165" fontId="86" fillId="0" borderId="10" xfId="0" applyNumberFormat="1" applyFont="1" applyBorder="1" applyAlignment="1">
      <alignment horizontal="center" vertical="center"/>
    </xf>
    <xf numFmtId="165" fontId="86" fillId="12" borderId="10" xfId="0" applyNumberFormat="1" applyFont="1" applyFill="1" applyBorder="1" applyAlignment="1">
      <alignment horizontal="center" vertical="center"/>
    </xf>
    <xf numFmtId="165" fontId="87" fillId="12" borderId="10" xfId="0" applyNumberFormat="1" applyFont="1" applyFill="1" applyBorder="1" applyAlignment="1">
      <alignment horizontal="center" vertical="center"/>
    </xf>
    <xf numFmtId="165" fontId="86" fillId="0" borderId="67" xfId="0" applyNumberFormat="1" applyFont="1" applyBorder="1" applyAlignment="1">
      <alignment horizontal="center" vertical="center"/>
    </xf>
    <xf numFmtId="3" fontId="0" fillId="0" borderId="4" xfId="0" applyNumberFormat="1" applyBorder="1" applyAlignment="1">
      <alignment horizontal="center" vertical="top"/>
    </xf>
    <xf numFmtId="3" fontId="0" fillId="0" borderId="11" xfId="0" applyNumberFormat="1" applyBorder="1" applyAlignment="1">
      <alignment horizontal="center" vertical="top"/>
    </xf>
    <xf numFmtId="1" fontId="99" fillId="23" borderId="0" xfId="0" applyNumberFormat="1" applyFont="1" applyFill="1" applyAlignment="1">
      <alignment horizontal="center"/>
    </xf>
    <xf numFmtId="0" fontId="119" fillId="0" borderId="12" xfId="0" applyFont="1" applyBorder="1" applyAlignment="1">
      <alignment horizontal="center" vertical="center" wrapText="1"/>
    </xf>
    <xf numFmtId="0" fontId="104" fillId="3" borderId="4" xfId="0" applyFont="1" applyFill="1" applyBorder="1" applyAlignment="1">
      <alignment horizontal="center" vertical="center" wrapText="1"/>
    </xf>
    <xf numFmtId="0" fontId="33" fillId="23" borderId="2" xfId="0" applyFont="1" applyFill="1" applyBorder="1" applyAlignment="1">
      <alignment horizontal="center" vertical="center"/>
    </xf>
    <xf numFmtId="0" fontId="33" fillId="23" borderId="10" xfId="0" applyFont="1" applyFill="1" applyBorder="1" applyAlignment="1">
      <alignment horizontal="center" vertical="center"/>
    </xf>
    <xf numFmtId="0" fontId="33" fillId="23" borderId="4" xfId="0" applyFont="1" applyFill="1" applyBorder="1" applyAlignment="1">
      <alignment horizontal="center" vertical="center"/>
    </xf>
    <xf numFmtId="0" fontId="33" fillId="23" borderId="5" xfId="0" applyFont="1" applyFill="1" applyBorder="1" applyAlignment="1">
      <alignment horizontal="center" vertical="center"/>
    </xf>
    <xf numFmtId="0" fontId="85" fillId="16" borderId="52" xfId="0" applyFont="1" applyFill="1" applyBorder="1" applyAlignment="1">
      <alignment horizontal="center" vertical="center" wrapText="1"/>
    </xf>
    <xf numFmtId="0" fontId="0" fillId="16" borderId="49" xfId="0" applyFill="1" applyBorder="1" applyAlignment="1">
      <alignment horizontal="center" vertical="center"/>
    </xf>
    <xf numFmtId="0" fontId="85" fillId="16" borderId="57" xfId="0" applyFont="1" applyFill="1" applyBorder="1" applyAlignment="1">
      <alignment horizontal="center" vertical="center"/>
    </xf>
    <xf numFmtId="0" fontId="85" fillId="16" borderId="62" xfId="0" applyFont="1" applyFill="1" applyBorder="1" applyAlignment="1">
      <alignment horizontal="center" vertical="center"/>
    </xf>
    <xf numFmtId="0" fontId="85" fillId="16" borderId="58" xfId="0" applyFont="1" applyFill="1" applyBorder="1" applyAlignment="1">
      <alignment horizontal="center" vertical="center"/>
    </xf>
    <xf numFmtId="0" fontId="85" fillId="16" borderId="47" xfId="0" applyFont="1" applyFill="1" applyBorder="1" applyAlignment="1">
      <alignment horizontal="center"/>
    </xf>
    <xf numFmtId="0" fontId="85" fillId="16" borderId="53" xfId="0" applyFont="1" applyFill="1" applyBorder="1" applyAlignment="1">
      <alignment horizontal="center"/>
    </xf>
    <xf numFmtId="0" fontId="85" fillId="16" borderId="52" xfId="0" applyFont="1" applyFill="1" applyBorder="1" applyAlignment="1">
      <alignment horizontal="center" vertical="center"/>
    </xf>
    <xf numFmtId="0" fontId="0" fillId="0" borderId="49" xfId="0" applyBorder="1" applyAlignment="1">
      <alignment horizontal="center" vertical="center"/>
    </xf>
    <xf numFmtId="0" fontId="85" fillId="16" borderId="3" xfId="0" applyFont="1" applyFill="1" applyBorder="1" applyAlignment="1">
      <alignment horizontal="center" vertical="center" wrapText="1"/>
    </xf>
    <xf numFmtId="0" fontId="0" fillId="16" borderId="49" xfId="0" applyFill="1" applyBorder="1" applyAlignment="1">
      <alignment horizontal="center" vertical="center" wrapText="1"/>
    </xf>
    <xf numFmtId="0" fontId="85" fillId="16" borderId="55" xfId="0" applyFont="1" applyFill="1" applyBorder="1" applyAlignment="1">
      <alignment horizontal="center"/>
    </xf>
    <xf numFmtId="0" fontId="85" fillId="16" borderId="56" xfId="0" applyFont="1" applyFill="1" applyBorder="1" applyAlignment="1">
      <alignment horizontal="center"/>
    </xf>
    <xf numFmtId="0" fontId="85" fillId="16" borderId="20" xfId="0" applyFont="1" applyFill="1" applyBorder="1" applyAlignment="1">
      <alignment horizontal="center"/>
    </xf>
    <xf numFmtId="0" fontId="107" fillId="0" borderId="0" xfId="0" applyFont="1" applyAlignment="1">
      <alignment horizontal="left" vertical="center" wrapText="1"/>
    </xf>
    <xf numFmtId="0" fontId="106" fillId="0" borderId="2" xfId="0" applyFont="1" applyBorder="1" applyAlignment="1">
      <alignment horizontal="left" vertical="center" wrapText="1"/>
    </xf>
    <xf numFmtId="0" fontId="106" fillId="0" borderId="3" xfId="0" applyFont="1" applyBorder="1" applyAlignment="1">
      <alignment horizontal="left" vertical="center" wrapText="1"/>
    </xf>
    <xf numFmtId="0" fontId="106" fillId="0" borderId="10" xfId="0" applyFont="1" applyBorder="1" applyAlignment="1">
      <alignment horizontal="left" vertical="center" wrapText="1"/>
    </xf>
    <xf numFmtId="0" fontId="108" fillId="0" borderId="0" xfId="0" applyFont="1" applyAlignment="1">
      <alignment horizontal="left" vertical="center" wrapText="1"/>
    </xf>
    <xf numFmtId="0" fontId="0" fillId="0" borderId="0" xfId="0" applyAlignment="1">
      <alignment horizontal="left" vertical="center" wrapText="1"/>
    </xf>
    <xf numFmtId="0" fontId="111" fillId="3" borderId="2" xfId="0" applyFont="1" applyFill="1" applyBorder="1" applyAlignment="1">
      <alignment horizontal="left" vertical="center" wrapText="1"/>
    </xf>
    <xf numFmtId="0" fontId="111" fillId="3" borderId="3" xfId="0" applyFont="1" applyFill="1" applyBorder="1" applyAlignment="1">
      <alignment horizontal="left" vertical="center" wrapText="1"/>
    </xf>
    <xf numFmtId="0" fontId="111" fillId="3" borderId="10" xfId="0" applyFont="1" applyFill="1" applyBorder="1" applyAlignment="1">
      <alignment horizontal="left" vertical="center" wrapText="1"/>
    </xf>
    <xf numFmtId="0" fontId="105" fillId="3" borderId="4" xfId="0" applyFont="1" applyFill="1" applyBorder="1" applyAlignment="1">
      <alignment horizontal="center" vertical="center"/>
    </xf>
    <xf numFmtId="0" fontId="105" fillId="3" borderId="5" xfId="0" applyFont="1" applyFill="1" applyBorder="1" applyAlignment="1">
      <alignment horizontal="center" vertical="center"/>
    </xf>
    <xf numFmtId="0" fontId="105" fillId="3" borderId="2" xfId="0" applyFont="1" applyFill="1" applyBorder="1" applyAlignment="1">
      <alignment horizontal="center"/>
    </xf>
    <xf numFmtId="0" fontId="105" fillId="3" borderId="10" xfId="0" applyFont="1" applyFill="1" applyBorder="1" applyAlignment="1">
      <alignment horizontal="center"/>
    </xf>
    <xf numFmtId="0" fontId="105" fillId="3" borderId="3" xfId="0" applyFont="1" applyFill="1" applyBorder="1" applyAlignment="1">
      <alignment horizontal="center"/>
    </xf>
    <xf numFmtId="0" fontId="106" fillId="3" borderId="2" xfId="0" applyFont="1" applyFill="1" applyBorder="1" applyAlignment="1">
      <alignment horizontal="left" vertical="center" wrapText="1"/>
    </xf>
    <xf numFmtId="0" fontId="106" fillId="3" borderId="3" xfId="0" applyFont="1" applyFill="1" applyBorder="1" applyAlignment="1">
      <alignment horizontal="left" vertical="center" wrapText="1"/>
    </xf>
    <xf numFmtId="0" fontId="106" fillId="3" borderId="10" xfId="0" applyFont="1" applyFill="1" applyBorder="1" applyAlignment="1">
      <alignment horizontal="left" vertical="center" wrapText="1"/>
    </xf>
    <xf numFmtId="0" fontId="130" fillId="0" borderId="0" xfId="0" applyFont="1" applyAlignment="1">
      <alignment horizontal="left" vertical="center" wrapText="1"/>
    </xf>
    <xf numFmtId="0" fontId="130" fillId="0" borderId="0" xfId="0" applyFont="1" applyAlignment="1">
      <alignment horizontal="left" vertical="center"/>
    </xf>
    <xf numFmtId="0" fontId="123" fillId="0" borderId="0" xfId="0" applyFont="1" applyAlignment="1">
      <alignment horizontal="left"/>
    </xf>
    <xf numFmtId="0" fontId="119" fillId="16" borderId="1" xfId="0" applyFont="1" applyFill="1" applyBorder="1" applyAlignment="1">
      <alignment horizontal="center"/>
    </xf>
    <xf numFmtId="0" fontId="119" fillId="16" borderId="2" xfId="0" applyFont="1" applyFill="1" applyBorder="1" applyAlignment="1">
      <alignment horizontal="center"/>
    </xf>
    <xf numFmtId="0" fontId="119" fillId="16" borderId="10" xfId="0" applyFont="1" applyFill="1" applyBorder="1" applyAlignment="1">
      <alignment horizontal="center"/>
    </xf>
    <xf numFmtId="0" fontId="119" fillId="0" borderId="2" xfId="0" applyFont="1" applyBorder="1" applyAlignment="1">
      <alignment horizontal="center" vertical="center"/>
    </xf>
    <xf numFmtId="0" fontId="119" fillId="0" borderId="10" xfId="0" applyFont="1" applyBorder="1" applyAlignment="1">
      <alignment horizontal="center" vertical="center"/>
    </xf>
    <xf numFmtId="0" fontId="85" fillId="16" borderId="63" xfId="0" applyFont="1" applyFill="1" applyBorder="1" applyAlignment="1">
      <alignment horizontal="center"/>
    </xf>
    <xf numFmtId="0" fontId="85" fillId="16" borderId="64" xfId="0" applyFont="1" applyFill="1" applyBorder="1" applyAlignment="1">
      <alignment horizontal="center"/>
    </xf>
    <xf numFmtId="0" fontId="85" fillId="16" borderId="37" xfId="0" applyFont="1" applyFill="1" applyBorder="1" applyAlignment="1">
      <alignment horizontal="center" vertical="center"/>
    </xf>
    <xf numFmtId="0" fontId="85" fillId="16" borderId="38" xfId="0" applyFont="1" applyFill="1" applyBorder="1" applyAlignment="1">
      <alignment horizontal="center" vertical="center"/>
    </xf>
    <xf numFmtId="0" fontId="85" fillId="16" borderId="55" xfId="0" applyFont="1" applyFill="1" applyBorder="1" applyAlignment="1">
      <alignment horizontal="center" vertical="center"/>
    </xf>
    <xf numFmtId="0" fontId="85" fillId="16" borderId="56" xfId="0" applyFont="1" applyFill="1" applyBorder="1" applyAlignment="1">
      <alignment horizontal="center" vertical="center"/>
    </xf>
    <xf numFmtId="0" fontId="85" fillId="16" borderId="71" xfId="0" applyFont="1" applyFill="1" applyBorder="1" applyAlignment="1">
      <alignment horizontal="center"/>
    </xf>
    <xf numFmtId="0" fontId="85" fillId="16" borderId="73" xfId="0" applyFont="1" applyFill="1" applyBorder="1" applyAlignment="1">
      <alignment horizontal="center"/>
    </xf>
    <xf numFmtId="0" fontId="85" fillId="16" borderId="72" xfId="0" applyFont="1" applyFill="1" applyBorder="1" applyAlignment="1">
      <alignment horizontal="center"/>
    </xf>
    <xf numFmtId="0" fontId="110" fillId="0" borderId="0" xfId="0" applyFont="1"/>
    <xf numFmtId="0" fontId="104" fillId="3" borderId="4" xfId="0" applyFont="1" applyFill="1" applyBorder="1" applyAlignment="1">
      <alignment horizontal="center" vertical="center"/>
    </xf>
    <xf numFmtId="0" fontId="104" fillId="3" borderId="5" xfId="0" applyFont="1" applyFill="1" applyBorder="1" applyAlignment="1">
      <alignment horizontal="center" vertical="center"/>
    </xf>
    <xf numFmtId="0" fontId="104" fillId="3" borderId="2" xfId="0" applyFont="1" applyFill="1" applyBorder="1" applyAlignment="1">
      <alignment horizontal="center"/>
    </xf>
    <xf numFmtId="0" fontId="104" fillId="3" borderId="10" xfId="0" applyFont="1" applyFill="1" applyBorder="1" applyAlignment="1">
      <alignment horizontal="center"/>
    </xf>
    <xf numFmtId="0" fontId="104" fillId="3" borderId="3" xfId="0" applyFont="1" applyFill="1" applyBorder="1" applyAlignment="1">
      <alignment horizontal="center"/>
    </xf>
    <xf numFmtId="0" fontId="115" fillId="0" borderId="0" xfId="0" applyFont="1" applyAlignment="1">
      <alignment horizontal="left" vertical="center" wrapText="1"/>
    </xf>
    <xf numFmtId="0" fontId="110" fillId="0" borderId="0" xfId="0" applyFont="1" applyAlignment="1">
      <alignment horizontal="left" vertical="center" wrapText="1"/>
    </xf>
    <xf numFmtId="0" fontId="119" fillId="0" borderId="4" xfId="0" applyFont="1" applyBorder="1" applyAlignment="1">
      <alignment horizontal="center" vertical="center"/>
    </xf>
    <xf numFmtId="0" fontId="119" fillId="0" borderId="5" xfId="0" applyFont="1" applyBorder="1" applyAlignment="1">
      <alignment horizontal="center" vertical="center"/>
    </xf>
    <xf numFmtId="0" fontId="92" fillId="0" borderId="0" xfId="0" applyFont="1" applyAlignment="1">
      <alignment horizontal="left" vertical="center" wrapText="1"/>
    </xf>
    <xf numFmtId="0" fontId="85" fillId="16" borderId="29" xfId="0" applyFont="1" applyFill="1" applyBorder="1" applyAlignment="1">
      <alignment horizontal="center"/>
    </xf>
    <xf numFmtId="0" fontId="85" fillId="16" borderId="16" xfId="0" applyFont="1" applyFill="1" applyBorder="1" applyAlignment="1">
      <alignment horizontal="center"/>
    </xf>
    <xf numFmtId="0" fontId="85" fillId="16" borderId="36" xfId="0" applyFont="1" applyFill="1" applyBorder="1" applyAlignment="1">
      <alignment horizontal="center"/>
    </xf>
    <xf numFmtId="0" fontId="91" fillId="0" borderId="0" xfId="0" applyFont="1" applyAlignment="1">
      <alignment vertical="top" wrapText="1"/>
    </xf>
    <xf numFmtId="0" fontId="0" fillId="0" borderId="0" xfId="0" applyAlignment="1">
      <alignment vertical="top" wrapText="1"/>
    </xf>
    <xf numFmtId="167" fontId="38" fillId="5" borderId="46" xfId="4" applyNumberFormat="1" applyFont="1" applyFill="1" applyBorder="1" applyAlignment="1">
      <alignment horizontal="right" vertical="center"/>
    </xf>
    <xf numFmtId="167" fontId="38" fillId="5" borderId="24" xfId="4" applyNumberFormat="1" applyFont="1" applyFill="1" applyBorder="1" applyAlignment="1">
      <alignment horizontal="right" vertical="center"/>
    </xf>
    <xf numFmtId="164" fontId="38" fillId="5" borderId="45" xfId="0" applyNumberFormat="1" applyFont="1" applyFill="1" applyBorder="1" applyAlignment="1">
      <alignment horizontal="center" vertical="center"/>
    </xf>
    <xf numFmtId="164" fontId="38" fillId="5" borderId="23" xfId="0" applyNumberFormat="1" applyFont="1" applyFill="1" applyBorder="1" applyAlignment="1">
      <alignment horizontal="center" vertical="center"/>
    </xf>
    <xf numFmtId="164" fontId="37" fillId="5" borderId="45" xfId="0" applyNumberFormat="1" applyFont="1" applyFill="1" applyBorder="1" applyAlignment="1">
      <alignment horizontal="right" vertical="center"/>
    </xf>
    <xf numFmtId="164" fontId="37" fillId="5" borderId="23" xfId="0" applyNumberFormat="1" applyFont="1" applyFill="1" applyBorder="1" applyAlignment="1">
      <alignment horizontal="right" vertical="center"/>
    </xf>
    <xf numFmtId="164" fontId="37" fillId="5" borderId="43" xfId="0" applyNumberFormat="1" applyFont="1" applyFill="1" applyBorder="1" applyAlignment="1">
      <alignment horizontal="right" vertical="center"/>
    </xf>
    <xf numFmtId="164" fontId="63" fillId="5" borderId="45" xfId="0" applyNumberFormat="1" applyFont="1" applyFill="1" applyBorder="1" applyAlignment="1">
      <alignment horizontal="right" vertical="center"/>
    </xf>
    <xf numFmtId="164" fontId="63" fillId="5" borderId="43" xfId="0" applyNumberFormat="1" applyFont="1" applyFill="1" applyBorder="1" applyAlignment="1">
      <alignment horizontal="right" vertical="center"/>
    </xf>
    <xf numFmtId="164" fontId="37" fillId="4" borderId="4" xfId="0" applyNumberFormat="1" applyFont="1" applyFill="1" applyBorder="1" applyAlignment="1">
      <alignment horizontal="right" vertical="center"/>
    </xf>
    <xf numFmtId="164" fontId="37" fillId="4" borderId="9" xfId="0" applyNumberFormat="1" applyFont="1" applyFill="1" applyBorder="1" applyAlignment="1">
      <alignment horizontal="right" vertical="center"/>
    </xf>
    <xf numFmtId="164" fontId="37" fillId="5" borderId="39" xfId="0" applyNumberFormat="1" applyFont="1" applyFill="1" applyBorder="1" applyAlignment="1">
      <alignment horizontal="right" vertical="center"/>
    </xf>
    <xf numFmtId="164" fontId="38" fillId="0" borderId="4" xfId="0" applyNumberFormat="1" applyFont="1" applyBorder="1" applyAlignment="1">
      <alignment horizontal="center" vertical="center"/>
    </xf>
    <xf numFmtId="164" fontId="38" fillId="0" borderId="9" xfId="0" applyNumberFormat="1" applyFont="1" applyBorder="1" applyAlignment="1">
      <alignment horizontal="center" vertical="center"/>
    </xf>
    <xf numFmtId="164" fontId="38" fillId="0" borderId="5" xfId="0" applyNumberFormat="1" applyFont="1" applyBorder="1" applyAlignment="1">
      <alignment horizontal="center" vertical="center"/>
    </xf>
    <xf numFmtId="164" fontId="37" fillId="5" borderId="4" xfId="0" applyNumberFormat="1" applyFont="1" applyFill="1" applyBorder="1" applyAlignment="1">
      <alignment horizontal="center" vertical="center"/>
    </xf>
    <xf numFmtId="164" fontId="37" fillId="5" borderId="5" xfId="0" applyNumberFormat="1" applyFont="1" applyFill="1" applyBorder="1" applyAlignment="1">
      <alignment horizontal="center" vertical="center"/>
    </xf>
    <xf numFmtId="164" fontId="37" fillId="4" borderId="5" xfId="0" applyNumberFormat="1" applyFont="1" applyFill="1" applyBorder="1" applyAlignment="1">
      <alignment horizontal="right" vertical="center"/>
    </xf>
    <xf numFmtId="164" fontId="37" fillId="6" borderId="1" xfId="0" applyNumberFormat="1" applyFont="1" applyFill="1" applyBorder="1" applyAlignment="1">
      <alignment horizontal="right" vertical="center"/>
    </xf>
    <xf numFmtId="164" fontId="37" fillId="5" borderId="4" xfId="0" applyNumberFormat="1" applyFont="1" applyFill="1" applyBorder="1" applyAlignment="1">
      <alignment horizontal="right" vertical="center"/>
    </xf>
    <xf numFmtId="164" fontId="37" fillId="5" borderId="5" xfId="0" applyNumberFormat="1" applyFont="1" applyFill="1" applyBorder="1" applyAlignment="1">
      <alignment horizontal="right" vertical="center"/>
    </xf>
    <xf numFmtId="164" fontId="37" fillId="5" borderId="1" xfId="0" applyNumberFormat="1" applyFont="1" applyFill="1" applyBorder="1" applyAlignment="1">
      <alignment horizontal="right" vertical="center"/>
    </xf>
    <xf numFmtId="164" fontId="37" fillId="4" borderId="1" xfId="0" applyNumberFormat="1" applyFont="1" applyFill="1" applyBorder="1" applyAlignment="1">
      <alignment horizontal="right" vertical="center"/>
    </xf>
    <xf numFmtId="164" fontId="2" fillId="5" borderId="1" xfId="0" applyNumberFormat="1" applyFont="1" applyFill="1" applyBorder="1" applyAlignment="1">
      <alignment horizontal="center" vertical="center"/>
    </xf>
    <xf numFmtId="164" fontId="2" fillId="5" borderId="10" xfId="0" applyNumberFormat="1" applyFont="1" applyFill="1" applyBorder="1" applyAlignment="1">
      <alignment horizontal="center" vertical="center"/>
    </xf>
    <xf numFmtId="164" fontId="37" fillId="0" borderId="60" xfId="0" applyNumberFormat="1" applyFont="1" applyBorder="1" applyAlignment="1">
      <alignment horizontal="right" vertical="center"/>
    </xf>
    <xf numFmtId="164" fontId="37" fillId="0" borderId="37" xfId="0" applyNumberFormat="1" applyFont="1" applyBorder="1" applyAlignment="1">
      <alignment horizontal="right" vertical="center"/>
    </xf>
    <xf numFmtId="164" fontId="37" fillId="6" borderId="4" xfId="0" applyNumberFormat="1" applyFont="1" applyFill="1" applyBorder="1" applyAlignment="1">
      <alignment horizontal="right" vertical="center"/>
    </xf>
    <xf numFmtId="164" fontId="37" fillId="6" borderId="5" xfId="0" applyNumberFormat="1" applyFont="1" applyFill="1" applyBorder="1" applyAlignment="1">
      <alignment horizontal="right" vertical="center"/>
    </xf>
    <xf numFmtId="164" fontId="37" fillId="6" borderId="9" xfId="0" applyNumberFormat="1" applyFont="1" applyFill="1" applyBorder="1" applyAlignment="1">
      <alignment horizontal="right" vertical="center"/>
    </xf>
    <xf numFmtId="164" fontId="72" fillId="5" borderId="4" xfId="0" applyNumberFormat="1" applyFont="1" applyFill="1" applyBorder="1" applyAlignment="1">
      <alignment horizontal="right" vertical="center"/>
    </xf>
    <xf numFmtId="164" fontId="72" fillId="5" borderId="9" xfId="0" applyNumberFormat="1" applyFont="1" applyFill="1" applyBorder="1" applyAlignment="1">
      <alignment horizontal="right" vertical="center"/>
    </xf>
    <xf numFmtId="164" fontId="37" fillId="5" borderId="9" xfId="0" applyNumberFormat="1" applyFont="1" applyFill="1" applyBorder="1" applyAlignment="1">
      <alignment horizontal="right" vertical="center"/>
    </xf>
    <xf numFmtId="164" fontId="48" fillId="5" borderId="45" xfId="0" applyNumberFormat="1" applyFont="1" applyFill="1" applyBorder="1" applyAlignment="1">
      <alignment horizontal="right" vertical="center"/>
    </xf>
    <xf numFmtId="164" fontId="48" fillId="5" borderId="23" xfId="0" applyNumberFormat="1" applyFont="1" applyFill="1" applyBorder="1" applyAlignment="1">
      <alignment horizontal="right" vertical="center"/>
    </xf>
    <xf numFmtId="0" fontId="37" fillId="5" borderId="39" xfId="0" applyFont="1" applyFill="1" applyBorder="1" applyAlignment="1">
      <alignment horizontal="left" vertical="center" wrapText="1"/>
    </xf>
    <xf numFmtId="14" fontId="37" fillId="5" borderId="1" xfId="0" applyNumberFormat="1" applyFont="1" applyFill="1" applyBorder="1" applyAlignment="1">
      <alignment horizontal="center" vertical="center" wrapText="1"/>
    </xf>
    <xf numFmtId="0" fontId="41" fillId="5" borderId="0" xfId="0" applyFont="1" applyFill="1" applyAlignment="1">
      <alignment horizontal="center" vertical="center" wrapText="1"/>
    </xf>
    <xf numFmtId="0" fontId="41" fillId="2" borderId="22" xfId="0" applyFont="1" applyFill="1" applyBorder="1" applyAlignment="1">
      <alignment horizontal="center" vertical="center" wrapText="1"/>
    </xf>
    <xf numFmtId="0" fontId="41" fillId="2" borderId="24" xfId="0" applyFont="1" applyFill="1" applyBorder="1" applyAlignment="1">
      <alignment horizontal="center" vertical="center" wrapText="1"/>
    </xf>
    <xf numFmtId="0" fontId="41" fillId="2" borderId="14"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41" fillId="2" borderId="26" xfId="0" applyFont="1" applyFill="1" applyBorder="1" applyAlignment="1">
      <alignment horizontal="center" vertical="center" wrapText="1"/>
    </xf>
    <xf numFmtId="167" fontId="38" fillId="6" borderId="4" xfId="4" applyNumberFormat="1" applyFont="1" applyFill="1" applyBorder="1" applyAlignment="1">
      <alignment horizontal="right" vertical="center"/>
    </xf>
    <xf numFmtId="167" fontId="38" fillId="6" borderId="5" xfId="4" applyNumberFormat="1" applyFont="1" applyFill="1" applyBorder="1" applyAlignment="1">
      <alignment horizontal="right" vertical="center"/>
    </xf>
    <xf numFmtId="167" fontId="37" fillId="9" borderId="4" xfId="4" applyNumberFormat="1" applyFont="1" applyFill="1" applyBorder="1" applyAlignment="1">
      <alignment horizontal="right" vertical="center"/>
    </xf>
    <xf numFmtId="167" fontId="37" fillId="9" borderId="5" xfId="4" applyNumberFormat="1" applyFont="1" applyFill="1" applyBorder="1" applyAlignment="1">
      <alignment horizontal="right" vertical="center"/>
    </xf>
    <xf numFmtId="167" fontId="37" fillId="5" borderId="4" xfId="4" applyNumberFormat="1" applyFont="1" applyFill="1" applyBorder="1" applyAlignment="1">
      <alignment horizontal="right" vertical="center"/>
    </xf>
    <xf numFmtId="167" fontId="37" fillId="5" borderId="5" xfId="4" applyNumberFormat="1" applyFont="1" applyFill="1" applyBorder="1" applyAlignment="1">
      <alignment horizontal="right" vertical="center"/>
    </xf>
    <xf numFmtId="167" fontId="49" fillId="0" borderId="45" xfId="4" applyNumberFormat="1" applyFont="1" applyFill="1" applyBorder="1" applyAlignment="1">
      <alignment horizontal="center" vertical="center" wrapText="1"/>
    </xf>
    <xf numFmtId="167" fontId="49" fillId="0" borderId="43" xfId="4" applyNumberFormat="1" applyFont="1" applyFill="1" applyBorder="1" applyAlignment="1">
      <alignment horizontal="center" vertical="center" wrapText="1"/>
    </xf>
    <xf numFmtId="167" fontId="49" fillId="5" borderId="4" xfId="4" applyNumberFormat="1" applyFont="1" applyFill="1" applyBorder="1" applyAlignment="1">
      <alignment horizontal="center" vertical="center" wrapText="1"/>
    </xf>
    <xf numFmtId="167" fontId="49" fillId="5" borderId="5" xfId="4" applyNumberFormat="1" applyFont="1" applyFill="1" applyBorder="1" applyAlignment="1">
      <alignment horizontal="center" vertical="center" wrapText="1"/>
    </xf>
    <xf numFmtId="0" fontId="37" fillId="5" borderId="68" xfId="0" applyFont="1" applyFill="1" applyBorder="1" applyAlignment="1">
      <alignment horizontal="center" vertical="center" wrapText="1"/>
    </xf>
    <xf numFmtId="0" fontId="37" fillId="5" borderId="0" xfId="0" applyFont="1" applyFill="1" applyAlignment="1">
      <alignment horizontal="center" vertical="center" wrapText="1"/>
    </xf>
    <xf numFmtId="0" fontId="38" fillId="5" borderId="0" xfId="0" applyFont="1" applyFill="1" applyAlignment="1">
      <alignment horizontal="center" vertical="center" wrapText="1"/>
    </xf>
    <xf numFmtId="167" fontId="38" fillId="0" borderId="45" xfId="4" applyNumberFormat="1" applyFont="1" applyFill="1" applyBorder="1" applyAlignment="1">
      <alignment horizontal="right" vertical="center"/>
    </xf>
    <xf numFmtId="167" fontId="38" fillId="0" borderId="43" xfId="4" applyNumberFormat="1" applyFont="1" applyFill="1" applyBorder="1" applyAlignment="1">
      <alignment horizontal="right" vertical="center"/>
    </xf>
    <xf numFmtId="14" fontId="37" fillId="5" borderId="4" xfId="0" applyNumberFormat="1" applyFont="1" applyFill="1" applyBorder="1" applyAlignment="1">
      <alignment horizontal="center" vertical="center" wrapText="1"/>
    </xf>
    <xf numFmtId="14" fontId="37" fillId="5" borderId="5" xfId="0" applyNumberFormat="1" applyFont="1" applyFill="1" applyBorder="1" applyAlignment="1">
      <alignment horizontal="center" vertical="center" wrapText="1"/>
    </xf>
    <xf numFmtId="167" fontId="49" fillId="5" borderId="46" xfId="4" applyNumberFormat="1" applyFont="1" applyFill="1" applyBorder="1" applyAlignment="1">
      <alignment horizontal="center" vertical="center" wrapText="1"/>
    </xf>
    <xf numFmtId="167" fontId="49" fillId="5" borderId="44" xfId="4" applyNumberFormat="1" applyFont="1" applyFill="1" applyBorder="1" applyAlignment="1">
      <alignment horizontal="center" vertical="center" wrapText="1"/>
    </xf>
    <xf numFmtId="164" fontId="37" fillId="0" borderId="4" xfId="0" applyNumberFormat="1" applyFont="1" applyBorder="1" applyAlignment="1">
      <alignment horizontal="center" vertical="center"/>
    </xf>
    <xf numFmtId="164" fontId="37" fillId="0" borderId="5" xfId="0" applyNumberFormat="1" applyFont="1" applyBorder="1" applyAlignment="1">
      <alignment horizontal="center" vertical="center"/>
    </xf>
    <xf numFmtId="167" fontId="37" fillId="5" borderId="9" xfId="4" applyNumberFormat="1" applyFont="1" applyFill="1" applyBorder="1" applyAlignment="1">
      <alignment horizontal="right" vertical="center"/>
    </xf>
    <xf numFmtId="164" fontId="0" fillId="5" borderId="45" xfId="0" applyNumberFormat="1" applyFill="1" applyBorder="1" applyAlignment="1">
      <alignment horizontal="right" vertical="center"/>
    </xf>
    <xf numFmtId="164" fontId="0" fillId="5" borderId="23" xfId="0" applyNumberFormat="1" applyFill="1" applyBorder="1" applyAlignment="1">
      <alignment horizontal="right" vertical="center"/>
    </xf>
    <xf numFmtId="164" fontId="0" fillId="5" borderId="43" xfId="0" applyNumberFormat="1" applyFill="1" applyBorder="1" applyAlignment="1">
      <alignment horizontal="right" vertical="center"/>
    </xf>
    <xf numFmtId="164" fontId="37" fillId="5" borderId="46" xfId="0" applyNumberFormat="1" applyFont="1" applyFill="1" applyBorder="1" applyAlignment="1">
      <alignment horizontal="center" vertical="center"/>
    </xf>
    <xf numFmtId="164" fontId="37" fillId="5" borderId="44" xfId="0" applyNumberFormat="1" applyFont="1" applyFill="1" applyBorder="1" applyAlignment="1">
      <alignment horizontal="center" vertical="center"/>
    </xf>
    <xf numFmtId="167" fontId="38" fillId="5" borderId="4" xfId="4" applyNumberFormat="1" applyFont="1" applyFill="1" applyBorder="1" applyAlignment="1">
      <alignment horizontal="right" vertical="center"/>
    </xf>
    <xf numFmtId="167" fontId="38" fillId="5" borderId="5" xfId="4" applyNumberFormat="1" applyFont="1" applyFill="1" applyBorder="1" applyAlignment="1">
      <alignment horizontal="right" vertical="center"/>
    </xf>
    <xf numFmtId="0" fontId="44" fillId="5" borderId="46" xfId="2" applyFill="1" applyBorder="1" applyAlignment="1">
      <alignment horizontal="left" vertical="center" wrapText="1"/>
    </xf>
    <xf numFmtId="0" fontId="44" fillId="5" borderId="24" xfId="2" applyFill="1" applyBorder="1" applyAlignment="1">
      <alignment horizontal="left" vertical="center" wrapText="1"/>
    </xf>
    <xf numFmtId="167" fontId="37" fillId="5" borderId="4" xfId="4" applyNumberFormat="1" applyFont="1" applyFill="1" applyBorder="1" applyAlignment="1">
      <alignment vertical="center"/>
    </xf>
    <xf numFmtId="167" fontId="37" fillId="5" borderId="9" xfId="4" applyNumberFormat="1" applyFont="1" applyFill="1" applyBorder="1" applyAlignment="1">
      <alignment vertical="center"/>
    </xf>
    <xf numFmtId="167" fontId="37" fillId="5" borderId="5" xfId="4" applyNumberFormat="1" applyFont="1" applyFill="1" applyBorder="1" applyAlignment="1">
      <alignment vertical="center"/>
    </xf>
    <xf numFmtId="167" fontId="38" fillId="5" borderId="44" xfId="4" applyNumberFormat="1" applyFont="1" applyFill="1" applyBorder="1" applyAlignment="1">
      <alignment horizontal="right" vertical="center"/>
    </xf>
    <xf numFmtId="167" fontId="49" fillId="5" borderId="9" xfId="4" applyNumberFormat="1" applyFont="1" applyFill="1" applyBorder="1" applyAlignment="1">
      <alignment horizontal="center" vertical="center" wrapText="1"/>
    </xf>
    <xf numFmtId="165" fontId="48" fillId="5" borderId="46" xfId="0" applyNumberFormat="1" applyFont="1" applyFill="1" applyBorder="1" applyAlignment="1">
      <alignment horizontal="right" vertical="center"/>
    </xf>
    <xf numFmtId="165" fontId="48" fillId="5" borderId="44" xfId="0" applyNumberFormat="1" applyFont="1" applyFill="1" applyBorder="1" applyAlignment="1">
      <alignment horizontal="right" vertical="center"/>
    </xf>
    <xf numFmtId="164" fontId="0" fillId="5" borderId="45" xfId="0" applyNumberFormat="1" applyFill="1" applyBorder="1" applyAlignment="1">
      <alignment horizontal="center" vertical="center"/>
    </xf>
    <xf numFmtId="164" fontId="0" fillId="5" borderId="43" xfId="0" applyNumberFormat="1" applyFill="1" applyBorder="1" applyAlignment="1">
      <alignment horizontal="center" vertical="center"/>
    </xf>
    <xf numFmtId="165" fontId="37" fillId="5" borderId="4" xfId="0" applyNumberFormat="1" applyFont="1" applyFill="1" applyBorder="1" applyAlignment="1">
      <alignment horizontal="center" vertical="center" wrapText="1"/>
    </xf>
    <xf numFmtId="165" fontId="37" fillId="5" borderId="5" xfId="0" applyNumberFormat="1" applyFont="1" applyFill="1" applyBorder="1" applyAlignment="1">
      <alignment horizontal="center" vertical="center" wrapText="1"/>
    </xf>
    <xf numFmtId="165" fontId="63" fillId="5" borderId="1" xfId="0" applyNumberFormat="1" applyFont="1" applyFill="1" applyBorder="1" applyAlignment="1">
      <alignment horizontal="right" vertical="center"/>
    </xf>
    <xf numFmtId="165" fontId="37" fillId="5" borderId="46" xfId="0" applyNumberFormat="1" applyFont="1" applyFill="1" applyBorder="1" applyAlignment="1">
      <alignment horizontal="center" vertical="center" wrapText="1"/>
    </xf>
    <xf numFmtId="165" fontId="37" fillId="5" borderId="44" xfId="0" applyNumberFormat="1" applyFont="1" applyFill="1" applyBorder="1" applyAlignment="1">
      <alignment horizontal="center" vertical="center" wrapText="1"/>
    </xf>
    <xf numFmtId="165" fontId="37" fillId="5" borderId="45" xfId="0" applyNumberFormat="1" applyFont="1" applyFill="1" applyBorder="1" applyAlignment="1">
      <alignment horizontal="right" vertical="center"/>
    </xf>
    <xf numFmtId="165" fontId="37" fillId="5" borderId="43" xfId="0" applyNumberFormat="1" applyFont="1" applyFill="1" applyBorder="1" applyAlignment="1">
      <alignment horizontal="right" vertical="center"/>
    </xf>
    <xf numFmtId="0" fontId="37" fillId="5" borderId="45" xfId="0" applyFont="1" applyFill="1" applyBorder="1" applyAlignment="1">
      <alignment horizontal="left" vertical="center" wrapText="1"/>
    </xf>
    <xf numFmtId="0" fontId="37" fillId="5" borderId="43" xfId="0" applyFont="1" applyFill="1" applyBorder="1" applyAlignment="1">
      <alignment horizontal="left" vertical="center" wrapText="1"/>
    </xf>
    <xf numFmtId="164" fontId="37" fillId="9" borderId="4" xfId="0" applyNumberFormat="1" applyFont="1" applyFill="1" applyBorder="1" applyAlignment="1">
      <alignment horizontal="right" vertical="center"/>
    </xf>
    <xf numFmtId="164" fontId="37" fillId="9" borderId="5" xfId="0" applyNumberFormat="1" applyFont="1" applyFill="1" applyBorder="1" applyAlignment="1">
      <alignment horizontal="right" vertical="center"/>
    </xf>
    <xf numFmtId="2" fontId="37" fillId="5" borderId="5" xfId="0" applyNumberFormat="1" applyFont="1" applyFill="1" applyBorder="1" applyAlignment="1">
      <alignment horizontal="right" vertical="center"/>
    </xf>
    <xf numFmtId="2" fontId="37" fillId="4" borderId="1" xfId="0" applyNumberFormat="1" applyFont="1" applyFill="1" applyBorder="1" applyAlignment="1">
      <alignment horizontal="right" vertical="center"/>
    </xf>
    <xf numFmtId="2" fontId="37" fillId="5" borderId="1" xfId="0" applyNumberFormat="1" applyFont="1" applyFill="1" applyBorder="1" applyAlignment="1">
      <alignment horizontal="right" vertical="center"/>
    </xf>
    <xf numFmtId="2" fontId="37" fillId="4" borderId="5" xfId="0" applyNumberFormat="1" applyFont="1" applyFill="1" applyBorder="1" applyAlignment="1">
      <alignment horizontal="right" vertical="center"/>
    </xf>
    <xf numFmtId="2" fontId="37" fillId="9" borderId="5" xfId="0" applyNumberFormat="1" applyFont="1" applyFill="1" applyBorder="1" applyAlignment="1">
      <alignment horizontal="right" vertical="center"/>
    </xf>
    <xf numFmtId="165" fontId="37" fillId="5" borderId="23" xfId="0" applyNumberFormat="1" applyFont="1" applyFill="1" applyBorder="1" applyAlignment="1">
      <alignment horizontal="right" vertical="center"/>
    </xf>
    <xf numFmtId="165" fontId="37" fillId="5" borderId="4" xfId="0" applyNumberFormat="1" applyFont="1" applyFill="1" applyBorder="1" applyAlignment="1">
      <alignment horizontal="right" vertical="center" wrapText="1"/>
    </xf>
    <xf numFmtId="165" fontId="37" fillId="5" borderId="9" xfId="0" applyNumberFormat="1" applyFont="1" applyFill="1" applyBorder="1" applyAlignment="1">
      <alignment horizontal="right" vertical="center" wrapText="1"/>
    </xf>
    <xf numFmtId="165" fontId="37" fillId="5" borderId="5" xfId="0" applyNumberFormat="1" applyFont="1" applyFill="1" applyBorder="1" applyAlignment="1">
      <alignment horizontal="right" vertical="center" wrapText="1"/>
    </xf>
    <xf numFmtId="167" fontId="38" fillId="6" borderId="9" xfId="4" applyNumberFormat="1" applyFont="1" applyFill="1" applyBorder="1" applyAlignment="1">
      <alignment horizontal="right" vertical="center"/>
    </xf>
    <xf numFmtId="167" fontId="38" fillId="5" borderId="9" xfId="4" applyNumberFormat="1" applyFont="1" applyFill="1" applyBorder="1" applyAlignment="1">
      <alignment horizontal="right" vertical="center"/>
    </xf>
    <xf numFmtId="167" fontId="37" fillId="6" borderId="4" xfId="4" applyNumberFormat="1" applyFont="1" applyFill="1" applyBorder="1" applyAlignment="1">
      <alignment horizontal="right" vertical="center"/>
    </xf>
    <xf numFmtId="167" fontId="37" fillId="6" borderId="5" xfId="4" applyNumberFormat="1" applyFont="1" applyFill="1" applyBorder="1" applyAlignment="1">
      <alignment horizontal="right" vertical="center"/>
    </xf>
    <xf numFmtId="167" fontId="37" fillId="6" borderId="9" xfId="4" applyNumberFormat="1" applyFont="1" applyFill="1" applyBorder="1" applyAlignment="1">
      <alignment horizontal="right" vertical="center"/>
    </xf>
    <xf numFmtId="164" fontId="37" fillId="5" borderId="46" xfId="0" applyNumberFormat="1" applyFont="1" applyFill="1" applyBorder="1" applyAlignment="1">
      <alignment horizontal="center" vertical="center" wrapText="1"/>
    </xf>
    <xf numFmtId="164" fontId="37" fillId="5" borderId="24" xfId="0" applyNumberFormat="1" applyFont="1" applyFill="1" applyBorder="1" applyAlignment="1">
      <alignment horizontal="center" vertical="center" wrapText="1"/>
    </xf>
    <xf numFmtId="164" fontId="37" fillId="5" borderId="44" xfId="0" applyNumberFormat="1" applyFont="1" applyFill="1" applyBorder="1" applyAlignment="1">
      <alignment horizontal="center" vertical="center" wrapText="1"/>
    </xf>
    <xf numFmtId="164" fontId="0" fillId="5" borderId="23" xfId="0" applyNumberFormat="1" applyFill="1" applyBorder="1" applyAlignment="1">
      <alignment horizontal="center" vertical="center"/>
    </xf>
    <xf numFmtId="165" fontId="37" fillId="0" borderId="4" xfId="0" applyNumberFormat="1" applyFont="1" applyBorder="1" applyAlignment="1">
      <alignment horizontal="center" vertical="center" wrapText="1"/>
    </xf>
    <xf numFmtId="165" fontId="37" fillId="0" borderId="9" xfId="0" applyNumberFormat="1" applyFont="1" applyBorder="1" applyAlignment="1">
      <alignment horizontal="center" vertical="center" wrapText="1"/>
    </xf>
    <xf numFmtId="165" fontId="37" fillId="0" borderId="5" xfId="0" applyNumberFormat="1" applyFont="1" applyBorder="1" applyAlignment="1">
      <alignment horizontal="center" vertical="center" wrapText="1"/>
    </xf>
    <xf numFmtId="164" fontId="37" fillId="5" borderId="4" xfId="0" applyNumberFormat="1" applyFont="1" applyFill="1" applyBorder="1" applyAlignment="1">
      <alignment horizontal="center" vertical="center" wrapText="1"/>
    </xf>
    <xf numFmtId="164" fontId="37" fillId="5" borderId="9" xfId="0" applyNumberFormat="1" applyFont="1" applyFill="1" applyBorder="1" applyAlignment="1">
      <alignment horizontal="center" vertical="center" wrapText="1"/>
    </xf>
    <xf numFmtId="164" fontId="37" fillId="5" borderId="5" xfId="0" applyNumberFormat="1" applyFont="1" applyFill="1" applyBorder="1" applyAlignment="1">
      <alignment horizontal="center" vertical="center" wrapText="1"/>
    </xf>
    <xf numFmtId="164" fontId="37" fillId="5" borderId="9" xfId="0" applyNumberFormat="1" applyFont="1" applyFill="1" applyBorder="1" applyAlignment="1">
      <alignment horizontal="center" vertical="center"/>
    </xf>
    <xf numFmtId="164" fontId="37" fillId="5" borderId="46" xfId="0" applyNumberFormat="1" applyFont="1" applyFill="1" applyBorder="1" applyAlignment="1">
      <alignment horizontal="right" vertical="center"/>
    </xf>
    <xf numFmtId="164" fontId="37" fillId="5" borderId="44" xfId="0" applyNumberFormat="1" applyFont="1" applyFill="1" applyBorder="1" applyAlignment="1">
      <alignment horizontal="right" vertical="center"/>
    </xf>
    <xf numFmtId="165" fontId="37" fillId="5" borderId="46" xfId="0" applyNumberFormat="1" applyFont="1" applyFill="1" applyBorder="1" applyAlignment="1">
      <alignment horizontal="right" vertical="center"/>
    </xf>
    <xf numFmtId="165" fontId="37" fillId="5" borderId="44" xfId="0" applyNumberFormat="1" applyFont="1" applyFill="1" applyBorder="1" applyAlignment="1">
      <alignment horizontal="right" vertical="center"/>
    </xf>
    <xf numFmtId="164" fontId="37" fillId="0" borderId="9" xfId="0" applyNumberFormat="1" applyFont="1" applyBorder="1" applyAlignment="1">
      <alignment horizontal="center" vertical="center"/>
    </xf>
    <xf numFmtId="0" fontId="38" fillId="5" borderId="50" xfId="0" applyFont="1" applyFill="1" applyBorder="1" applyAlignment="1">
      <alignment horizontal="left" vertical="center" wrapText="1"/>
    </xf>
    <xf numFmtId="0" fontId="38" fillId="5" borderId="38" xfId="0" applyFont="1" applyFill="1" applyBorder="1" applyAlignment="1">
      <alignment horizontal="left" vertical="center" wrapText="1"/>
    </xf>
    <xf numFmtId="2" fontId="37" fillId="5" borderId="44" xfId="0" applyNumberFormat="1" applyFont="1" applyFill="1" applyBorder="1" applyAlignment="1">
      <alignment horizontal="right" vertical="center"/>
    </xf>
    <xf numFmtId="164" fontId="37" fillId="2" borderId="45" xfId="0" applyNumberFormat="1" applyFont="1" applyFill="1" applyBorder="1" applyAlignment="1">
      <alignment horizontal="right" vertical="center"/>
    </xf>
    <xf numFmtId="2" fontId="37" fillId="2" borderId="43" xfId="0" applyNumberFormat="1" applyFont="1" applyFill="1" applyBorder="1" applyAlignment="1">
      <alignment horizontal="right" vertical="center"/>
    </xf>
    <xf numFmtId="0" fontId="38" fillId="5" borderId="49" xfId="0" applyFont="1" applyFill="1" applyBorder="1" applyAlignment="1">
      <alignment horizontal="left" vertical="center" wrapText="1"/>
    </xf>
    <xf numFmtId="164" fontId="37" fillId="0" borderId="60" xfId="0" applyNumberFormat="1" applyFont="1" applyBorder="1" applyAlignment="1">
      <alignment vertical="center"/>
    </xf>
    <xf numFmtId="164" fontId="37" fillId="0" borderId="37" xfId="0" applyNumberFormat="1" applyFont="1" applyBorder="1" applyAlignment="1">
      <alignment vertical="center"/>
    </xf>
    <xf numFmtId="164" fontId="37" fillId="5" borderId="45" xfId="0" applyNumberFormat="1" applyFont="1" applyFill="1" applyBorder="1" applyAlignment="1">
      <alignment vertical="center"/>
    </xf>
    <xf numFmtId="164" fontId="37" fillId="5" borderId="23" xfId="0" applyNumberFormat="1" applyFont="1" applyFill="1" applyBorder="1" applyAlignment="1">
      <alignment vertical="center"/>
    </xf>
    <xf numFmtId="2" fontId="37" fillId="5" borderId="23" xfId="0" applyNumberFormat="1" applyFont="1" applyFill="1" applyBorder="1" applyAlignment="1">
      <alignment vertical="center"/>
    </xf>
    <xf numFmtId="164" fontId="37" fillId="5" borderId="43" xfId="0" applyNumberFormat="1" applyFont="1" applyFill="1" applyBorder="1" applyAlignment="1">
      <alignment vertical="center"/>
    </xf>
    <xf numFmtId="167" fontId="49" fillId="0" borderId="23" xfId="4" applyNumberFormat="1" applyFont="1" applyFill="1" applyBorder="1" applyAlignment="1">
      <alignment horizontal="center" vertical="center" wrapText="1"/>
    </xf>
    <xf numFmtId="167" fontId="49" fillId="5" borderId="1" xfId="4" applyNumberFormat="1" applyFont="1" applyFill="1" applyBorder="1" applyAlignment="1">
      <alignment horizontal="center" vertical="center" wrapText="1"/>
    </xf>
    <xf numFmtId="167" fontId="49" fillId="5" borderId="24" xfId="4" applyNumberFormat="1" applyFont="1" applyFill="1" applyBorder="1" applyAlignment="1">
      <alignment horizontal="center" vertical="center" wrapText="1"/>
    </xf>
    <xf numFmtId="167" fontId="37" fillId="0" borderId="45" xfId="4" applyNumberFormat="1" applyFont="1" applyFill="1" applyBorder="1" applyAlignment="1">
      <alignment horizontal="center" vertical="center"/>
    </xf>
    <xf numFmtId="167" fontId="37" fillId="0" borderId="23" xfId="4" applyNumberFormat="1" applyFont="1" applyFill="1" applyBorder="1" applyAlignment="1">
      <alignment horizontal="center" vertical="center"/>
    </xf>
    <xf numFmtId="167" fontId="37" fillId="5" borderId="46" xfId="4" applyNumberFormat="1" applyFont="1" applyFill="1" applyBorder="1" applyAlignment="1">
      <alignment horizontal="right" vertical="center"/>
    </xf>
    <xf numFmtId="167" fontId="37" fillId="5" borderId="44" xfId="4" applyNumberFormat="1" applyFont="1" applyFill="1" applyBorder="1" applyAlignment="1">
      <alignment horizontal="right" vertical="center"/>
    </xf>
    <xf numFmtId="164" fontId="37" fillId="9" borderId="9" xfId="0" applyNumberFormat="1" applyFont="1" applyFill="1" applyBorder="1" applyAlignment="1">
      <alignment horizontal="right" vertical="center"/>
    </xf>
    <xf numFmtId="164" fontId="37" fillId="5" borderId="24" xfId="0" applyNumberFormat="1" applyFont="1" applyFill="1" applyBorder="1" applyAlignment="1">
      <alignment horizontal="right" vertical="center"/>
    </xf>
    <xf numFmtId="165" fontId="37" fillId="5" borderId="24" xfId="0" applyNumberFormat="1" applyFont="1" applyFill="1" applyBorder="1" applyAlignment="1">
      <alignment horizontal="right" vertical="center"/>
    </xf>
    <xf numFmtId="167" fontId="37" fillId="0" borderId="45" xfId="4" applyNumberFormat="1" applyFont="1" applyFill="1" applyBorder="1" applyAlignment="1">
      <alignment horizontal="right" vertical="center"/>
    </xf>
    <xf numFmtId="167" fontId="37" fillId="0" borderId="43" xfId="4" applyNumberFormat="1" applyFont="1" applyFill="1" applyBorder="1" applyAlignment="1">
      <alignment horizontal="right" vertical="center"/>
    </xf>
    <xf numFmtId="14" fontId="38" fillId="5" borderId="4" xfId="0" applyNumberFormat="1" applyFont="1" applyFill="1" applyBorder="1" applyAlignment="1">
      <alignment horizontal="center" vertical="center" wrapText="1"/>
    </xf>
    <xf numFmtId="14" fontId="38" fillId="5" borderId="9" xfId="0" applyNumberFormat="1" applyFont="1" applyFill="1" applyBorder="1" applyAlignment="1">
      <alignment horizontal="center" vertical="center" wrapText="1"/>
    </xf>
    <xf numFmtId="14" fontId="38" fillId="5" borderId="5" xfId="0" applyNumberFormat="1" applyFont="1" applyFill="1" applyBorder="1" applyAlignment="1">
      <alignment horizontal="center" vertical="center" wrapText="1"/>
    </xf>
    <xf numFmtId="0" fontId="38" fillId="5" borderId="45" xfId="0" applyFont="1" applyFill="1" applyBorder="1" applyAlignment="1">
      <alignment horizontal="left" vertical="center" wrapText="1"/>
    </xf>
    <xf numFmtId="0" fontId="38" fillId="5" borderId="23" xfId="0" applyFont="1" applyFill="1" applyBorder="1" applyAlignment="1">
      <alignment horizontal="left" vertical="center" wrapText="1"/>
    </xf>
    <xf numFmtId="0" fontId="38" fillId="5" borderId="43" xfId="0" applyFont="1" applyFill="1" applyBorder="1" applyAlignment="1">
      <alignment horizontal="left" vertical="center" wrapText="1"/>
    </xf>
    <xf numFmtId="0" fontId="38" fillId="5" borderId="4" xfId="0" applyFont="1" applyFill="1" applyBorder="1" applyAlignment="1">
      <alignment horizontal="center" vertical="center" wrapText="1"/>
    </xf>
    <xf numFmtId="0" fontId="38" fillId="5" borderId="5" xfId="0" applyFont="1" applyFill="1" applyBorder="1" applyAlignment="1">
      <alignment horizontal="center" vertical="center" wrapText="1"/>
    </xf>
    <xf numFmtId="165" fontId="37" fillId="0" borderId="60" xfId="0" applyNumberFormat="1" applyFont="1" applyBorder="1" applyAlignment="1">
      <alignment horizontal="right" vertical="center"/>
    </xf>
    <xf numFmtId="165" fontId="37" fillId="0" borderId="35" xfId="0" applyNumberFormat="1" applyFont="1" applyBorder="1" applyAlignment="1">
      <alignment horizontal="right" vertical="center"/>
    </xf>
    <xf numFmtId="165" fontId="37" fillId="0" borderId="37" xfId="0" applyNumberFormat="1" applyFont="1" applyBorder="1" applyAlignment="1">
      <alignment horizontal="right" vertical="center"/>
    </xf>
    <xf numFmtId="164" fontId="63" fillId="5" borderId="4" xfId="0" applyNumberFormat="1" applyFont="1" applyFill="1" applyBorder="1" applyAlignment="1">
      <alignment horizontal="right" vertical="center"/>
    </xf>
    <xf numFmtId="164" fontId="63" fillId="5" borderId="9" xfId="0" applyNumberFormat="1" applyFont="1" applyFill="1" applyBorder="1" applyAlignment="1">
      <alignment horizontal="right" vertical="center"/>
    </xf>
    <xf numFmtId="164" fontId="63" fillId="5" borderId="5" xfId="0" applyNumberFormat="1" applyFont="1" applyFill="1" applyBorder="1" applyAlignment="1">
      <alignment horizontal="right" vertical="center"/>
    </xf>
    <xf numFmtId="164" fontId="2" fillId="5" borderId="1" xfId="0" applyNumberFormat="1" applyFont="1" applyFill="1" applyBorder="1" applyAlignment="1">
      <alignment horizontal="right" vertical="center"/>
    </xf>
    <xf numFmtId="164" fontId="37" fillId="0" borderId="35" xfId="0" applyNumberFormat="1" applyFont="1" applyBorder="1" applyAlignment="1">
      <alignment horizontal="right" vertical="center"/>
    </xf>
    <xf numFmtId="164" fontId="65" fillId="5" borderId="4" xfId="0" applyNumberFormat="1" applyFont="1" applyFill="1" applyBorder="1" applyAlignment="1">
      <alignment horizontal="right" vertical="center"/>
    </xf>
    <xf numFmtId="164" fontId="65" fillId="5" borderId="5" xfId="0" applyNumberFormat="1" applyFont="1" applyFill="1" applyBorder="1" applyAlignment="1">
      <alignment horizontal="right" vertical="center"/>
    </xf>
    <xf numFmtId="164" fontId="37" fillId="5" borderId="40" xfId="0" applyNumberFormat="1" applyFont="1" applyFill="1" applyBorder="1" applyAlignment="1">
      <alignment horizontal="right" vertical="center"/>
    </xf>
    <xf numFmtId="0" fontId="38" fillId="17" borderId="36" xfId="0" applyFont="1" applyFill="1" applyBorder="1" applyAlignment="1">
      <alignment horizontal="left" vertical="center" wrapText="1"/>
    </xf>
    <xf numFmtId="0" fontId="38" fillId="17" borderId="48" xfId="0" applyFont="1" applyFill="1" applyBorder="1" applyAlignment="1">
      <alignment horizontal="left" vertical="center" wrapText="1"/>
    </xf>
    <xf numFmtId="167" fontId="49" fillId="5" borderId="40" xfId="4" applyNumberFormat="1" applyFont="1" applyFill="1" applyBorder="1" applyAlignment="1">
      <alignment horizontal="center" vertical="center" wrapText="1"/>
    </xf>
    <xf numFmtId="164" fontId="0" fillId="5" borderId="39" xfId="0" applyNumberFormat="1" applyFill="1" applyBorder="1" applyAlignment="1">
      <alignment horizontal="center" vertical="center"/>
    </xf>
    <xf numFmtId="164" fontId="0" fillId="0" borderId="1" xfId="0" applyNumberFormat="1" applyBorder="1" applyAlignment="1">
      <alignment horizontal="center" vertical="center"/>
    </xf>
    <xf numFmtId="0" fontId="0" fillId="5" borderId="39" xfId="0" applyFill="1" applyBorder="1" applyAlignment="1">
      <alignment horizontal="center" vertical="center"/>
    </xf>
    <xf numFmtId="164" fontId="2" fillId="5" borderId="40" xfId="0" applyNumberFormat="1" applyFont="1" applyFill="1" applyBorder="1" applyAlignment="1">
      <alignment horizontal="center" vertical="center"/>
    </xf>
    <xf numFmtId="167" fontId="0" fillId="5" borderId="4" xfId="4" applyNumberFormat="1" applyFont="1" applyFill="1" applyBorder="1" applyAlignment="1">
      <alignment horizontal="center" vertical="center"/>
    </xf>
    <xf numFmtId="167" fontId="0" fillId="5" borderId="9" xfId="4" applyNumberFormat="1" applyFont="1" applyFill="1" applyBorder="1" applyAlignment="1">
      <alignment horizontal="center" vertical="center"/>
    </xf>
    <xf numFmtId="167" fontId="0" fillId="5" borderId="5" xfId="4" applyNumberFormat="1" applyFont="1" applyFill="1" applyBorder="1" applyAlignment="1">
      <alignment horizontal="center" vertical="center"/>
    </xf>
    <xf numFmtId="0" fontId="38" fillId="5" borderId="51" xfId="0" applyFont="1" applyFill="1" applyBorder="1" applyAlignment="1">
      <alignment horizontal="left" vertical="center" wrapText="1"/>
    </xf>
    <xf numFmtId="0" fontId="2" fillId="5" borderId="1" xfId="0" applyFont="1" applyFill="1" applyBorder="1" applyAlignment="1">
      <alignment horizontal="center" vertical="center"/>
    </xf>
    <xf numFmtId="0" fontId="43" fillId="5" borderId="0" xfId="0" applyFont="1" applyFill="1" applyAlignment="1">
      <alignment horizontal="center"/>
    </xf>
    <xf numFmtId="0" fontId="34" fillId="5" borderId="0" xfId="0" applyFont="1" applyFill="1" applyAlignment="1">
      <alignment horizontal="center" vertical="center" wrapText="1"/>
    </xf>
    <xf numFmtId="0" fontId="41" fillId="2" borderId="13" xfId="0" applyFont="1" applyFill="1" applyBorder="1" applyAlignment="1">
      <alignment horizontal="center" vertical="center" wrapText="1"/>
    </xf>
    <xf numFmtId="0" fontId="41" fillId="2" borderId="23"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1" fillId="2" borderId="25" xfId="0" applyFont="1" applyFill="1" applyBorder="1" applyAlignment="1">
      <alignment horizontal="center" vertical="center" wrapText="1"/>
    </xf>
    <xf numFmtId="0" fontId="56" fillId="13" borderId="29" xfId="0" applyFont="1" applyFill="1" applyBorder="1" applyAlignment="1">
      <alignment horizontal="center" vertical="center" wrapText="1"/>
    </xf>
    <xf numFmtId="0" fontId="56" fillId="13" borderId="16" xfId="0" applyFont="1" applyFill="1" applyBorder="1" applyAlignment="1">
      <alignment horizontal="center" vertical="center" wrapText="1"/>
    </xf>
    <xf numFmtId="0" fontId="56" fillId="13" borderId="36" xfId="0" applyFont="1" applyFill="1" applyBorder="1" applyAlignment="1">
      <alignment horizontal="center" vertical="center" wrapText="1"/>
    </xf>
    <xf numFmtId="0" fontId="56" fillId="13" borderId="37" xfId="0" applyFont="1" applyFill="1" applyBorder="1" applyAlignment="1">
      <alignment horizontal="center" vertical="center" wrapText="1"/>
    </xf>
    <xf numFmtId="0" fontId="56" fillId="13" borderId="7" xfId="0" applyFont="1" applyFill="1" applyBorder="1" applyAlignment="1">
      <alignment horizontal="center" vertical="center" wrapText="1"/>
    </xf>
    <xf numFmtId="0" fontId="56" fillId="13" borderId="38" xfId="0" applyFont="1" applyFill="1" applyBorder="1" applyAlignment="1">
      <alignment horizontal="center" vertical="center" wrapText="1"/>
    </xf>
    <xf numFmtId="0" fontId="81" fillId="2" borderId="47" xfId="0" applyFont="1" applyFill="1" applyBorder="1" applyAlignment="1">
      <alignment horizontal="center" vertical="center" wrapText="1"/>
    </xf>
    <xf numFmtId="0" fontId="81" fillId="2" borderId="18" xfId="0" applyFont="1" applyFill="1" applyBorder="1" applyAlignment="1">
      <alignment horizontal="center" vertical="center" wrapText="1"/>
    </xf>
    <xf numFmtId="0" fontId="81" fillId="2" borderId="53" xfId="0" applyFont="1" applyFill="1" applyBorder="1" applyAlignment="1">
      <alignment horizontal="center" vertical="center" wrapText="1"/>
    </xf>
    <xf numFmtId="0" fontId="81" fillId="2" borderId="39" xfId="0" applyFont="1" applyFill="1" applyBorder="1" applyAlignment="1">
      <alignment horizontal="center" vertical="center" wrapText="1"/>
    </xf>
    <xf numFmtId="0" fontId="81" fillId="2" borderId="1" xfId="0" applyFont="1" applyFill="1" applyBorder="1" applyAlignment="1">
      <alignment horizontal="center" vertical="center" wrapText="1"/>
    </xf>
    <xf numFmtId="0" fontId="81" fillId="2" borderId="40"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6" fillId="2" borderId="45" xfId="0" applyFont="1" applyFill="1" applyBorder="1" applyAlignment="1">
      <alignment horizontal="center" vertical="center" wrapText="1"/>
    </xf>
    <xf numFmtId="0" fontId="56" fillId="2" borderId="25" xfId="0" applyFont="1" applyFill="1" applyBorder="1" applyAlignment="1">
      <alignment horizontal="center" vertical="center" wrapText="1"/>
    </xf>
    <xf numFmtId="0" fontId="56" fillId="2" borderId="2" xfId="0" applyFont="1" applyFill="1" applyBorder="1" applyAlignment="1">
      <alignment horizontal="center" vertical="center" wrapText="1"/>
    </xf>
    <xf numFmtId="0" fontId="56" fillId="2" borderId="10" xfId="0" applyFont="1" applyFill="1" applyBorder="1" applyAlignment="1">
      <alignment horizontal="center" vertical="center" wrapText="1"/>
    </xf>
    <xf numFmtId="0" fontId="41" fillId="2" borderId="39"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1" fillId="2" borderId="36" xfId="0" applyFont="1" applyFill="1" applyBorder="1" applyAlignment="1">
      <alignment horizontal="center" vertical="center" wrapText="1"/>
    </xf>
    <xf numFmtId="0" fontId="41" fillId="2" borderId="51" xfId="0" applyFont="1" applyFill="1" applyBorder="1" applyAlignment="1">
      <alignment horizontal="center" vertical="center" wrapText="1"/>
    </xf>
    <xf numFmtId="0" fontId="41" fillId="2" borderId="4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34" fillId="2" borderId="36" xfId="0" applyFont="1" applyFill="1" applyBorder="1" applyAlignment="1">
      <alignment horizontal="center" vertical="center" wrapText="1"/>
    </xf>
    <xf numFmtId="0" fontId="34" fillId="2" borderId="37"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4" fillId="2" borderId="38" xfId="0" applyFont="1" applyFill="1" applyBorder="1" applyAlignment="1">
      <alignment horizontal="center" vertical="center" wrapText="1"/>
    </xf>
    <xf numFmtId="0" fontId="56" fillId="4" borderId="23" xfId="0" applyFont="1" applyFill="1" applyBorder="1" applyAlignment="1">
      <alignment horizontal="center" vertical="center" wrapText="1"/>
    </xf>
    <xf numFmtId="0" fontId="56" fillId="4" borderId="25" xfId="0" applyFont="1" applyFill="1" applyBorder="1" applyAlignment="1">
      <alignment horizontal="center" vertical="center" wrapText="1"/>
    </xf>
    <xf numFmtId="0" fontId="41" fillId="4" borderId="24" xfId="0" applyFont="1" applyFill="1" applyBorder="1" applyAlignment="1">
      <alignment horizontal="center" vertical="center" wrapText="1"/>
    </xf>
    <xf numFmtId="0" fontId="41" fillId="4" borderId="28" xfId="0" applyFont="1" applyFill="1" applyBorder="1" applyAlignment="1">
      <alignment horizontal="center" vertical="center" wrapText="1"/>
    </xf>
    <xf numFmtId="0" fontId="41" fillId="4" borderId="29" xfId="0" applyFont="1" applyFill="1" applyBorder="1" applyAlignment="1">
      <alignment horizontal="center" vertical="center" wrapText="1"/>
    </xf>
    <xf numFmtId="0" fontId="41" fillId="4" borderId="36" xfId="0" applyFont="1" applyFill="1" applyBorder="1" applyAlignment="1">
      <alignment horizontal="center" vertical="center" wrapText="1"/>
    </xf>
    <xf numFmtId="0" fontId="41" fillId="4" borderId="30" xfId="0" applyFont="1" applyFill="1" applyBorder="1" applyAlignment="1">
      <alignment horizontal="center" vertical="center" wrapText="1"/>
    </xf>
    <xf numFmtId="0" fontId="41" fillId="4" borderId="48" xfId="0" applyFont="1" applyFill="1" applyBorder="1" applyAlignment="1">
      <alignment horizontal="center" vertical="center" wrapText="1"/>
    </xf>
    <xf numFmtId="0" fontId="41" fillId="2" borderId="28"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41" fillId="13" borderId="29" xfId="0" applyFont="1" applyFill="1" applyBorder="1" applyAlignment="1">
      <alignment horizontal="center" vertical="center" wrapText="1"/>
    </xf>
    <xf numFmtId="0" fontId="41" fillId="13" borderId="16" xfId="0" applyFont="1" applyFill="1" applyBorder="1" applyAlignment="1">
      <alignment horizontal="center" vertical="center" wrapText="1"/>
    </xf>
    <xf numFmtId="0" fontId="41" fillId="13" borderId="36" xfId="0" applyFont="1" applyFill="1" applyBorder="1" applyAlignment="1">
      <alignment horizontal="center" vertical="center" wrapText="1"/>
    </xf>
    <xf numFmtId="0" fontId="41" fillId="13" borderId="37" xfId="0" applyFont="1" applyFill="1" applyBorder="1" applyAlignment="1">
      <alignment horizontal="center" vertical="center" wrapText="1"/>
    </xf>
    <xf numFmtId="0" fontId="41" fillId="13" borderId="7" xfId="0" applyFont="1" applyFill="1" applyBorder="1" applyAlignment="1">
      <alignment horizontal="center" vertical="center" wrapText="1"/>
    </xf>
    <xf numFmtId="0" fontId="41" fillId="13" borderId="38" xfId="0" applyFont="1" applyFill="1" applyBorder="1" applyAlignment="1">
      <alignment horizontal="center" vertical="center" wrapText="1"/>
    </xf>
    <xf numFmtId="167" fontId="38" fillId="0" borderId="23" xfId="4" applyNumberFormat="1" applyFont="1" applyFill="1" applyBorder="1" applyAlignment="1">
      <alignment horizontal="right" vertical="center"/>
    </xf>
    <xf numFmtId="167" fontId="38" fillId="9" borderId="4" xfId="4" applyNumberFormat="1" applyFont="1" applyFill="1" applyBorder="1" applyAlignment="1">
      <alignment horizontal="right" vertical="center"/>
    </xf>
    <xf numFmtId="167" fontId="38" fillId="9" borderId="9" xfId="4" applyNumberFormat="1" applyFont="1" applyFill="1" applyBorder="1" applyAlignment="1">
      <alignment horizontal="right" vertical="center"/>
    </xf>
    <xf numFmtId="0" fontId="38" fillId="5" borderId="39" xfId="0" applyFont="1" applyFill="1" applyBorder="1" applyAlignment="1">
      <alignment horizontal="center" vertical="center"/>
    </xf>
    <xf numFmtId="0" fontId="33" fillId="5" borderId="10" xfId="0" applyFont="1" applyFill="1" applyBorder="1" applyAlignment="1">
      <alignment horizontal="left" vertical="center" wrapText="1"/>
    </xf>
    <xf numFmtId="14" fontId="13" fillId="5" borderId="1" xfId="0" applyNumberFormat="1" applyFont="1" applyFill="1" applyBorder="1" applyAlignment="1">
      <alignment horizontal="left" vertical="center" wrapText="1"/>
    </xf>
    <xf numFmtId="14" fontId="26" fillId="5" borderId="1" xfId="0" applyNumberFormat="1" applyFont="1" applyFill="1" applyBorder="1" applyAlignment="1">
      <alignment horizontal="left" vertical="center" wrapText="1"/>
    </xf>
    <xf numFmtId="0" fontId="44" fillId="5" borderId="40" xfId="2" applyFill="1" applyBorder="1" applyAlignment="1">
      <alignment horizontal="left" vertical="center" wrapText="1"/>
    </xf>
    <xf numFmtId="0" fontId="38" fillId="5" borderId="39" xfId="0" applyFont="1" applyFill="1" applyBorder="1" applyAlignment="1">
      <alignment horizontal="left" vertical="center" wrapText="1"/>
    </xf>
    <xf numFmtId="167" fontId="49" fillId="0" borderId="39" xfId="4" applyNumberFormat="1" applyFont="1" applyFill="1" applyBorder="1" applyAlignment="1">
      <alignment horizontal="center" vertical="center" wrapText="1"/>
    </xf>
    <xf numFmtId="14" fontId="38" fillId="5" borderId="1" xfId="0" applyNumberFormat="1" applyFont="1" applyFill="1" applyBorder="1" applyAlignment="1">
      <alignment horizontal="right" vertical="center" wrapText="1"/>
    </xf>
    <xf numFmtId="0" fontId="83" fillId="5" borderId="52" xfId="0" applyFont="1" applyFill="1" applyBorder="1" applyAlignment="1">
      <alignment horizontal="left" vertical="top" wrapText="1"/>
    </xf>
    <xf numFmtId="0" fontId="83" fillId="5" borderId="49" xfId="0" applyFont="1" applyFill="1" applyBorder="1" applyAlignment="1">
      <alignment horizontal="left" vertical="top" wrapText="1"/>
    </xf>
    <xf numFmtId="0" fontId="82" fillId="5" borderId="52" xfId="0" applyFont="1" applyFill="1" applyBorder="1" applyAlignment="1">
      <alignment horizontal="left" vertical="top" wrapText="1"/>
    </xf>
    <xf numFmtId="0" fontId="82" fillId="5" borderId="49" xfId="0" applyFont="1" applyFill="1" applyBorder="1" applyAlignment="1">
      <alignment horizontal="left" vertical="top" wrapText="1"/>
    </xf>
    <xf numFmtId="0" fontId="38" fillId="5" borderId="69" xfId="0" applyFont="1" applyFill="1" applyBorder="1" applyAlignment="1">
      <alignment vertical="center" wrapText="1"/>
    </xf>
    <xf numFmtId="0" fontId="38" fillId="5" borderId="62" xfId="0" applyFont="1" applyFill="1" applyBorder="1" applyAlignment="1">
      <alignment vertical="center" wrapText="1"/>
    </xf>
    <xf numFmtId="167" fontId="37" fillId="5" borderId="24" xfId="4" applyNumberFormat="1" applyFont="1" applyFill="1" applyBorder="1" applyAlignment="1">
      <alignment horizontal="right" vertical="center"/>
    </xf>
    <xf numFmtId="164" fontId="37" fillId="5" borderId="24" xfId="0" applyNumberFormat="1" applyFont="1" applyFill="1" applyBorder="1" applyAlignment="1">
      <alignment horizontal="center" vertical="center"/>
    </xf>
    <xf numFmtId="164" fontId="37" fillId="0" borderId="69" xfId="0" applyNumberFormat="1" applyFont="1" applyBorder="1" applyAlignment="1">
      <alignment horizontal="right" vertical="center"/>
    </xf>
    <xf numFmtId="164" fontId="37" fillId="0" borderId="68" xfId="0" applyNumberFormat="1" applyFont="1" applyBorder="1" applyAlignment="1">
      <alignment horizontal="right" vertical="center"/>
    </xf>
    <xf numFmtId="164" fontId="48" fillId="5" borderId="4" xfId="0" applyNumberFormat="1" applyFont="1" applyFill="1" applyBorder="1" applyAlignment="1">
      <alignment horizontal="right" vertical="center"/>
    </xf>
    <xf numFmtId="164" fontId="48" fillId="5" borderId="9" xfId="0" applyNumberFormat="1" applyFont="1" applyFill="1" applyBorder="1" applyAlignment="1">
      <alignment horizontal="right" vertical="center"/>
    </xf>
    <xf numFmtId="164" fontId="138" fillId="5" borderId="4" xfId="0" applyNumberFormat="1" applyFont="1" applyFill="1" applyBorder="1" applyAlignment="1">
      <alignment horizontal="right" vertical="center"/>
    </xf>
    <xf numFmtId="164" fontId="138" fillId="5" borderId="9" xfId="0" applyNumberFormat="1" applyFont="1" applyFill="1" applyBorder="1" applyAlignment="1">
      <alignment horizontal="right" vertical="center"/>
    </xf>
    <xf numFmtId="165" fontId="37" fillId="5" borderId="4" xfId="0" applyNumberFormat="1" applyFont="1" applyFill="1" applyBorder="1" applyAlignment="1">
      <alignment horizontal="right" vertical="center"/>
    </xf>
    <xf numFmtId="165" fontId="37" fillId="5" borderId="9" xfId="0" applyNumberFormat="1" applyFont="1" applyFill="1" applyBorder="1" applyAlignment="1">
      <alignment horizontal="right" vertical="center"/>
    </xf>
    <xf numFmtId="165" fontId="37" fillId="5" borderId="5" xfId="0" applyNumberFormat="1" applyFont="1" applyFill="1" applyBorder="1" applyAlignment="1">
      <alignment horizontal="right" vertical="center"/>
    </xf>
    <xf numFmtId="0" fontId="38" fillId="5" borderId="9" xfId="0" applyFont="1" applyFill="1" applyBorder="1" applyAlignment="1">
      <alignment horizontal="center" vertical="center" wrapText="1"/>
    </xf>
    <xf numFmtId="4" fontId="38" fillId="5" borderId="4" xfId="0" applyNumberFormat="1" applyFont="1" applyFill="1" applyBorder="1" applyAlignment="1">
      <alignment horizontal="right" vertical="center"/>
    </xf>
    <xf numFmtId="4" fontId="38" fillId="5" borderId="9" xfId="0" applyNumberFormat="1" applyFont="1" applyFill="1" applyBorder="1" applyAlignment="1">
      <alignment horizontal="right" vertical="center"/>
    </xf>
    <xf numFmtId="4" fontId="38" fillId="5" borderId="5" xfId="0" applyNumberFormat="1" applyFont="1" applyFill="1" applyBorder="1" applyAlignment="1">
      <alignment horizontal="right" vertical="center"/>
    </xf>
    <xf numFmtId="2" fontId="38" fillId="5" borderId="4" xfId="0" applyNumberFormat="1" applyFont="1" applyFill="1" applyBorder="1" applyAlignment="1">
      <alignment horizontal="right" vertical="center"/>
    </xf>
    <xf numFmtId="2" fontId="38" fillId="5" borderId="9" xfId="0" applyNumberFormat="1" applyFont="1" applyFill="1" applyBorder="1" applyAlignment="1">
      <alignment horizontal="right" vertical="center"/>
    </xf>
    <xf numFmtId="2" fontId="38" fillId="5" borderId="5" xfId="0" applyNumberFormat="1" applyFont="1" applyFill="1" applyBorder="1" applyAlignment="1">
      <alignment horizontal="right" vertical="center"/>
    </xf>
    <xf numFmtId="2" fontId="38" fillId="6" borderId="4" xfId="0" applyNumberFormat="1" applyFont="1" applyFill="1" applyBorder="1" applyAlignment="1">
      <alignment horizontal="right" vertical="center"/>
    </xf>
    <xf numFmtId="2" fontId="38" fillId="6" borderId="9" xfId="0" applyNumberFormat="1" applyFont="1" applyFill="1" applyBorder="1" applyAlignment="1">
      <alignment horizontal="right" vertical="center"/>
    </xf>
    <xf numFmtId="2" fontId="38" fillId="6" borderId="5" xfId="0" applyNumberFormat="1" applyFont="1" applyFill="1" applyBorder="1" applyAlignment="1">
      <alignment horizontal="right" vertical="center"/>
    </xf>
    <xf numFmtId="165" fontId="38" fillId="5" borderId="4" xfId="0" applyNumberFormat="1" applyFont="1" applyFill="1" applyBorder="1" applyAlignment="1">
      <alignment horizontal="right" vertical="center"/>
    </xf>
    <xf numFmtId="165" fontId="38" fillId="5" borderId="9" xfId="0" applyNumberFormat="1" applyFont="1" applyFill="1" applyBorder="1" applyAlignment="1">
      <alignment horizontal="right" vertical="center"/>
    </xf>
    <xf numFmtId="165" fontId="38" fillId="5" borderId="5" xfId="0" applyNumberFormat="1" applyFont="1" applyFill="1" applyBorder="1" applyAlignment="1">
      <alignment horizontal="right" vertical="center"/>
    </xf>
    <xf numFmtId="0" fontId="38" fillId="5" borderId="4" xfId="0" applyFont="1" applyFill="1" applyBorder="1" applyAlignment="1">
      <alignment horizontal="left" vertical="center" wrapText="1"/>
    </xf>
    <xf numFmtId="0" fontId="38" fillId="5" borderId="5" xfId="0" applyFont="1" applyFill="1" applyBorder="1" applyAlignment="1">
      <alignment horizontal="left" vertical="center" wrapText="1"/>
    </xf>
    <xf numFmtId="2" fontId="37" fillId="6" borderId="4" xfId="0" applyNumberFormat="1" applyFont="1" applyFill="1" applyBorder="1" applyAlignment="1">
      <alignment horizontal="right" vertical="center"/>
    </xf>
    <xf numFmtId="2" fontId="37" fillId="6" borderId="5" xfId="0" applyNumberFormat="1" applyFont="1" applyFill="1" applyBorder="1" applyAlignment="1">
      <alignment horizontal="right" vertical="center"/>
    </xf>
    <xf numFmtId="2" fontId="37" fillId="5" borderId="4" xfId="0" applyNumberFormat="1" applyFont="1" applyFill="1" applyBorder="1" applyAlignment="1">
      <alignment horizontal="right" vertical="center"/>
    </xf>
    <xf numFmtId="164" fontId="38" fillId="5" borderId="4" xfId="0" applyNumberFormat="1" applyFont="1" applyFill="1" applyBorder="1" applyAlignment="1">
      <alignment horizontal="right" vertical="center"/>
    </xf>
    <xf numFmtId="164" fontId="38" fillId="5" borderId="5" xfId="0" applyNumberFormat="1" applyFont="1" applyFill="1" applyBorder="1" applyAlignment="1">
      <alignment horizontal="right" vertical="center"/>
    </xf>
    <xf numFmtId="0" fontId="0" fillId="5" borderId="1" xfId="0" applyFill="1" applyBorder="1" applyAlignment="1">
      <alignment horizontal="center" vertical="center"/>
    </xf>
    <xf numFmtId="0" fontId="48" fillId="5" borderId="1" xfId="0" applyFont="1" applyFill="1" applyBorder="1" applyAlignment="1">
      <alignment horizontal="center" vertical="center" wrapText="1"/>
    </xf>
    <xf numFmtId="0" fontId="37" fillId="5" borderId="1" xfId="0" applyFont="1" applyFill="1" applyBorder="1" applyAlignment="1">
      <alignment horizontal="center" vertical="center" wrapText="1"/>
    </xf>
    <xf numFmtId="164" fontId="38" fillId="6" borderId="4" xfId="0" applyNumberFormat="1" applyFont="1" applyFill="1" applyBorder="1" applyAlignment="1">
      <alignment horizontal="right" vertical="center"/>
    </xf>
    <xf numFmtId="164" fontId="38" fillId="6" borderId="9" xfId="0" applyNumberFormat="1" applyFont="1" applyFill="1" applyBorder="1" applyAlignment="1">
      <alignment horizontal="right" vertical="center"/>
    </xf>
    <xf numFmtId="164" fontId="38" fillId="6" borderId="5" xfId="0" applyNumberFormat="1" applyFont="1" applyFill="1" applyBorder="1" applyAlignment="1">
      <alignment horizontal="right" vertical="center"/>
    </xf>
    <xf numFmtId="164" fontId="38" fillId="5" borderId="9" xfId="0" applyNumberFormat="1" applyFont="1" applyFill="1" applyBorder="1" applyAlignment="1">
      <alignment horizontal="right"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48" fillId="5" borderId="4" xfId="0" applyFont="1" applyFill="1" applyBorder="1" applyAlignment="1">
      <alignment horizontal="center" vertical="center" wrapText="1"/>
    </xf>
    <xf numFmtId="0" fontId="48" fillId="5" borderId="5" xfId="0" applyFont="1" applyFill="1" applyBorder="1" applyAlignment="1">
      <alignment horizontal="center" vertical="center" wrapText="1"/>
    </xf>
    <xf numFmtId="0" fontId="0" fillId="5" borderId="9" xfId="0" applyFill="1" applyBorder="1" applyAlignment="1">
      <alignment horizontal="center" vertical="center"/>
    </xf>
    <xf numFmtId="0" fontId="48" fillId="5" borderId="9" xfId="0" applyFont="1" applyFill="1" applyBorder="1" applyAlignment="1">
      <alignment horizontal="center" vertical="center" wrapText="1"/>
    </xf>
    <xf numFmtId="0" fontId="48" fillId="5" borderId="4" xfId="0" applyFont="1" applyFill="1" applyBorder="1" applyAlignment="1">
      <alignment horizontal="left" vertical="center" wrapText="1"/>
    </xf>
    <xf numFmtId="0" fontId="48" fillId="5" borderId="9" xfId="0" applyFont="1" applyFill="1" applyBorder="1" applyAlignment="1">
      <alignment horizontal="left" vertical="center" wrapText="1"/>
    </xf>
    <xf numFmtId="164" fontId="0" fillId="5" borderId="4" xfId="0" applyNumberFormat="1" applyFill="1" applyBorder="1" applyAlignment="1">
      <alignment horizontal="center" vertical="center"/>
    </xf>
    <xf numFmtId="164" fontId="0" fillId="5" borderId="5" xfId="0" applyNumberFormat="1" applyFill="1" applyBorder="1" applyAlignment="1">
      <alignment horizontal="center" vertical="center"/>
    </xf>
    <xf numFmtId="165" fontId="21" fillId="5" borderId="4" xfId="0" applyNumberFormat="1" applyFont="1" applyFill="1" applyBorder="1" applyAlignment="1">
      <alignment horizontal="center" vertical="center" wrapText="1"/>
    </xf>
    <xf numFmtId="165" fontId="21" fillId="5" borderId="5" xfId="0" applyNumberFormat="1" applyFont="1" applyFill="1" applyBorder="1" applyAlignment="1">
      <alignment horizontal="center" vertical="center" wrapText="1"/>
    </xf>
    <xf numFmtId="164" fontId="21" fillId="5" borderId="4" xfId="0" applyNumberFormat="1" applyFont="1" applyFill="1" applyBorder="1" applyAlignment="1">
      <alignment horizontal="right" vertical="center"/>
    </xf>
    <xf numFmtId="164" fontId="21" fillId="5" borderId="5" xfId="0" applyNumberFormat="1" applyFont="1" applyFill="1" applyBorder="1" applyAlignment="1">
      <alignment horizontal="right" vertical="center"/>
    </xf>
    <xf numFmtId="164" fontId="0" fillId="5" borderId="4" xfId="0" applyNumberFormat="1" applyFill="1" applyBorder="1" applyAlignment="1">
      <alignment horizontal="right" vertical="center"/>
    </xf>
    <xf numFmtId="164" fontId="0" fillId="5" borderId="9" xfId="0" applyNumberFormat="1" applyFill="1" applyBorder="1" applyAlignment="1">
      <alignment horizontal="right" vertical="center"/>
    </xf>
    <xf numFmtId="164" fontId="0" fillId="5" borderId="5" xfId="0" applyNumberFormat="1" applyFill="1" applyBorder="1" applyAlignment="1">
      <alignment horizontal="right" vertical="center"/>
    </xf>
    <xf numFmtId="165" fontId="21" fillId="5" borderId="4" xfId="0" applyNumberFormat="1" applyFont="1" applyFill="1" applyBorder="1" applyAlignment="1">
      <alignment horizontal="right" vertical="center" wrapText="1"/>
    </xf>
    <xf numFmtId="165" fontId="21" fillId="5" borderId="9" xfId="0" applyNumberFormat="1" applyFont="1" applyFill="1" applyBorder="1" applyAlignment="1">
      <alignment horizontal="right" vertical="center" wrapText="1"/>
    </xf>
    <xf numFmtId="165" fontId="21" fillId="5" borderId="5" xfId="0" applyNumberFormat="1" applyFont="1" applyFill="1" applyBorder="1" applyAlignment="1">
      <alignment horizontal="right" vertical="center" wrapText="1"/>
    </xf>
    <xf numFmtId="0" fontId="37" fillId="5" borderId="4" xfId="0" applyFont="1" applyFill="1" applyBorder="1" applyAlignment="1">
      <alignment horizontal="center" vertical="center" wrapText="1"/>
    </xf>
    <xf numFmtId="0" fontId="37" fillId="5" borderId="5" xfId="0" applyFont="1" applyFill="1" applyBorder="1" applyAlignment="1">
      <alignment horizontal="center" vertical="center" wrapText="1"/>
    </xf>
    <xf numFmtId="2" fontId="37" fillId="3" borderId="4" xfId="0" applyNumberFormat="1" applyFont="1" applyFill="1" applyBorder="1" applyAlignment="1">
      <alignment horizontal="right" vertical="center"/>
    </xf>
    <xf numFmtId="2" fontId="37" fillId="3" borderId="5" xfId="0" applyNumberFormat="1" applyFont="1" applyFill="1" applyBorder="1" applyAlignment="1">
      <alignment horizontal="right" vertical="center"/>
    </xf>
    <xf numFmtId="164" fontId="37" fillId="3" borderId="4" xfId="0" applyNumberFormat="1" applyFont="1" applyFill="1" applyBorder="1" applyAlignment="1">
      <alignment horizontal="right" vertical="center"/>
    </xf>
    <xf numFmtId="164" fontId="37" fillId="3" borderId="5" xfId="0" applyNumberFormat="1" applyFont="1" applyFill="1" applyBorder="1" applyAlignment="1">
      <alignment horizontal="right" vertical="center"/>
    </xf>
    <xf numFmtId="164" fontId="38" fillId="5" borderId="4" xfId="0" applyNumberFormat="1" applyFont="1" applyFill="1" applyBorder="1" applyAlignment="1">
      <alignment horizontal="center" vertical="center"/>
    </xf>
    <xf numFmtId="164" fontId="38" fillId="5" borderId="5" xfId="0" applyNumberFormat="1" applyFont="1" applyFill="1" applyBorder="1" applyAlignment="1">
      <alignment horizontal="center" vertical="center"/>
    </xf>
    <xf numFmtId="4" fontId="37" fillId="5" borderId="4" xfId="0" applyNumberFormat="1" applyFont="1" applyFill="1" applyBorder="1" applyAlignment="1">
      <alignment horizontal="right" vertical="center"/>
    </xf>
    <xf numFmtId="4" fontId="37" fillId="5" borderId="5" xfId="0" applyNumberFormat="1" applyFont="1" applyFill="1" applyBorder="1" applyAlignment="1">
      <alignment horizontal="right" vertical="center"/>
    </xf>
    <xf numFmtId="0" fontId="37" fillId="5" borderId="4" xfId="0" applyFont="1" applyFill="1" applyBorder="1" applyAlignment="1">
      <alignment horizontal="left" vertical="center" wrapText="1"/>
    </xf>
    <xf numFmtId="0" fontId="37" fillId="5" borderId="5" xfId="0" applyFont="1" applyFill="1" applyBorder="1" applyAlignment="1">
      <alignment horizontal="left" vertical="center" wrapText="1"/>
    </xf>
    <xf numFmtId="0" fontId="38" fillId="5" borderId="4" xfId="0" applyFont="1" applyFill="1" applyBorder="1" applyAlignment="1">
      <alignment horizontal="center" vertical="center"/>
    </xf>
    <xf numFmtId="0" fontId="38" fillId="5" borderId="5" xfId="0" applyFont="1" applyFill="1" applyBorder="1" applyAlignment="1">
      <alignment horizontal="center" vertical="center"/>
    </xf>
    <xf numFmtId="0" fontId="53" fillId="5" borderId="4" xfId="0" applyFont="1" applyFill="1" applyBorder="1" applyAlignment="1">
      <alignment horizontal="left" vertical="center" wrapText="1"/>
    </xf>
    <xf numFmtId="0" fontId="53" fillId="5" borderId="5" xfId="0" applyFont="1" applyFill="1" applyBorder="1" applyAlignment="1">
      <alignment horizontal="left" vertical="center" wrapText="1"/>
    </xf>
    <xf numFmtId="14" fontId="38" fillId="5" borderId="4" xfId="0" applyNumberFormat="1" applyFont="1" applyFill="1" applyBorder="1" applyAlignment="1">
      <alignment horizontal="left" vertical="center" wrapText="1"/>
    </xf>
    <xf numFmtId="14" fontId="38" fillId="5" borderId="5" xfId="0" applyNumberFormat="1" applyFont="1" applyFill="1" applyBorder="1" applyAlignment="1">
      <alignment horizontal="left" vertical="center" wrapText="1"/>
    </xf>
    <xf numFmtId="0" fontId="48" fillId="5" borderId="5" xfId="0" applyFont="1" applyFill="1" applyBorder="1" applyAlignment="1">
      <alignment horizontal="left" vertical="center" wrapText="1"/>
    </xf>
    <xf numFmtId="0" fontId="38" fillId="5" borderId="9" xfId="0" applyFont="1" applyFill="1" applyBorder="1" applyAlignment="1">
      <alignment horizontal="center" vertical="center"/>
    </xf>
    <xf numFmtId="0" fontId="53" fillId="5" borderId="9" xfId="0" applyFont="1" applyFill="1" applyBorder="1" applyAlignment="1">
      <alignment horizontal="left" vertical="center" wrapText="1"/>
    </xf>
    <xf numFmtId="0" fontId="53" fillId="5" borderId="4" xfId="0" applyFont="1" applyFill="1" applyBorder="1" applyAlignment="1">
      <alignment horizontal="center" vertical="center" wrapText="1"/>
    </xf>
    <xf numFmtId="0" fontId="53" fillId="5" borderId="9" xfId="0" applyFont="1" applyFill="1" applyBorder="1" applyAlignment="1">
      <alignment horizontal="center" vertical="center" wrapText="1"/>
    </xf>
    <xf numFmtId="0" fontId="53" fillId="5" borderId="5" xfId="0" applyFont="1" applyFill="1" applyBorder="1" applyAlignment="1">
      <alignment horizontal="center" vertical="center" wrapText="1"/>
    </xf>
    <xf numFmtId="164" fontId="38" fillId="5" borderId="4" xfId="0" applyNumberFormat="1" applyFont="1" applyFill="1" applyBorder="1" applyAlignment="1">
      <alignment horizontal="center" vertical="center" wrapText="1"/>
    </xf>
    <xf numFmtId="164" fontId="38" fillId="5" borderId="5" xfId="0" applyNumberFormat="1" applyFont="1" applyFill="1" applyBorder="1" applyAlignment="1">
      <alignment horizontal="center" vertical="center" wrapText="1"/>
    </xf>
    <xf numFmtId="164" fontId="0" fillId="5" borderId="9" xfId="0" applyNumberFormat="1" applyFill="1" applyBorder="1" applyAlignment="1">
      <alignment horizontal="center" vertical="center"/>
    </xf>
    <xf numFmtId="165" fontId="37" fillId="5" borderId="9" xfId="0" applyNumberFormat="1" applyFont="1" applyFill="1" applyBorder="1" applyAlignment="1">
      <alignment horizontal="center" vertical="center" wrapText="1"/>
    </xf>
    <xf numFmtId="164" fontId="38" fillId="5" borderId="9" xfId="0" applyNumberFormat="1" applyFont="1" applyFill="1" applyBorder="1" applyAlignment="1">
      <alignment horizontal="center" vertical="center"/>
    </xf>
    <xf numFmtId="0" fontId="38" fillId="5" borderId="11" xfId="0" applyFont="1" applyFill="1" applyBorder="1" applyAlignment="1">
      <alignment horizontal="center" vertical="center" wrapText="1"/>
    </xf>
    <xf numFmtId="0" fontId="38" fillId="5" borderId="12" xfId="0" applyFont="1" applyFill="1" applyBorder="1" applyAlignment="1">
      <alignment horizontal="center" vertical="center" wrapText="1"/>
    </xf>
    <xf numFmtId="0" fontId="33" fillId="5" borderId="4" xfId="0" applyFont="1" applyFill="1" applyBorder="1" applyAlignment="1">
      <alignment horizontal="left" vertical="center" wrapText="1"/>
    </xf>
    <xf numFmtId="0" fontId="33" fillId="5" borderId="9" xfId="0" applyFont="1" applyFill="1" applyBorder="1" applyAlignment="1">
      <alignment horizontal="left" vertical="center" wrapText="1"/>
    </xf>
    <xf numFmtId="0" fontId="33" fillId="5" borderId="5" xfId="0" applyFont="1" applyFill="1" applyBorder="1" applyAlignment="1">
      <alignment horizontal="left" vertical="center" wrapText="1"/>
    </xf>
    <xf numFmtId="14" fontId="21" fillId="5" borderId="4" xfId="0" applyNumberFormat="1" applyFont="1" applyFill="1" applyBorder="1" applyAlignment="1">
      <alignment horizontal="left" vertical="center" wrapText="1"/>
    </xf>
    <xf numFmtId="14" fontId="21" fillId="5" borderId="9" xfId="0" applyNumberFormat="1" applyFont="1" applyFill="1" applyBorder="1" applyAlignment="1">
      <alignment horizontal="left" vertical="center" wrapText="1"/>
    </xf>
    <xf numFmtId="14" fontId="21" fillId="5" borderId="5" xfId="0" applyNumberFormat="1" applyFont="1" applyFill="1" applyBorder="1" applyAlignment="1">
      <alignment horizontal="left" vertical="center" wrapText="1"/>
    </xf>
    <xf numFmtId="0" fontId="44" fillId="5" borderId="4" xfId="2" applyFill="1" applyBorder="1" applyAlignment="1">
      <alignment horizontal="left" vertical="center" wrapText="1"/>
    </xf>
    <xf numFmtId="0" fontId="44" fillId="5" borderId="9" xfId="2" applyFill="1" applyBorder="1" applyAlignment="1">
      <alignment horizontal="left" vertical="center" wrapText="1"/>
    </xf>
    <xf numFmtId="0" fontId="44" fillId="5" borderId="5" xfId="2" applyFill="1" applyBorder="1" applyAlignment="1">
      <alignment horizontal="left" vertical="center" wrapText="1"/>
    </xf>
    <xf numFmtId="0" fontId="38" fillId="5" borderId="9" xfId="0" applyFont="1" applyFill="1" applyBorder="1" applyAlignment="1">
      <alignment horizontal="left" vertical="center" wrapText="1"/>
    </xf>
    <xf numFmtId="0" fontId="38" fillId="5" borderId="24" xfId="0" applyFont="1" applyFill="1" applyBorder="1" applyAlignment="1">
      <alignment horizontal="left" vertical="center" wrapText="1"/>
    </xf>
    <xf numFmtId="0" fontId="38" fillId="5" borderId="28" xfId="0" applyFont="1" applyFill="1" applyBorder="1" applyAlignment="1">
      <alignment horizontal="left" vertical="center" wrapText="1"/>
    </xf>
    <xf numFmtId="164" fontId="0" fillId="5" borderId="1" xfId="0" applyNumberFormat="1" applyFill="1" applyBorder="1" applyAlignment="1">
      <alignment horizontal="center" vertical="center" wrapText="1"/>
    </xf>
    <xf numFmtId="0" fontId="0" fillId="5" borderId="4" xfId="0" applyFill="1" applyBorder="1" applyAlignment="1">
      <alignment horizontal="center" vertical="center" wrapText="1"/>
    </xf>
    <xf numFmtId="0" fontId="0" fillId="5" borderId="9" xfId="0" applyFill="1" applyBorder="1" applyAlignment="1">
      <alignment horizontal="center" vertical="center" wrapText="1"/>
    </xf>
    <xf numFmtId="0" fontId="0" fillId="5" borderId="5" xfId="0"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3" fillId="5" borderId="5"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1" fillId="2" borderId="20" xfId="0" applyFont="1" applyFill="1" applyBorder="1" applyAlignment="1">
      <alignment horizontal="center" vertical="center" wrapText="1"/>
    </xf>
    <xf numFmtId="0" fontId="41" fillId="2" borderId="21"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2" fillId="2" borderId="9"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39" fillId="5" borderId="35" xfId="0" applyFont="1" applyFill="1" applyBorder="1" applyAlignment="1">
      <alignment horizontal="left" vertical="top" wrapText="1"/>
    </xf>
    <xf numFmtId="0" fontId="39" fillId="5" borderId="0" xfId="0" applyFont="1" applyFill="1" applyAlignment="1">
      <alignment horizontal="left" vertical="top" wrapText="1"/>
    </xf>
    <xf numFmtId="0" fontId="56" fillId="2" borderId="15" xfId="0" applyFont="1" applyFill="1" applyBorder="1" applyAlignment="1">
      <alignment horizontal="center" vertical="center" wrapText="1"/>
    </xf>
    <xf numFmtId="0" fontId="56" fillId="2" borderId="16" xfId="0" applyFont="1" applyFill="1" applyBorder="1" applyAlignment="1">
      <alignment horizontal="center" vertical="center" wrapText="1"/>
    </xf>
    <xf numFmtId="0" fontId="56" fillId="2" borderId="17" xfId="0" applyFont="1" applyFill="1" applyBorder="1" applyAlignment="1">
      <alignment horizontal="center" vertical="center" wrapText="1"/>
    </xf>
    <xf numFmtId="0" fontId="56" fillId="2" borderId="6" xfId="0" applyFont="1" applyFill="1" applyBorder="1" applyAlignment="1">
      <alignment horizontal="center" vertical="center" wrapText="1"/>
    </xf>
    <xf numFmtId="0" fontId="56" fillId="2" borderId="7" xfId="0" applyFont="1" applyFill="1" applyBorder="1" applyAlignment="1">
      <alignment horizontal="center" vertical="center" wrapText="1"/>
    </xf>
    <xf numFmtId="0" fontId="56" fillId="2" borderId="8" xfId="0" applyFont="1" applyFill="1" applyBorder="1" applyAlignment="1">
      <alignment horizontal="center" vertical="center" wrapText="1"/>
    </xf>
    <xf numFmtId="0" fontId="56" fillId="2" borderId="34" xfId="0" applyFont="1" applyFill="1" applyBorder="1" applyAlignment="1">
      <alignment horizontal="center" vertical="center" wrapText="1"/>
    </xf>
    <xf numFmtId="0" fontId="56" fillId="2" borderId="0" xfId="0" applyFont="1" applyFill="1" applyAlignment="1">
      <alignment horizontal="center" vertical="center" wrapText="1"/>
    </xf>
    <xf numFmtId="0" fontId="56" fillId="2" borderId="12" xfId="0" applyFont="1" applyFill="1" applyBorder="1" applyAlignment="1">
      <alignment horizontal="center" vertical="center" wrapText="1"/>
    </xf>
    <xf numFmtId="0" fontId="56" fillId="2" borderId="4" xfId="0" applyFont="1" applyFill="1" applyBorder="1" applyAlignment="1">
      <alignment horizontal="center" vertical="center" wrapText="1"/>
    </xf>
    <xf numFmtId="0" fontId="56" fillId="2" borderId="26" xfId="0" applyFont="1" applyFill="1" applyBorder="1" applyAlignment="1">
      <alignment horizontal="center" vertical="center" wrapText="1"/>
    </xf>
    <xf numFmtId="167" fontId="49" fillId="3" borderId="4" xfId="4" applyNumberFormat="1" applyFont="1" applyFill="1" applyBorder="1" applyAlignment="1">
      <alignment horizontal="center" vertical="center" wrapText="1"/>
    </xf>
    <xf numFmtId="167" fontId="49" fillId="3" borderId="5" xfId="4" applyNumberFormat="1" applyFont="1" applyFill="1" applyBorder="1" applyAlignment="1">
      <alignment horizontal="center" vertical="center" wrapText="1"/>
    </xf>
    <xf numFmtId="164" fontId="37" fillId="3" borderId="4" xfId="0" applyNumberFormat="1" applyFont="1" applyFill="1" applyBorder="1" applyAlignment="1">
      <alignment horizontal="center" vertical="center"/>
    </xf>
    <xf numFmtId="164" fontId="37" fillId="3" borderId="5" xfId="0" applyNumberFormat="1" applyFont="1" applyFill="1" applyBorder="1" applyAlignment="1">
      <alignment horizontal="center" vertical="center"/>
    </xf>
    <xf numFmtId="164" fontId="21" fillId="5" borderId="4" xfId="0" applyNumberFormat="1" applyFont="1" applyFill="1" applyBorder="1" applyAlignment="1">
      <alignment horizontal="center" vertical="center"/>
    </xf>
    <xf numFmtId="164" fontId="21" fillId="5" borderId="5" xfId="0" applyNumberFormat="1" applyFont="1" applyFill="1" applyBorder="1" applyAlignment="1">
      <alignment horizontal="center" vertical="center"/>
    </xf>
    <xf numFmtId="164" fontId="37" fillId="11" borderId="4" xfId="0" applyNumberFormat="1" applyFont="1" applyFill="1" applyBorder="1" applyAlignment="1">
      <alignment horizontal="right" vertical="center"/>
    </xf>
    <xf numFmtId="164" fontId="37" fillId="11" borderId="5" xfId="0" applyNumberFormat="1" applyFont="1" applyFill="1" applyBorder="1" applyAlignment="1">
      <alignment horizontal="right" vertical="center"/>
    </xf>
    <xf numFmtId="164" fontId="21" fillId="5" borderId="9" xfId="0" applyNumberFormat="1" applyFont="1" applyFill="1" applyBorder="1" applyAlignment="1">
      <alignment horizontal="center" vertical="center"/>
    </xf>
    <xf numFmtId="164" fontId="21" fillId="5" borderId="4" xfId="0" applyNumberFormat="1" applyFont="1" applyFill="1" applyBorder="1" applyAlignment="1">
      <alignment vertical="center"/>
    </xf>
    <xf numFmtId="164" fontId="21" fillId="5" borderId="9" xfId="0" applyNumberFormat="1" applyFont="1" applyFill="1" applyBorder="1" applyAlignment="1">
      <alignment vertical="center"/>
    </xf>
    <xf numFmtId="164" fontId="21" fillId="5" borderId="5" xfId="0" applyNumberFormat="1" applyFont="1" applyFill="1" applyBorder="1" applyAlignment="1">
      <alignment vertical="center"/>
    </xf>
    <xf numFmtId="2" fontId="37" fillId="3" borderId="9" xfId="0" applyNumberFormat="1" applyFont="1" applyFill="1" applyBorder="1" applyAlignment="1">
      <alignment horizontal="right" vertical="center"/>
    </xf>
    <xf numFmtId="2" fontId="37" fillId="5" borderId="4" xfId="0" applyNumberFormat="1" applyFont="1" applyFill="1" applyBorder="1" applyAlignment="1">
      <alignment vertical="center"/>
    </xf>
    <xf numFmtId="2" fontId="37" fillId="5" borderId="5" xfId="0" applyNumberFormat="1" applyFont="1" applyFill="1" applyBorder="1" applyAlignment="1">
      <alignment vertical="center"/>
    </xf>
    <xf numFmtId="2" fontId="37" fillId="6" borderId="4" xfId="0" applyNumberFormat="1" applyFont="1" applyFill="1" applyBorder="1" applyAlignment="1">
      <alignment vertical="center"/>
    </xf>
    <xf numFmtId="2" fontId="37" fillId="6" borderId="5" xfId="0" applyNumberFormat="1" applyFont="1" applyFill="1" applyBorder="1" applyAlignment="1">
      <alignment vertical="center"/>
    </xf>
    <xf numFmtId="2" fontId="37" fillId="5" borderId="9" xfId="0" applyNumberFormat="1" applyFont="1" applyFill="1" applyBorder="1" applyAlignment="1">
      <alignment horizontal="right" vertical="center"/>
    </xf>
    <xf numFmtId="164" fontId="37" fillId="3" borderId="9" xfId="0" applyNumberFormat="1" applyFont="1" applyFill="1" applyBorder="1" applyAlignment="1">
      <alignment horizontal="right" vertical="center"/>
    </xf>
    <xf numFmtId="0" fontId="38" fillId="3" borderId="4" xfId="0" applyFont="1" applyFill="1" applyBorder="1" applyAlignment="1">
      <alignment horizontal="left" vertical="center" wrapText="1"/>
    </xf>
    <xf numFmtId="0" fontId="38" fillId="3" borderId="9"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4" fillId="5" borderId="4" xfId="2" applyFill="1" applyBorder="1" applyAlignment="1">
      <alignment horizontal="center" vertical="center" wrapText="1"/>
    </xf>
    <xf numFmtId="0" fontId="44" fillId="5" borderId="5" xfId="2" applyFill="1" applyBorder="1" applyAlignment="1">
      <alignment horizontal="center" vertical="center" wrapText="1"/>
    </xf>
    <xf numFmtId="4" fontId="37" fillId="5" borderId="9" xfId="0" applyNumberFormat="1" applyFont="1" applyFill="1" applyBorder="1" applyAlignment="1">
      <alignment horizontal="right" vertical="center"/>
    </xf>
    <xf numFmtId="165" fontId="21" fillId="5" borderId="4" xfId="0" applyNumberFormat="1" applyFont="1" applyFill="1" applyBorder="1" applyAlignment="1">
      <alignment horizontal="right" vertical="center"/>
    </xf>
    <xf numFmtId="165" fontId="21" fillId="5" borderId="9" xfId="0" applyNumberFormat="1" applyFont="1" applyFill="1" applyBorder="1" applyAlignment="1">
      <alignment horizontal="right" vertical="center"/>
    </xf>
    <xf numFmtId="165" fontId="21" fillId="5" borderId="5" xfId="0" applyNumberFormat="1" applyFont="1" applyFill="1" applyBorder="1" applyAlignment="1">
      <alignment horizontal="right" vertical="center"/>
    </xf>
    <xf numFmtId="0" fontId="38" fillId="5" borderId="1" xfId="0" applyFont="1" applyFill="1" applyBorder="1" applyAlignment="1">
      <alignment horizontal="center" vertical="center" wrapText="1"/>
    </xf>
    <xf numFmtId="14" fontId="37" fillId="5" borderId="9" xfId="0" applyNumberFormat="1" applyFont="1" applyFill="1" applyBorder="1" applyAlignment="1">
      <alignment horizontal="center" vertical="center" wrapText="1"/>
    </xf>
    <xf numFmtId="0" fontId="37" fillId="5" borderId="9" xfId="0" applyFont="1" applyFill="1" applyBorder="1" applyAlignment="1">
      <alignment horizontal="left" vertical="center" wrapText="1"/>
    </xf>
    <xf numFmtId="167" fontId="49" fillId="3" borderId="9" xfId="4" applyNumberFormat="1" applyFont="1" applyFill="1" applyBorder="1" applyAlignment="1">
      <alignment horizontal="center" vertical="center" wrapText="1"/>
    </xf>
    <xf numFmtId="164" fontId="37" fillId="3" borderId="9" xfId="0" applyNumberFormat="1" applyFont="1" applyFill="1" applyBorder="1" applyAlignment="1">
      <alignment horizontal="center" vertical="center"/>
    </xf>
    <xf numFmtId="2" fontId="37" fillId="11" borderId="4" xfId="0" applyNumberFormat="1" applyFont="1" applyFill="1" applyBorder="1" applyAlignment="1">
      <alignment horizontal="right" vertical="center"/>
    </xf>
    <xf numFmtId="2" fontId="37" fillId="11" borderId="5" xfId="0" applyNumberFormat="1" applyFont="1" applyFill="1" applyBorder="1" applyAlignment="1">
      <alignment horizontal="right" vertical="center"/>
    </xf>
    <xf numFmtId="0" fontId="48" fillId="5" borderId="4" xfId="0" applyFont="1" applyFill="1" applyBorder="1" applyAlignment="1">
      <alignment vertical="center" wrapText="1"/>
    </xf>
    <xf numFmtId="0" fontId="48" fillId="5" borderId="5" xfId="0" applyFont="1" applyFill="1" applyBorder="1" applyAlignment="1">
      <alignment vertical="center" wrapText="1"/>
    </xf>
  </cellXfs>
  <cellStyles count="6">
    <cellStyle name="Excel Built-in Normal" xfId="5" xr:uid="{00000000-0005-0000-0000-000000000000}"/>
    <cellStyle name="Hyperlink" xfId="2" builtinId="8"/>
    <cellStyle name="Normal" xfId="0" builtinId="0"/>
    <cellStyle name="Normal 2" xfId="1" xr:uid="{00000000-0005-0000-0000-000003000000}"/>
    <cellStyle name="Normal 2 2" xfId="3" xr:uid="{00000000-0005-0000-0000-000004000000}"/>
    <cellStyle name="Percent" xfId="4" builtinId="5"/>
  </cellStyles>
  <dxfs count="0"/>
  <tableStyles count="0" defaultTableStyle="TableStyleMedium2" defaultPivotStyle="PivotStyleLight16"/>
  <colors>
    <mruColors>
      <color rgb="FFA729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75000"/>
                    <a:lumOff val="25000"/>
                  </a:schemeClr>
                </a:solidFill>
                <a:latin typeface="+mn-lt"/>
                <a:ea typeface="+mn-ea"/>
                <a:cs typeface="+mn-cs"/>
              </a:defRPr>
            </a:pPr>
            <a:r>
              <a:rPr lang="lv-LV" sz="1600" b="1">
                <a:solidFill>
                  <a:schemeClr val="tx1">
                    <a:lumMod val="75000"/>
                    <a:lumOff val="25000"/>
                  </a:schemeClr>
                </a:solidFill>
              </a:rPr>
              <a:t>2020. un 2021. gadā izlietotais, 2022. gadam plānotais atbalsts</a:t>
            </a:r>
          </a:p>
        </c:rich>
      </c:tx>
      <c:layout>
        <c:manualLayout>
          <c:xMode val="edge"/>
          <c:yMode val="edge"/>
          <c:x val="0.2472861443208561"/>
          <c:y val="3.1372549019607843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75000"/>
                  <a:lumOff val="25000"/>
                </a:schemeClr>
              </a:solidFill>
              <a:latin typeface="+mn-lt"/>
              <a:ea typeface="+mn-ea"/>
              <a:cs typeface="+mn-cs"/>
            </a:defRPr>
          </a:pPr>
          <a:endParaRPr lang="lv-LV"/>
        </a:p>
      </c:txPr>
    </c:title>
    <c:autoTitleDeleted val="0"/>
    <c:plotArea>
      <c:layout/>
      <c:barChart>
        <c:barDir val="col"/>
        <c:grouping val="clustered"/>
        <c:varyColors val="0"/>
        <c:ser>
          <c:idx val="0"/>
          <c:order val="0"/>
          <c:tx>
            <c:v>2020.g. izpilde</c:v>
          </c:tx>
          <c:spPr>
            <a:solidFill>
              <a:schemeClr val="accent1"/>
            </a:solidFill>
            <a:ln>
              <a:noFill/>
            </a:ln>
            <a:effectLst/>
          </c:spPr>
          <c:invertIfNegative val="0"/>
          <c:dLbls>
            <c:dLbl>
              <c:idx val="0"/>
              <c:layout>
                <c:manualLayout>
                  <c:x val="-3.6144581742204888E-3"/>
                  <c:y val="5.22875816993464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18-49B4-8F16-E5AD7745458F}"/>
                </c:ext>
              </c:extLst>
            </c:dLbl>
            <c:dLbl>
              <c:idx val="2"/>
              <c:layout>
                <c:manualLayout>
                  <c:x val="0"/>
                  <c:y val="-7.84313725490196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18-49B4-8F16-E5AD7745458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Kopējais atbalsts</c:v>
              </c:pt>
              <c:pt idx="1">
                <c:v>Atbalsts nozarēm</c:v>
              </c:pt>
              <c:pt idx="2">
                <c:v>Atbalsts aizdevumu un garantiju jomā</c:v>
              </c:pt>
              <c:pt idx="3">
                <c:v>Atbalsts pabalstu jomā</c:v>
              </c:pt>
              <c:pt idx="4">
                <c:v>Atbalsts nodokļu jomā</c:v>
              </c:pt>
              <c:pt idx="5">
                <c:v>ES fondu finansējuma atbalsts</c:v>
              </c:pt>
            </c:strLit>
          </c:cat>
          <c:val>
            <c:numLit>
              <c:formatCode>General</c:formatCode>
              <c:ptCount val="6"/>
              <c:pt idx="0">
                <c:v>1279.5963616900003</c:v>
              </c:pt>
              <c:pt idx="1">
                <c:v>631.79394600000012</c:v>
              </c:pt>
              <c:pt idx="2">
                <c:v>239.96399569000002</c:v>
              </c:pt>
              <c:pt idx="3">
                <c:v>129.58778200000003</c:v>
              </c:pt>
              <c:pt idx="4">
                <c:v>250.99299999999999</c:v>
              </c:pt>
              <c:pt idx="5">
                <c:v>27.257638</c:v>
              </c:pt>
            </c:numLit>
          </c:val>
          <c:extLst>
            <c:ext xmlns:c16="http://schemas.microsoft.com/office/drawing/2014/chart" uri="{C3380CC4-5D6E-409C-BE32-E72D297353CC}">
              <c16:uniqueId val="{00000002-9418-49B4-8F16-E5AD7745458F}"/>
            </c:ext>
          </c:extLst>
        </c:ser>
        <c:ser>
          <c:idx val="1"/>
          <c:order val="1"/>
          <c:tx>
            <c:v>2021.g. izpilde</c:v>
          </c:tx>
          <c:spPr>
            <a:solidFill>
              <a:schemeClr val="accent2"/>
            </a:solidFill>
            <a:ln>
              <a:noFill/>
            </a:ln>
            <a:effectLst/>
          </c:spPr>
          <c:invertIfNegative val="0"/>
          <c:dLbls>
            <c:dLbl>
              <c:idx val="0"/>
              <c:layout>
                <c:manualLayout>
                  <c:x val="2.4096387828136594E-3"/>
                  <c:y val="1.3071895424836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18-49B4-8F16-E5AD7745458F}"/>
                </c:ext>
              </c:extLst>
            </c:dLbl>
            <c:dLbl>
              <c:idx val="1"/>
              <c:layout>
                <c:manualLayout>
                  <c:x val="-1.2048193914068297E-3"/>
                  <c:y val="1.0457516339869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18-49B4-8F16-E5AD7745458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Kopējais atbalsts</c:v>
              </c:pt>
              <c:pt idx="1">
                <c:v>Atbalsts nozarēm</c:v>
              </c:pt>
              <c:pt idx="2">
                <c:v>Atbalsts aizdevumu un garantiju jomā</c:v>
              </c:pt>
              <c:pt idx="3">
                <c:v>Atbalsts pabalstu jomā</c:v>
              </c:pt>
              <c:pt idx="4">
                <c:v>Atbalsts nodokļu jomā</c:v>
              </c:pt>
              <c:pt idx="5">
                <c:v>ES fondu finansējuma atbalsts</c:v>
              </c:pt>
            </c:strLit>
          </c:cat>
          <c:val>
            <c:numLit>
              <c:formatCode>General</c:formatCode>
              <c:ptCount val="6"/>
              <c:pt idx="0">
                <c:v>2283.6463718799996</c:v>
              </c:pt>
              <c:pt idx="1">
                <c:v>1497.1246124100001</c:v>
              </c:pt>
              <c:pt idx="2">
                <c:v>133.31562346999999</c:v>
              </c:pt>
              <c:pt idx="3">
                <c:v>533.45613600000001</c:v>
              </c:pt>
              <c:pt idx="4">
                <c:v>62.55</c:v>
              </c:pt>
              <c:pt idx="5">
                <c:v>57.2</c:v>
              </c:pt>
            </c:numLit>
          </c:val>
          <c:extLst>
            <c:ext xmlns:c16="http://schemas.microsoft.com/office/drawing/2014/chart" uri="{C3380CC4-5D6E-409C-BE32-E72D297353CC}">
              <c16:uniqueId val="{00000005-9418-49B4-8F16-E5AD7745458F}"/>
            </c:ext>
          </c:extLst>
        </c:ser>
        <c:ser>
          <c:idx val="2"/>
          <c:order val="2"/>
          <c:tx>
            <c:v>2022.g. plāns</c:v>
          </c:tx>
          <c:spPr>
            <a:solidFill>
              <a:schemeClr val="accent3"/>
            </a:solidFill>
            <a:ln>
              <a:noFill/>
            </a:ln>
            <a:effectLst/>
          </c:spPr>
          <c:invertIfNegative val="0"/>
          <c:dLbls>
            <c:dLbl>
              <c:idx val="0"/>
              <c:layout>
                <c:manualLayout>
                  <c:x val="3.6144581742204888E-3"/>
                  <c:y val="2.61437908496727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18-49B4-8F16-E5AD7745458F}"/>
                </c:ext>
              </c:extLst>
            </c:dLbl>
            <c:dLbl>
              <c:idx val="2"/>
              <c:layout>
                <c:manualLayout>
                  <c:x val="7.4783397858444421E-3"/>
                  <c:y val="7.84313725490196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418-49B4-8F16-E5AD7745458F}"/>
                </c:ext>
              </c:extLst>
            </c:dLbl>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Kopējais atbalsts</c:v>
              </c:pt>
              <c:pt idx="1">
                <c:v>Atbalsts nozarēm</c:v>
              </c:pt>
              <c:pt idx="2">
                <c:v>Atbalsts aizdevumu un garantiju jomā</c:v>
              </c:pt>
              <c:pt idx="3">
                <c:v>Atbalsts pabalstu jomā</c:v>
              </c:pt>
              <c:pt idx="4">
                <c:v>Atbalsts nodokļu jomā</c:v>
              </c:pt>
              <c:pt idx="5">
                <c:v>ES fondu finansējuma atbalsts</c:v>
              </c:pt>
            </c:strLit>
          </c:cat>
          <c:val>
            <c:numLit>
              <c:formatCode>General</c:formatCode>
              <c:ptCount val="6"/>
              <c:pt idx="0">
                <c:v>1538.58380852</c:v>
              </c:pt>
              <c:pt idx="1">
                <c:v>959.5</c:v>
              </c:pt>
              <c:pt idx="2">
                <c:v>199.76380852000003</c:v>
              </c:pt>
              <c:pt idx="3">
                <c:v>107.3</c:v>
              </c:pt>
              <c:pt idx="4">
                <c:v>35.5</c:v>
              </c:pt>
              <c:pt idx="5">
                <c:v>236.52</c:v>
              </c:pt>
            </c:numLit>
          </c:val>
          <c:extLst>
            <c:ext xmlns:c16="http://schemas.microsoft.com/office/drawing/2014/chart" uri="{C3380CC4-5D6E-409C-BE32-E72D297353CC}">
              <c16:uniqueId val="{00000008-9418-49B4-8F16-E5AD7745458F}"/>
            </c:ext>
          </c:extLst>
        </c:ser>
        <c:dLbls>
          <c:showLegendKey val="0"/>
          <c:showVal val="0"/>
          <c:showCatName val="0"/>
          <c:showSerName val="0"/>
          <c:showPercent val="0"/>
          <c:showBubbleSize val="0"/>
        </c:dLbls>
        <c:gapWidth val="219"/>
        <c:axId val="907041760"/>
        <c:axId val="907040120"/>
      </c:barChart>
      <c:catAx>
        <c:axId val="90704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907040120"/>
        <c:crosses val="autoZero"/>
        <c:auto val="1"/>
        <c:lblAlgn val="ctr"/>
        <c:lblOffset val="100"/>
        <c:noMultiLvlLbl val="0"/>
      </c:catAx>
      <c:valAx>
        <c:axId val="9070401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800">
                    <a:latin typeface="Times New Roman" panose="02020603050405020304" pitchFamily="18" charset="0"/>
                    <a:cs typeface="Times New Roman" panose="02020603050405020304" pitchFamily="18" charset="0"/>
                  </a:rPr>
                  <a:t>milj.eiro</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907041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24</xdr:row>
      <xdr:rowOff>0</xdr:rowOff>
    </xdr:from>
    <xdr:to>
      <xdr:col>24</xdr:col>
      <xdr:colOff>414336</xdr:colOff>
      <xdr:row>43</xdr:row>
      <xdr:rowOff>333375</xdr:rowOff>
    </xdr:to>
    <xdr:graphicFrame macro="">
      <xdr:nvGraphicFramePr>
        <xdr:cNvPr id="2" name="Chart 1">
          <a:extLst>
            <a:ext uri="{FF2B5EF4-FFF2-40B4-BE49-F238E27FC236}">
              <a16:creationId xmlns:a16="http://schemas.microsoft.com/office/drawing/2014/main" id="{58566784-69C0-47D3-BBC3-55648A86A6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1</xdr:row>
      <xdr:rowOff>232834</xdr:rowOff>
    </xdr:from>
    <xdr:to>
      <xdr:col>23</xdr:col>
      <xdr:colOff>679450</xdr:colOff>
      <xdr:row>14</xdr:row>
      <xdr:rowOff>1457419</xdr:rowOff>
    </xdr:to>
    <xdr:pic>
      <xdr:nvPicPr>
        <xdr:cNvPr id="3" name="Picture 2">
          <a:extLst>
            <a:ext uri="{FF2B5EF4-FFF2-40B4-BE49-F238E27FC236}">
              <a16:creationId xmlns:a16="http://schemas.microsoft.com/office/drawing/2014/main" id="{6EEA264B-C981-430A-BD00-1F8EB330FDFF}"/>
            </a:ext>
          </a:extLst>
        </xdr:cNvPr>
        <xdr:cNvPicPr>
          <a:picLocks noChangeAspect="1"/>
        </xdr:cNvPicPr>
      </xdr:nvPicPr>
      <xdr:blipFill>
        <a:blip xmlns:r="http://schemas.openxmlformats.org/officeDocument/2006/relationships" r:embed="rId2"/>
        <a:stretch>
          <a:fillRect/>
        </a:stretch>
      </xdr:blipFill>
      <xdr:spPr>
        <a:xfrm>
          <a:off x="9039225" y="432859"/>
          <a:ext cx="9242425" cy="62537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4" dT="2022-08-31T10:40:47.59" personId="{00000000-0000-0000-0000-000000000000}" id="{448C6BBB-2BAA-497D-B83E-F4ECF730FA41}">
    <text>pabalsta fin. līdzekļi 2022.g. 20,6 mln euro sadalās šādi:  covid19 atbasta mērķim 6,5 mln euro un energo atbalsta mērķa grupām 14,1 mln euro</text>
  </threadedComment>
</ThreadedComments>
</file>

<file path=xl/threadedComments/threadedComment2.xml><?xml version="1.0" encoding="utf-8"?>
<ThreadedComments xmlns="http://schemas.microsoft.com/office/spreadsheetml/2018/threadedcomments" xmlns:x="http://schemas.openxmlformats.org/spreadsheetml/2006/main">
  <threadedComment ref="D34" dT="2022-08-31T08:51:13.17" personId="{00000000-0000-0000-0000-000000000000}" id="{E8216232-E468-4F7C-9C9B-74358EE11FB4}">
    <text>this benefit in 2022 amount 20,6 mln euro and is split to covid19 support (6,5 mln) and energo support targets 14,1 mln)</text>
  </threadedComment>
</ThreadedComments>
</file>

<file path=xl/threadedComments/threadedComment3.xml><?xml version="1.0" encoding="utf-8"?>
<ThreadedComments xmlns="http://schemas.microsoft.com/office/spreadsheetml/2018/threadedcomments" xmlns:x="http://schemas.openxmlformats.org/spreadsheetml/2006/main">
  <threadedComment ref="BH75" dT="2022-08-31T08:13:19.85" personId="{00000000-0000-0000-0000-000000000000}" id="{1AB57D22-1B3B-4654-9EFF-A660B440E049}">
    <text>precizēts plāns, jo šis pabalsts sadalās starp c19 mērķi (6,19milj.) un energo (14,06 milj.)</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tap.mk.gov.lv/mk/tap/?pid=40497330" TargetMode="External"/><Relationship Id="rId299" Type="http://schemas.openxmlformats.org/officeDocument/2006/relationships/hyperlink" Target="https://likumi.lv/ta/id/318434-grozijumi-ministru-kabineta-2020-gada-14-julija-noteikumos-nr-455-covid-19-skarto-turisma-nozares-saimnieciskas-darbibas-veicej..." TargetMode="External"/><Relationship Id="rId21" Type="http://schemas.openxmlformats.org/officeDocument/2006/relationships/hyperlink" Target="https://likumi.lv/ta/id/314259-par-valsts-akciju-sabiedribas-starptautiska-lidosta-riga-pamatkapitala-palielinasanu" TargetMode="External"/><Relationship Id="rId63" Type="http://schemas.openxmlformats.org/officeDocument/2006/relationships/hyperlink" Target="http://tap.mk.gov.lv/lv/mk/tap/?pid=40491825&amp;mode=mk&amp;date=2020-09-15" TargetMode="External"/><Relationship Id="rId159" Type="http://schemas.openxmlformats.org/officeDocument/2006/relationships/hyperlink" Target="https://likumi.lv/ta/id/321559-par-finansu-lidzeklu-pieskirsanu-no-valsts-budzeta-programmas-lidzekli-neparedzetiem-gadijumiem" TargetMode="External"/><Relationship Id="rId324" Type="http://schemas.openxmlformats.org/officeDocument/2006/relationships/hyperlink" Target="https://tapportals.mk.gov.lv/meetings/protocols/d5a852c0-a7fc-44d2-9aa0-a9c70df6890c" TargetMode="External"/><Relationship Id="rId366" Type="http://schemas.openxmlformats.org/officeDocument/2006/relationships/hyperlink" Target="https://likumi.lv/ta/id/331764-par-finansu-lidzeklu-pieskirsanu-no-valsts-budzeta-programmas-lidzekli-neparedzetiem-gadijumiem" TargetMode="External"/><Relationship Id="rId170" Type="http://schemas.openxmlformats.org/officeDocument/2006/relationships/hyperlink" Target="https://likumi.lv/ta/id/322460-par-finansu-lidzeklu-pieskirsanu-no-valsts-budzeta-programmas-lidzekli-neparedzetiem-gadijumiem" TargetMode="External"/><Relationship Id="rId226" Type="http://schemas.openxmlformats.org/officeDocument/2006/relationships/hyperlink" Target="https://likumi.lv/ta/id/323804-par-finansu-lidzeklu-pieskirsanu-no-valsts-budzeta-programmas-lidzekli-neparedzetiem-gadijumiem" TargetMode="External"/><Relationship Id="rId268" Type="http://schemas.openxmlformats.org/officeDocument/2006/relationships/hyperlink" Target="https://tapportals.mk.gov.lv/annotation/9cf3c111-c2b5-413a-bc88-d577bc4dd60c" TargetMode="External"/><Relationship Id="rId32" Type="http://schemas.openxmlformats.org/officeDocument/2006/relationships/hyperlink" Target="https://likumi.lv/ta/id/314435-par-finansu-lidzeklu-pieskirsanu-no-valsts-budzeta-programmas-lidzekli-neparedzetiem-gadijumiem" TargetMode="External"/><Relationship Id="rId74" Type="http://schemas.openxmlformats.org/officeDocument/2006/relationships/hyperlink" Target="https://m.likumi.lv/ta/id/319135-par-apropriacijas-palielinasanu-kulturas-ministrijai" TargetMode="External"/><Relationship Id="rId128" Type="http://schemas.openxmlformats.org/officeDocument/2006/relationships/hyperlink" Target="http://tap.mk.gov.lv/lv/mk/tap/?pid=40498320&amp;mode=mk&amp;date=2021-02-15" TargetMode="External"/><Relationship Id="rId335" Type="http://schemas.openxmlformats.org/officeDocument/2006/relationships/hyperlink" Target="http://tap.mk.gov.lv/lv/mk/tap/?pid=40486050&amp;mode=mk&amp;date=2020-04-14" TargetMode="External"/><Relationship Id="rId377" Type="http://schemas.openxmlformats.org/officeDocument/2006/relationships/hyperlink" Target="https://tapportals.mk.gov.lv/structuralizer/data/nodes/aa2056a0-d1b7-4244-9b27-1fbb0c6409b5/preview" TargetMode="External"/><Relationship Id="rId5" Type="http://schemas.openxmlformats.org/officeDocument/2006/relationships/hyperlink" Target="https://likumi.lv/ta/id/312968-par-apropriacijas-palielinasanu-veselibas-ministrijai" TargetMode="External"/><Relationship Id="rId181" Type="http://schemas.openxmlformats.org/officeDocument/2006/relationships/hyperlink" Target="https://likumi.lv/ta/id/322783" TargetMode="External"/><Relationship Id="rId237" Type="http://schemas.openxmlformats.org/officeDocument/2006/relationships/hyperlink" Target="https://www.vestnesis.lv/op/2021/154.36" TargetMode="External"/><Relationship Id="rId402" Type="http://schemas.openxmlformats.org/officeDocument/2006/relationships/hyperlink" Target="https://likumi.lv/ta/id/337985-par-finansu-lidzeklu-pieskirsanu-no-valsts-budzeta-programmas-lidzekli-neparedzetiem-gadijumiem" TargetMode="External"/><Relationship Id="rId279" Type="http://schemas.openxmlformats.org/officeDocument/2006/relationships/hyperlink" Target="https://likumi.lv/ta/id/325493-par-finansu-lidzeklu-pieskirsanu-no-valsts-budzeta-programmas-lidzekli-neparedzetiem-gadijumiem" TargetMode="External"/><Relationship Id="rId43" Type="http://schemas.openxmlformats.org/officeDocument/2006/relationships/hyperlink" Target="https://likumi.lv/ta/id/313612-par-finansu-lidzeklu-pieskirsanu-no-valsts-budzeta-programmas-lidzekli-neparedzetiem-gadijumiem" TargetMode="External"/><Relationship Id="rId139" Type="http://schemas.openxmlformats.org/officeDocument/2006/relationships/hyperlink" Target="https://likumi.lv/ta/id/320587-par-finansejuma-sadalijumu-pasvaldibam-covid-19-izraisitas-krizes-parvaresanas-un-seku-noversanas-pasakumu-istenosanai" TargetMode="External"/><Relationship Id="rId290" Type="http://schemas.openxmlformats.org/officeDocument/2006/relationships/hyperlink" Target="https://likumi.lv/ta/id/327453-par-apropriacijas-palielinasanu-veselibas-ministrijai" TargetMode="External"/><Relationship Id="rId304" Type="http://schemas.openxmlformats.org/officeDocument/2006/relationships/hyperlink" Target="https://likumi.lv/ta/id/328023-par-finansu-lidzeklu-pieskirsanu-no-valsts-budzeta-programmas-lidzekli-neparedzetiem-gadijumiem" TargetMode="External"/><Relationship Id="rId346" Type="http://schemas.openxmlformats.org/officeDocument/2006/relationships/hyperlink" Target="https://likumi.lv/ta/id/331406-par-finansu-lidzeklu-pieskirsanu-no-valsts-budzeta-programmas-lidzekli-neparedzetiem-gadijumiem" TargetMode="External"/><Relationship Id="rId388" Type="http://schemas.openxmlformats.org/officeDocument/2006/relationships/hyperlink" Target="https://likumi.lv/ta/id/334699-par-finansu-lidzeklu-pieskirsanu-no-valsts-budzeta-programmas-lidzekli-neparedzetiem-gadijumiem" TargetMode="External"/><Relationship Id="rId85" Type="http://schemas.openxmlformats.org/officeDocument/2006/relationships/hyperlink" Target="https://likumi.lv/ta/id/315852-par-finansu-lidzeklu-pieskirsanu-no-valsts-budzeta-programmas-lidzekli-neparedzetiem-gadijumiem" TargetMode="External"/><Relationship Id="rId150" Type="http://schemas.openxmlformats.org/officeDocument/2006/relationships/hyperlink" Target="https://likumi.lv/ta/id/314717-par-finansu-lidzeklu-pieskirsanu-no-valsts-budzeta-programmas-02-00-00-lidzekli-neparedzetiem-gadijumiem" TargetMode="External"/><Relationship Id="rId192" Type="http://schemas.openxmlformats.org/officeDocument/2006/relationships/hyperlink" Target="https://likumi.lv/ta/id/315312-grozijumi-ministru-kabineta-2018-gada-28-augusta-noteikumos-nr-555-veselibas-aprupes-pakalpojumu-organizesanas-un-samaksas" TargetMode="External"/><Relationship Id="rId206" Type="http://schemas.openxmlformats.org/officeDocument/2006/relationships/hyperlink" Target="https://likumi.lv/ta/id/324696-par-finansu-lidzeklu-pieskirsanu-no-valsts-budzeta-programmas-lidzekli-neparedzetiem-gadijumiem" TargetMode="External"/><Relationship Id="rId248" Type="http://schemas.openxmlformats.org/officeDocument/2006/relationships/hyperlink" Target="https://likumi.lv/ta/id/325935-par-finansu-lidzeklu-pieskirsanu-no-valsts-budzeta-programmas-lidzekli-neparedzetiem-gadijumiem" TargetMode="External"/><Relationship Id="rId12" Type="http://schemas.openxmlformats.org/officeDocument/2006/relationships/hyperlink" Target="https://likumi.lv/ta/id/313680-noteikumi-par-dikstaves-pabalstu-pasnodarbinatam-personam-kuras-skarusi-covid-19-izplatiba" TargetMode="External"/><Relationship Id="rId108" Type="http://schemas.openxmlformats.org/officeDocument/2006/relationships/hyperlink" Target="https://likumi.lv/ta/id/318971-par-finansejuma-sadalijumu-atbalsta-sniegsanai-attalinata-macibu-procesa-nodrosinasanai-visparejas-izglitibas-un-profesionalas" TargetMode="External"/><Relationship Id="rId315" Type="http://schemas.openxmlformats.org/officeDocument/2006/relationships/hyperlink" Target="http://tap.mk.gov.lv/lv/mk/tap/?pid=40502836&amp;mode=mk&amp;date=2021-05-27" TargetMode="External"/><Relationship Id="rId357" Type="http://schemas.openxmlformats.org/officeDocument/2006/relationships/hyperlink" Target="https://likumi.lv/ta/id/331017-par-finansu-lidzeklu-pieskirsanu-no-valsts-budzeta-programmas-lidzekli-neparedzetiem-gadijumiem" TargetMode="External"/><Relationship Id="rId54" Type="http://schemas.openxmlformats.org/officeDocument/2006/relationships/hyperlink" Target="https://likumi.lv/ta/id/317726-par-finansu-lidzeklu-pieskirsanu-no-valsts-budzeta-programmas-lidzekli-neparedzetiem-gadijumiem" TargetMode="External"/><Relationship Id="rId96" Type="http://schemas.openxmlformats.org/officeDocument/2006/relationships/hyperlink" Target="https://likumi.lv/ta/id/316998-par-finansu-lidzeklu-pieskirsanu-no-valsts-budzeta-programmas-lidzekli-neparedzetiem-gadijumiem" TargetMode="External"/><Relationship Id="rId161" Type="http://schemas.openxmlformats.org/officeDocument/2006/relationships/hyperlink" Target="https://likumi.lv/ta/id/321487-par-finansu-lidzeklu-pieskirsanu-no-valsts-budzeta-programmas-lidzekli-neparedzetiem-gadijumiem" TargetMode="External"/><Relationship Id="rId217" Type="http://schemas.openxmlformats.org/officeDocument/2006/relationships/hyperlink" Target="https://likumi.lv/ta/id/324703-par-finansu-lidzeklu-pieskirsanu-no-valsts-budzeta-programmas-lidzekli-neparedzetiem-gadijumiem%20Mk%20r&#299;k.%20505" TargetMode="External"/><Relationship Id="rId399" Type="http://schemas.openxmlformats.org/officeDocument/2006/relationships/hyperlink" Target="https://likumi.lv/ta/id/330395-noteikumi-par-kriterijiem-un-kartibu-kada-2022-gada-tiek-izverteti-un-izsniegti-valsts-aizdevumi-pasvaldibam-covid-19-izraisita..." TargetMode="External"/><Relationship Id="rId259" Type="http://schemas.openxmlformats.org/officeDocument/2006/relationships/hyperlink" Target="https://likumi.lv/ta/id/325497-par-finansu-lidzeklu-pieskirsanu-no-valsts-budzeta-programmas-lidzekli-neparedzetiem-gadijumiem" TargetMode="External"/><Relationship Id="rId23" Type="http://schemas.openxmlformats.org/officeDocument/2006/relationships/hyperlink" Target="https://www.vestnesis.lv/op/2021/66.24" TargetMode="External"/><Relationship Id="rId119" Type="http://schemas.openxmlformats.org/officeDocument/2006/relationships/hyperlink" Target="http://tap.mk.gov.lv/lv/mk/tap/?pid=40497627&amp;mode=mk&amp;date=2021-01-28" TargetMode="External"/><Relationship Id="rId270" Type="http://schemas.openxmlformats.org/officeDocument/2006/relationships/hyperlink" Target="https://likumi.lv/ta/id/327238-par-finansu-lidzeklu-pieskirsanu-no-valsts-budzeta-programmas-lidzekli-neparedzetiem-gadijumiem" TargetMode="External"/><Relationship Id="rId326" Type="http://schemas.openxmlformats.org/officeDocument/2006/relationships/hyperlink" Target="https://likumi.lv/ta/id/320816-noteikumi-par-atbalstu-makslas-izklaides-un-atputas-nozaru-komersantiem-kuru-darbibu-ietekmejusi-covid-19-izplatiba" TargetMode="External"/><Relationship Id="rId65" Type="http://schemas.openxmlformats.org/officeDocument/2006/relationships/hyperlink" Target="https://likumi.lv/ta/id/318965-par-finansu-lidzeklu-pieskirsanu-no-valsts-budzeta-programmas-lidzekli-neparedzetiem-gadijumiem" TargetMode="External"/><Relationship Id="rId130" Type="http://schemas.openxmlformats.org/officeDocument/2006/relationships/hyperlink" Target="https://likumi.lv/ta/id/321245-par-finansu-lidzeklu-pieskirsanu-no-valsts-budzeta-programmas-lidzekli-neparedzetiem-gadijumiem" TargetMode="External"/><Relationship Id="rId368" Type="http://schemas.openxmlformats.org/officeDocument/2006/relationships/hyperlink" Target="https://likumi.lv/ta/id/328010-par-atbalstitajiem-pasvaldibu-investiciju-projektiem-valsts-aizdevumu-pieskirsanai-covid-19-izraisitas-krizes-seku-mazinasanai" TargetMode="External"/><Relationship Id="rId172" Type="http://schemas.openxmlformats.org/officeDocument/2006/relationships/hyperlink" Target="https://likumi.lv/ta/id/322940-par-atbalstitajiem-pasvaldibu-investiciju-projektiem-valsts-aizdevumu-pieskirsanai-covid-19-izraisitas-krizes-seku-mazinasanai-un-noversanai?&amp;search=on" TargetMode="External"/><Relationship Id="rId228" Type="http://schemas.openxmlformats.org/officeDocument/2006/relationships/hyperlink" Target="https://likumi.lv/ta/id/324408-par-apropriacijas-palielinasanu-kulturas-ministrijai" TargetMode="External"/><Relationship Id="rId281" Type="http://schemas.openxmlformats.org/officeDocument/2006/relationships/hyperlink" Target="https://likumi.lv/ta/id/327591-par-finansu-lidzeklu-pieskirsanu-no-valsts-budzeta-programmas-lidzekli-neparedzetiem-gadijumiem" TargetMode="External"/><Relationship Id="rId337" Type="http://schemas.openxmlformats.org/officeDocument/2006/relationships/hyperlink" Target="https://likumi.lv/ta/id/329606-par-finansu-lidzeklu-pieskirsanu-no-valsts-budzeta-programmas-lidzekli-neparedzetiem-gadijumiem" TargetMode="External"/><Relationship Id="rId34" Type="http://schemas.openxmlformats.org/officeDocument/2006/relationships/hyperlink" Target="https://likumi.lv/ta/id/314853-noteikumi-par-valsts-atbalstu-istermina-aizdevumiem-lauksaimnieciba-covid-19-izplatibas-negativas-ietekmes-mazinasanai" TargetMode="External"/><Relationship Id="rId76"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141" Type="http://schemas.openxmlformats.org/officeDocument/2006/relationships/hyperlink" Target="https://likumi.lv/ta/id/321650-par-apropriacijas-palielinasanu-veselibas-ministrijai" TargetMode="External"/><Relationship Id="rId379" Type="http://schemas.openxmlformats.org/officeDocument/2006/relationships/hyperlink" Target="https://m.likumi.lv/ta/id/332669-par-finansu-lidzeklu-pieskirsanu-no-valsts-budzeta-programmaslidzekli-neparedzetiem-gadijumiem" TargetMode="External"/><Relationship Id="rId7" Type="http://schemas.openxmlformats.org/officeDocument/2006/relationships/hyperlink" Target="http://tap.mk.gov.lv/mk/mksedes/saraksts/protokols/?protokols=2020-03-19" TargetMode="External"/><Relationship Id="rId183" Type="http://schemas.openxmlformats.org/officeDocument/2006/relationships/hyperlink" Target="https://likumi.lv/ta/id/323495-par-finansu-lidzeklu-pieskirsanu-no-valsts-budzeta-programmas-lidzekli-neparedzetiem-gadijumiem" TargetMode="External"/><Relationship Id="rId239" Type="http://schemas.openxmlformats.org/officeDocument/2006/relationships/hyperlink" Target="https://likumi.lv/ta/id/325325-par-finansu-lidzeklu-pieskirsanu-no-valsts-budzeta-programmas-lidzekli-neparedzetiem-gadijumiem" TargetMode="External"/><Relationship Id="rId390" Type="http://schemas.openxmlformats.org/officeDocument/2006/relationships/hyperlink" Target="https://likumi.lv/ta/id/330810-par-apropriacijas-palielinasanu-veselibas-ministrijai" TargetMode="External"/><Relationship Id="rId404" Type="http://schemas.openxmlformats.org/officeDocument/2006/relationships/hyperlink" Target="https://likumi.lv/ta/id/337369-par-finansu-lidzeklu-pieskirsanu-no-valsts-budzeta-programmas-lidzekli-neparedzetiem-gadijumiem" TargetMode="External"/><Relationship Id="rId250" Type="http://schemas.openxmlformats.org/officeDocument/2006/relationships/hyperlink" Target="https://likumi.lv/ta/id/325934-par-finansu-lidzeklu-pieskirsanu-no-valsts-budzeta-programmas-lidzekli-neparedzetiem-gadijumiem" TargetMode="External"/><Relationship Id="rId292" Type="http://schemas.openxmlformats.org/officeDocument/2006/relationships/hyperlink" Target="https://likumi.lv/ta/id/328033-par-apropriacijas-palielinasanu-veselibas-ministrijai" TargetMode="External"/><Relationship Id="rId306" Type="http://schemas.openxmlformats.org/officeDocument/2006/relationships/hyperlink" Target="https://likumi.lv/ta/id/327527-par-finansu-lidzeklu-pieskirsanu-no-valsts-budzeta-programmas-lidzekli-neparedzetiem-gadijumiem" TargetMode="External"/><Relationship Id="rId45" Type="http://schemas.openxmlformats.org/officeDocument/2006/relationships/hyperlink" Target="http://tap.mk.gov.lv/lv/mk/tap/?pid=40488130&amp;mode=mk&amp;date=2020-06-02" TargetMode="External"/><Relationship Id="rId87" Type="http://schemas.openxmlformats.org/officeDocument/2006/relationships/hyperlink" Target="https://likumi.lv/ta/id/319785-grozijumi-ministru-kabineta-2018-gada-28-augusta-noteikumos-nr-555-veselibas-aprupes-pakalpojumu-organizesanas-un-samaksas-kart..." TargetMode="External"/><Relationship Id="rId110" Type="http://schemas.openxmlformats.org/officeDocument/2006/relationships/hyperlink" Target="https://likumi.lv/ta/id/320464-par-finansu-lidzeklu-pieskirsanu-no-valsts-budzeta-programmas-lidzekli-neparedzetiem-gadijumiem" TargetMode="External"/><Relationship Id="rId348" Type="http://schemas.openxmlformats.org/officeDocument/2006/relationships/hyperlink" Target="https://likumi.lv/ta/id/330821-par-finansu-lidzeklu-pieskirsanu-no-valsts-budzeta-programmaslidzekli-neparedzetiem-gadijumiem" TargetMode="External"/><Relationship Id="rId152" Type="http://schemas.openxmlformats.org/officeDocument/2006/relationships/hyperlink" Target="https://likumi.lv/ta/id/321223-par-finansu-lidzeklu-pieskirsanu-no-valsts-budzeta-programmas-lidzekli-neparedzetiem-gadijumiem" TargetMode="External"/><Relationship Id="rId194" Type="http://schemas.openxmlformats.org/officeDocument/2006/relationships/hyperlink" Target="http://tap.mk.gov.lv/lv/mk/tap/?pid=40488376&amp;mode=mk&amp;date=2020-06-09" TargetMode="External"/><Relationship Id="rId208" Type="http://schemas.openxmlformats.org/officeDocument/2006/relationships/hyperlink" Target="https://likumi.lv/ta/id/324708-par-finansu-lidzeklu-pieskirsanu-no-valsts-budzeta-programmas-lidzekli-neparedzetiem-gadijumiem" TargetMode="External"/><Relationship Id="rId261" Type="http://schemas.openxmlformats.org/officeDocument/2006/relationships/hyperlink" Target="https://likumi.lv/ta/id/325321-par-finansu-lidzeklu-pieskirsanu-no-valsts-budzeta-programmas-lidzekli-neparedzetiem-gadijumiem" TargetMode="External"/><Relationship Id="rId14" Type="http://schemas.openxmlformats.org/officeDocument/2006/relationships/hyperlink" Target="https://likumi.lv/ta/id/314098-grozijums-bezdarbnieku-un-darba-mekletaju-atbalsta-likuma" TargetMode="External"/><Relationship Id="rId56" Type="http://schemas.openxmlformats.org/officeDocument/2006/relationships/hyperlink" Target="https://likumi.lv/ta/id/320274-grozijumi-ministru-kabineta-2020-gada-24-novembra-noteikumos-nr-709-noteikumi-par-atbalstu-par-dikstavi-nodoklu-maksatajiem-to-..." TargetMode="External"/><Relationship Id="rId317" Type="http://schemas.openxmlformats.org/officeDocument/2006/relationships/hyperlink" Target="https://likumi.lv/ta/id/328443-par-finansu-lidzeklu-pieskirsanu-no-valsts-budzeta-programmas-lidzekli-neparedzetiem-gadijumiem" TargetMode="External"/><Relationship Id="rId359" Type="http://schemas.openxmlformats.org/officeDocument/2006/relationships/hyperlink" Target="https://likumi.lv/ta/id/329961-par-finansu-lidzeklu-pieskirsanu-no-valsts-budzeta-programmas-lidzekli-neparedzetiem-gadijumiem" TargetMode="External"/><Relationship Id="rId98" Type="http://schemas.openxmlformats.org/officeDocument/2006/relationships/hyperlink" Target="https://likumi.lv/ta/id/317243-par-finansu-lidzeklu-pieskirsanu-no-valsts-budzeta-programmas-lidzekli-neparedzetiem-gadijumiem" TargetMode="External"/><Relationship Id="rId121" Type="http://schemas.openxmlformats.org/officeDocument/2006/relationships/hyperlink" Target="http://tap.mk.gov.lv/lv/mk/tap/?pid=40498001&amp;mode=mk&amp;date=2021-02-05" TargetMode="External"/><Relationship Id="rId163" Type="http://schemas.openxmlformats.org/officeDocument/2006/relationships/hyperlink" Target="http://tap.mk.gov.lv/lv/mk/tap/?pid=40486957&amp;mode=mk&amp;date=2020-04-30" TargetMode="External"/><Relationship Id="rId219" Type="http://schemas.openxmlformats.org/officeDocument/2006/relationships/hyperlink" Target="https://likumi.lv/ta/id/324700-par-finansu-lidzeklu-pieskirsanu-no-valsts-budzeta-programmas-lidzekli-neparedzetiem-gadijumiem" TargetMode="External"/><Relationship Id="rId370" Type="http://schemas.openxmlformats.org/officeDocument/2006/relationships/hyperlink" Target="https://www.vestnesis.lv/op/2022/116.7" TargetMode="External"/><Relationship Id="rId230" Type="http://schemas.openxmlformats.org/officeDocument/2006/relationships/hyperlink" Target="http://tap.mk.gov.lv/lv/mk/tap/?pid=40504828&amp;mode=mk&amp;date=2021-07-14" TargetMode="External"/><Relationship Id="rId25" Type="http://schemas.openxmlformats.org/officeDocument/2006/relationships/hyperlink" Target="https://likumi.lv/ta/id/314585-par-finansu-lidzeklu-pieskirsanu-no-valsts-budzeta-programmas-lidzekli-neparedzetiem-gadijumiem" TargetMode="External"/><Relationship Id="rId67" Type="http://schemas.openxmlformats.org/officeDocument/2006/relationships/hyperlink" Target="https://likumi.lv/ta/id/318967-par-finansu-lidzeklu-pieskirsanu-no-valsts-budzeta-programmas-lidzekli-neparedzetiem-gadijumiem" TargetMode="External"/><Relationship Id="rId272" Type="http://schemas.openxmlformats.org/officeDocument/2006/relationships/hyperlink" Target="https://likumi.lv/ta/id/323479-par-finansu-lidzeklu-pieskirsanu-no-valsts-budzeta-programmas-lidzekli-neparedzetiem-gadijumiem" TargetMode="External"/><Relationship Id="rId328" Type="http://schemas.openxmlformats.org/officeDocument/2006/relationships/hyperlink" Target="https://m.likumi.lv/ta/id/329090-par-finansu-lidzeklu-pieskirsanu-no-valsts-budzeta-programmaslidzekli-neparedzetiem-gadijumiem" TargetMode="External"/><Relationship Id="rId132" Type="http://schemas.openxmlformats.org/officeDocument/2006/relationships/hyperlink" Target="https://m.likumi.lv/ta/id/321374-par-finansu-lidzeklu-pieskirsanu-no-valsts-budzeta-programmas-lidzekli-neparedzetiem-gadijumiem" TargetMode="External"/><Relationship Id="rId174" Type="http://schemas.openxmlformats.org/officeDocument/2006/relationships/hyperlink" Target="https://likumi.lv/ta/id/322777-par-finansu-lidzeklu-pieskirsanu-no-valsts-budzeta-programmas-lidzekli-neparedzetiem-gadijumiem" TargetMode="External"/><Relationship Id="rId381" Type="http://schemas.openxmlformats.org/officeDocument/2006/relationships/hyperlink" Target="https://tap.mk.gov.lv/mk/mksedes/saraksts/protokols/?protokols=2021-03-18" TargetMode="External"/><Relationship Id="rId241" Type="http://schemas.openxmlformats.org/officeDocument/2006/relationships/hyperlink" Target="https://likumi.lv/ta/id/324698-par-finansu-lidzeklu-pieskirsanu-no-valsts-budzeta-programmas-lidzekli-neparedzetiem-gadijumiem" TargetMode="External"/><Relationship Id="rId36" Type="http://schemas.openxmlformats.org/officeDocument/2006/relationships/hyperlink" Target="http://tap.mk.gov.lv/lv/mk/tap/?pid=40488578&amp;mode=mk&amp;date=2020-07-14" TargetMode="External"/><Relationship Id="rId283" Type="http://schemas.openxmlformats.org/officeDocument/2006/relationships/hyperlink" Target="https://likumi.lv/ta/id/323493-par-apropriacijas-pardali-no-budzeta-resora-74-gadskarteja-valsts-budzeta-izpildes-procesa-pardalamais-finansejums-programmas" TargetMode="External"/><Relationship Id="rId339" Type="http://schemas.openxmlformats.org/officeDocument/2006/relationships/hyperlink" Target="http://tap.mk.gov.lv/lv/mk/tap/?pid=40486050&amp;mode=mk&amp;date=2020-04-14" TargetMode="External"/><Relationship Id="rId78"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101" Type="http://schemas.openxmlformats.org/officeDocument/2006/relationships/hyperlink" Target="http://tap.mk.gov.lv/lv/mk/tap/?pid=40488130&amp;mode=mk&amp;date=2020-06-02" TargetMode="External"/><Relationship Id="rId143" Type="http://schemas.openxmlformats.org/officeDocument/2006/relationships/hyperlink" Target="https://likumi.lv/ta/id/321640-par-finansu-lidzeklu-pieskirsanu-no-valsts-budzeta-programmas-lidzekli-neparedzetiem-gadijumiem" TargetMode="External"/><Relationship Id="rId185" Type="http://schemas.openxmlformats.org/officeDocument/2006/relationships/hyperlink" Target="https://likumi.lv/ta/id/323805-par-finansu-lidzeklu-pieskirsanu-no-valsts-budzeta-programmas-lidzekli-neparedzetiem-gadijumiem" TargetMode="External"/><Relationship Id="rId350" Type="http://schemas.openxmlformats.org/officeDocument/2006/relationships/hyperlink" Target="https://tapportals.mk.gov.lv/annotation/47dc02aa-cabf-4bf5-9fea-add392e72793" TargetMode="External"/><Relationship Id="rId406" Type="http://schemas.openxmlformats.org/officeDocument/2006/relationships/vmlDrawing" Target="../drawings/vmlDrawing3.vml"/><Relationship Id="rId9" Type="http://schemas.openxmlformats.org/officeDocument/2006/relationships/hyperlink" Target="https://likumi.lv/ta/id/313340-grozijumi-ministru-kabineta-2020-gada-10-marta-rikojuma-nr-100-par-finansu-lidzeklu-pieskirsanu-no-valsts-budzeta-programmas" TargetMode="External"/><Relationship Id="rId210" Type="http://schemas.openxmlformats.org/officeDocument/2006/relationships/hyperlink" Target="https://likumi.lv/ta/id/324693-par-finansu-lidzeklu-pieskirsanu-no-valsts-budzeta-programmas-lidzekli-neparedzetiem-gadijumiem" TargetMode="External"/><Relationship Id="rId392" Type="http://schemas.openxmlformats.org/officeDocument/2006/relationships/hyperlink" Target="https://likumi.lv/ta/id/335324-par-finansu-lidzeklu-pieskirsanu-no-valsts-budzeta-programmas-lidzekli-neparedzetiem-gadijumiem" TargetMode="External"/><Relationship Id="rId252" Type="http://schemas.openxmlformats.org/officeDocument/2006/relationships/hyperlink" Target="https://likumi.lv/ta/id/325499-par-finansu-lidzeklu-pieskirsanu-no-valsts-budzeta-programmas-lidzekli-neparedzetiem-gadijumiem" TargetMode="External"/><Relationship Id="rId294" Type="http://schemas.openxmlformats.org/officeDocument/2006/relationships/hyperlink" Target="https://likumi.lv/ta/id/328027-par-finansu-lidzeklu-pieskirsanu-no-valsts-budzeta-programmas-lidzekli-neparedzetiem-gadijumiem" TargetMode="External"/><Relationship Id="rId308" Type="http://schemas.openxmlformats.org/officeDocument/2006/relationships/hyperlink" Target="https://likumi.lv/ta/id/326813-par-finansu-lidzeklu-pieskirsanu-no-valsts-budzeta-programmas-lidzekli-neparedzetiem-gadijumiem" TargetMode="External"/><Relationship Id="rId47" Type="http://schemas.openxmlformats.org/officeDocument/2006/relationships/hyperlink" Target="https://likumi.lv/ta/id/317696-par-finansu-lidzeklu-pieskirsanu-no-valsts-budzeta-programmas-lidzekli-neparedzetiem-gadijumiem" TargetMode="External"/><Relationship Id="rId89" Type="http://schemas.openxmlformats.org/officeDocument/2006/relationships/hyperlink" Target="https://likumi.lv/ta/id/317235-par-finansu-lidzeklu-pieskirsanu-no-valsts-budzeta-programmas-lidzekli-neparedzetiem-gadijumiem" TargetMode="External"/><Relationship Id="rId112" Type="http://schemas.openxmlformats.org/officeDocument/2006/relationships/hyperlink" Target="https://likumi.lv/ta/id/320208-par-finansu-lidzeklu-pieskirsanu-no-valsts-budzeta-programmas-lidzekli-neparedzetiem-gadijumiem" TargetMode="External"/><Relationship Id="rId154" Type="http://schemas.openxmlformats.org/officeDocument/2006/relationships/hyperlink" Target="https://likumi.lv/ta/id/318133-par-finansu-lidzeklu-pieskirsanu-no-valsts-budzeta-programmas-lidzekli-neparedzetiem-gadijumiem" TargetMode="External"/><Relationship Id="rId361" Type="http://schemas.openxmlformats.org/officeDocument/2006/relationships/hyperlink" Target="https://m.likumi.lv/ta/id/330054-par-finansu-lidzeklu-pieskirsanu-no-valsts-budzeta-programmas-lidzekli-neparedzetiem-gadijumiem" TargetMode="External"/><Relationship Id="rId196" Type="http://schemas.openxmlformats.org/officeDocument/2006/relationships/hyperlink" Target="https://likumi.lv/ta/id/318406-par-finansu-lidzeklu-pieskirsanu-no-valsts-budzeta-programmas-lidzekli-neparedzetiem-gadijumiem" TargetMode="External"/><Relationship Id="rId16" Type="http://schemas.openxmlformats.org/officeDocument/2006/relationships/hyperlink" Target="https://likumi.lv/ta/id/313935-grozijumi-ministru-kabineta-2020-gada-26-marta-noteikumos-nr-165-noteikumi-par-covid-19-izraisitas-krizes-skartiem-darba-devejiem" TargetMode="External"/><Relationship Id="rId221" Type="http://schemas.openxmlformats.org/officeDocument/2006/relationships/hyperlink" Target="http://tap.mk.gov.lv/lv/mk/tap/?pid=40505400&amp;mode=mk&amp;date=2021-07-14" TargetMode="External"/><Relationship Id="rId263" Type="http://schemas.openxmlformats.org/officeDocument/2006/relationships/hyperlink" Target="https://tapportals.mk.gov.lv/meetings/cabinet_ministers/884a8552-0a22-4712-aebd-4accd7fe29c8" TargetMode="External"/><Relationship Id="rId319" Type="http://schemas.openxmlformats.org/officeDocument/2006/relationships/hyperlink" Target="https://tapportals.mk.gov.lv/legal_acts/f788829b-9593-4706-ba5b-f4f645572a14" TargetMode="External"/><Relationship Id="rId58" Type="http://schemas.openxmlformats.org/officeDocument/2006/relationships/hyperlink" Target="https://likumi.lv/ta/id/320204-par-finansu-lidzeklu-pieskirsanu-no-valsts-budzeta-programmas-lidzekli-neparedzetiem-gadijumiem" TargetMode="External"/><Relationship Id="rId123" Type="http://schemas.openxmlformats.org/officeDocument/2006/relationships/hyperlink" Target="https://likumi.lv/ta/id/320957-par-apropriacijas-palielinasanu-veselibas-ministrijai" TargetMode="External"/><Relationship Id="rId330" Type="http://schemas.openxmlformats.org/officeDocument/2006/relationships/hyperlink" Target="https://likumi.lv/ta/id/329599-par-finansu-lidzeklu-pieskirsanu-no-valsts-budzeta-programmas-lidzekli-neparedzetiem-gadijumiem" TargetMode="External"/><Relationship Id="rId165" Type="http://schemas.openxmlformats.org/officeDocument/2006/relationships/hyperlink" Target="https://likumi.lv/ta/id/322230-par-finansu-lidzeklu-pieskirsanu-no-valsts-budzeta-programmas-lidzekli-neparedzetiem-gadijumiem" TargetMode="External"/><Relationship Id="rId372" Type="http://schemas.openxmlformats.org/officeDocument/2006/relationships/hyperlink" Target="https://likumi.lv/ta/id/332071-par-finansu-lidzeklu-pieskirsanu-no-valsts-budzeta-programmas-lidzekli-neparedzetiem-gadijumiem" TargetMode="External"/><Relationship Id="rId211" Type="http://schemas.openxmlformats.org/officeDocument/2006/relationships/hyperlink" Target="https://likumi.lv/ta/id/324695-par-finansu-lidzeklu-pieskirsanu-no-valsts-budzeta-programmas-lidzekli-neparedzetiem-gadijumiem" TargetMode="External"/><Relationship Id="rId232" Type="http://schemas.openxmlformats.org/officeDocument/2006/relationships/hyperlink" Target="https://likumi.lv/ta/id/325314-par-apropriacijas-palielinasanu-izglitibas-un-zinatnes-ministrijai" TargetMode="External"/><Relationship Id="rId253" Type="http://schemas.openxmlformats.org/officeDocument/2006/relationships/hyperlink" Target="https://likumi.lv/ta/id/325330-par-finansu-lidzeklu-pieskirsanu-no-valsts-budzeta-programmas-lidzekli-neparedzetiem-gadijumiem" TargetMode="External"/><Relationship Id="rId274" Type="http://schemas.openxmlformats.org/officeDocument/2006/relationships/hyperlink" Target="https://tapportals.mk.gov.lv/annotation/d8638392-7c02-40cb-911a-f2466af8203e" TargetMode="External"/><Relationship Id="rId295" Type="http://schemas.openxmlformats.org/officeDocument/2006/relationships/hyperlink" Target="https://likumi.lv/ta/id/326629-par-atbalstitajiem-pasvaldibu-investiciju-projektiem-valsts-aizdevumu-pieskirsanai-covid-19-izraisitas-krizes-seku-mazinasanai" TargetMode="External"/><Relationship Id="rId309" Type="http://schemas.openxmlformats.org/officeDocument/2006/relationships/hyperlink" Target="https://tapportals.mk.gov.lv/meetings/protocols/a4e0d281-9a87-4959-b3ed-b8a0fbed0a55" TargetMode="External"/><Relationship Id="rId27" Type="http://schemas.openxmlformats.org/officeDocument/2006/relationships/hyperlink" Target="http://tap.mk.gov.lv/lv/mk/tap/?pid=40488130&amp;mode=mk&amp;date=2020-06-02" TargetMode="External"/><Relationship Id="rId48" Type="http://schemas.openxmlformats.org/officeDocument/2006/relationships/hyperlink" Target="http://tap.mk.gov.lv/lv/mk/tap/?pid=40488130&amp;mode=mk&amp;date=2020-06-02" TargetMode="External"/><Relationship Id="rId69" Type="http://schemas.openxmlformats.org/officeDocument/2006/relationships/hyperlink" Target="https://likumi.lv/ta/id/318759-noteikumi-par-aizdevumiem-un-to-procentu-likmju-subsidijam-komersantiem-konkuretspejas-veicinasanai" TargetMode="External"/><Relationship Id="rId113" Type="http://schemas.openxmlformats.org/officeDocument/2006/relationships/hyperlink" Target="https://likumi.lv/ta/id/320625-par-finansu-lidzeklu-pieskirsanu-no-valsts-budzeta-programmas-lidzekli-neparedzetiem-gadijumiem" TargetMode="External"/><Relationship Id="rId134" Type="http://schemas.openxmlformats.org/officeDocument/2006/relationships/hyperlink" Target="https://likumi.lv/ta/id/320832-par-finansu-lidzeklu-pieskirsanu-no-valsts-budzeta-programmas-lidzekli-neparedzetiem-gadijumiem" TargetMode="External"/><Relationship Id="rId320" Type="http://schemas.openxmlformats.org/officeDocument/2006/relationships/hyperlink" Target="https://likumi.lv/ta/id/321139-par-finansu-lidzeklu-pieskirsanu-no-valsts-budzeta-programmas-lidzekli-neparedzetiem-gadijumiem" TargetMode="External"/><Relationship Id="rId80" Type="http://schemas.openxmlformats.org/officeDocument/2006/relationships/hyperlink" Target="https://likumi.lv/ta/id/320202-par-finansu-lidzeklu-pieskirsanu-no-valsts-budzeta-programmas-lidzekli-neparedzetiem-gadijumiem" TargetMode="External"/><Relationship Id="rId155" Type="http://schemas.openxmlformats.org/officeDocument/2006/relationships/hyperlink" Target="https://likumi.lv/ta/id/322652-par-finansu-lidzeklu-pieskirsanu-no-valsts-budzeta-programmas-lidzekli-neparedzetiem-gadijumiem" TargetMode="External"/><Relationship Id="rId176" Type="http://schemas.openxmlformats.org/officeDocument/2006/relationships/hyperlink" Target="https://likumi.lv/ta/id/323482-par-finansu-lidzeklu-pieskirsanu-no-valsts-budzeta-programmas-lidzekli-neparedzetiem-gadijumiem" TargetMode="External"/><Relationship Id="rId197" Type="http://schemas.openxmlformats.org/officeDocument/2006/relationships/hyperlink" Target="https://likumi.lv/ta/id/318053-par-finansu-lidzeklu-pieskirsanu-no-valsts-budzeta-programmas-lidzekli-neparedzetiem-gadijumiem" TargetMode="External"/><Relationship Id="rId341" Type="http://schemas.openxmlformats.org/officeDocument/2006/relationships/hyperlink" Target="https://likumi.lv/ta/id/327584-par-finansu-lidzeklu-pieskirsanu-no-valsts-budzeta-programmas-lidzekli-neparedzetiem-gadijumiem" TargetMode="External"/><Relationship Id="rId362" Type="http://schemas.openxmlformats.org/officeDocument/2006/relationships/hyperlink" Target="https://likumi.lv/ta/id/331223-par-finansu-lidzeklu-pieskirsanu-no-valsts-budzeta-programmaslidzekli-neparedzetiem-gadijumiem" TargetMode="External"/><Relationship Id="rId383" Type="http://schemas.openxmlformats.org/officeDocument/2006/relationships/hyperlink" Target="https://likumi.lv/ta/id/332495-par-finansu-lidzeklu-pieskirsanu-no-valsts-budzeta-programmas-lidzekli-neparedzetiem-gadijumiem" TargetMode="External"/><Relationship Id="rId201" Type="http://schemas.openxmlformats.org/officeDocument/2006/relationships/hyperlink" Target="https://likumi.lv/ta/id/323864-par-apropriacijas-pardali-starp-kulturas-ministrijas-budzeta-apaksprogrammam" TargetMode="External"/><Relationship Id="rId222" Type="http://schemas.openxmlformats.org/officeDocument/2006/relationships/hyperlink" Target="https://likumi.lv/ta/id/324692-par-finansu-lidzeklu-pieskirsanu-no-valsts-budzeta-programmas-lidzekli-neparedzetiem-gadijumiem" TargetMode="External"/><Relationship Id="rId243" Type="http://schemas.openxmlformats.org/officeDocument/2006/relationships/hyperlink" Target="https://likumi.lv/ta/id/313681-noteikumi-par-publiskas-personas-un-publiskas-personas-kontroletas-kapitalsabiedribas-mantas-nomas-maksas-atbrivojuma-vai-samazinajuma" TargetMode="External"/><Relationship Id="rId264" Type="http://schemas.openxmlformats.org/officeDocument/2006/relationships/hyperlink" Target="https://likumi.lv/ta/id/321806-par-finansu-lidzeklu-pieskirsanu-no-valsts-budzeta-programmas-lidzekli-neparedzetiem-gadijumiem" TargetMode="External"/><Relationship Id="rId285" Type="http://schemas.openxmlformats.org/officeDocument/2006/relationships/hyperlink" Target="https://likumi.lv/ta/id/327383-par-finansu-lidzeklu-pieskirsanu-no-valsts-budzeta-programmas-lidzekli-neparedzetiem-gadijumiem" TargetMode="External"/><Relationship Id="rId17" Type="http://schemas.openxmlformats.org/officeDocument/2006/relationships/hyperlink" Target="https://likumi.lv/ta/id/313434-par-valsts-akciju-sabiedribas-latvijas-gaisa-satiksme-pamatkapitala-palielinasanu" TargetMode="External"/><Relationship Id="rId38" Type="http://schemas.openxmlformats.org/officeDocument/2006/relationships/hyperlink" Target="http://tap.mk.gov.lv/lv/mk/tap/?pid=40489541&amp;mode=mk&amp;date=2020-07-14" TargetMode="External"/><Relationship Id="rId59" Type="http://schemas.openxmlformats.org/officeDocument/2006/relationships/hyperlink" Target="http://tap.mk.gov.lv/lv/mk/tap/?pid=40489492&amp;mode=mk&amp;date=2020-07-14" TargetMode="External"/><Relationship Id="rId103" Type="http://schemas.openxmlformats.org/officeDocument/2006/relationships/hyperlink" Target="http://tap.mk.gov.lv/lv/mk/tap/?pid=40496774&amp;mode=mk&amp;date=2021-01-14" TargetMode="External"/><Relationship Id="rId124" Type="http://schemas.openxmlformats.org/officeDocument/2006/relationships/hyperlink" Target="https://likumi.lv/ta/id/320589-par-finansu-lidzeklu-pieskirsanu-no-valsts-budzeta-programmas-lidzekli-neparedzetiem-gadijumiem" TargetMode="External"/><Relationship Id="rId310" Type="http://schemas.openxmlformats.org/officeDocument/2006/relationships/hyperlink" Target="http://tap.mk.gov.lv/lv/mk/tap/?pid=40488130&amp;mode=mk&amp;date=2020-06-02" TargetMode="External"/><Relationship Id="rId70" Type="http://schemas.openxmlformats.org/officeDocument/2006/relationships/hyperlink" Target="https://likumi.lv/ta/id/318589-par-apropriacijas-pardali-neatliekamu-pasakumu-istenosanai-labklajibas-nozare" TargetMode="External"/><Relationship Id="rId91" Type="http://schemas.openxmlformats.org/officeDocument/2006/relationships/hyperlink" Target="https://likumi.lv/ta/id/319134-par-finansu-lidzeklu-pieskirsanu-no-valsts-budzeta-programmas-lidzekli-neparedzetiem-gadijumiem" TargetMode="External"/><Relationship Id="rId145" Type="http://schemas.openxmlformats.org/officeDocument/2006/relationships/hyperlink" Target="http://tap.mk.gov.lv/lv/mk/tap/?pid=40502654&amp;mode=mk&amp;date=2021-06-01" TargetMode="External"/><Relationship Id="rId166" Type="http://schemas.openxmlformats.org/officeDocument/2006/relationships/hyperlink" Target="http://tap.mk.gov.lv/mk/mksedes/saraksts/protokols/?protokols=2021-05-18" TargetMode="External"/><Relationship Id="rId187" Type="http://schemas.openxmlformats.org/officeDocument/2006/relationships/hyperlink" Target="https://likumi.lv/ta/id/321649-par-finansu-lidzeklu-pieskirsanu-no-valsts-budzeta-programmas-lidzekli-neparedzetiem-gadijumiem" TargetMode="External"/><Relationship Id="rId331" Type="http://schemas.openxmlformats.org/officeDocument/2006/relationships/hyperlink" Target="https://www.vestnesis.lv/op/2022/24.16" TargetMode="External"/><Relationship Id="rId352" Type="http://schemas.openxmlformats.org/officeDocument/2006/relationships/hyperlink" Target="https://likumi.lv/ta/id/330811" TargetMode="External"/><Relationship Id="rId373" Type="http://schemas.openxmlformats.org/officeDocument/2006/relationships/hyperlink" Target="https://likumi.lv/ta/id/327375-par-finansu-lidzeklu-pieskirsanu-no-valsts-budzeta-programmas-02-00-00-lidzekli-neparedzetiem-gadijumiem" TargetMode="External"/><Relationship Id="rId394" Type="http://schemas.openxmlformats.org/officeDocument/2006/relationships/hyperlink" Target="https://tapportals.mk.gov.lv/structuralizer/data/nodes/83d65707-3bf9-4a4e-a3a4-972bdf97a3f4/preview" TargetMode="External"/><Relationship Id="rId408" Type="http://schemas.microsoft.com/office/2017/10/relationships/threadedComment" Target="../threadedComments/threadedComment3.xml"/><Relationship Id="rId1" Type="http://schemas.openxmlformats.org/officeDocument/2006/relationships/hyperlink" Target="https://likumi.lv/ta/id/313430-grozijumi-ministru-kabineta-2020-gada-19-marta-noteikumos-nr-149-noteikumi-par-apgrozamo-lidzeklu-aizdevumiem-saimnieciskas-dar..." TargetMode="External"/><Relationship Id="rId212" Type="http://schemas.openxmlformats.org/officeDocument/2006/relationships/hyperlink" Target="https://likumi.lv/ta/id/324694-par-finansu-lidzeklu-pieskirsanu-no-valsts-budzeta-programmas-lidzekli-neparedzetiem-gadijumiem" TargetMode="External"/><Relationship Id="rId233" Type="http://schemas.openxmlformats.org/officeDocument/2006/relationships/hyperlink" Target="https://likumi.lv/ta/id/324399-par-atbalstitajiem-pasvaldibu-investiciju-projektiem-valsts-aizdevumu-pieskirsanai-covid-19-izraisitas-krizes-seku-mazinasanai-un-noversanai" TargetMode="External"/><Relationship Id="rId254" Type="http://schemas.openxmlformats.org/officeDocument/2006/relationships/hyperlink" Target="https://likumi.lv/ta/id/325331-par-finansu-lidzeklu-pieskirsanu-no-valsts-budzeta-programmas-lidzekli-neparedzetiem-gadijumiem" TargetMode="External"/><Relationship Id="rId28" Type="http://schemas.openxmlformats.org/officeDocument/2006/relationships/hyperlink" Target="http://tap.mk.gov.lv/lv/mk/tap/?pid=40488130&amp;mode=mk&amp;date=2020-06-02" TargetMode="External"/><Relationship Id="rId49" Type="http://schemas.openxmlformats.org/officeDocument/2006/relationships/hyperlink" Target="https://likumi.lv/ta/id/317703-par-finansu-lidzeklu-pieskirsanu-no-valsts-budzeta-programmas-lidzekli-neparedzetiem-gadijumiem" TargetMode="External"/><Relationship Id="rId114" Type="http://schemas.openxmlformats.org/officeDocument/2006/relationships/hyperlink" Target="http://tap.mk.gov.lv/mk/tap/?pid=40491875" TargetMode="External"/><Relationship Id="rId275" Type="http://schemas.openxmlformats.org/officeDocument/2006/relationships/hyperlink" Target="https://likumi.lv/ta/id/327010-par-finansu-lidzeklu-pieskirsanu-no-valsts-budzeta-programmaslidzekli-neparedzetiem-gadijumiem" TargetMode="External"/><Relationship Id="rId296" Type="http://schemas.openxmlformats.org/officeDocument/2006/relationships/hyperlink" Target="https://likumi.lv/ta/id/327218-par-atbalstitajiem-pasvaldibu-investiciju-projektiem-valsts-aizdevumu-pieskirsanai-covid-19-izraisitas-krizes-seku-mazinasanai" TargetMode="External"/><Relationship Id="rId300" Type="http://schemas.openxmlformats.org/officeDocument/2006/relationships/hyperlink" Target="https://m.likumi.lv/ta/id/315585-par-finansu-lidzeklu-pieskirsanu-no-valsts-budzeta-programmas-lidzekli-neparedzetiem-gadijumiem" TargetMode="External"/><Relationship Id="rId60" Type="http://schemas.openxmlformats.org/officeDocument/2006/relationships/hyperlink" Target="https://titania.saeima.lv/LIVS13/saeimalivs13.nsf/0/D3145E3501CAE0EEC225861D00272C19?OpenDocument" TargetMode="External"/><Relationship Id="rId81" Type="http://schemas.openxmlformats.org/officeDocument/2006/relationships/hyperlink" Target="https://likumi.lv/ta/id/320203-par-finansu-lidzeklu-pieskirsanu-no-valsts-budzeta-programmas-lidzekli-neparedzetiem-gadijumiem" TargetMode="External"/><Relationship Id="rId135" Type="http://schemas.openxmlformats.org/officeDocument/2006/relationships/hyperlink" Target="https://likumi.lv/ta/id/321223-par-finansu-lidzeklu-pieskirsanu-no-valsts-budzeta-programmas-lidzekli-neparedzetiem-gadijumiem" TargetMode="External"/><Relationship Id="rId156" Type="http://schemas.openxmlformats.org/officeDocument/2006/relationships/hyperlink" Target="https://likumi.lv/ta/id/321372-par-finansu-lidzeklu-pieskirsanu-no-valsts-budzeta-programmas-lidzekli-neparedzetiem-gadijumiem-" TargetMode="External"/><Relationship Id="rId177" Type="http://schemas.openxmlformats.org/officeDocument/2006/relationships/hyperlink" Target="https://likumi.lv/ta/id/323492-par-finansu-lidzeklu-pieskirsanu-no-valsts-budzeta-programmas-lidzekli-neparedzetiem-gadijumiem" TargetMode="External"/><Relationship Id="rId198" Type="http://schemas.openxmlformats.org/officeDocument/2006/relationships/hyperlink" Target="http://likumi.lv/ta/id/316608-par-finansu-lidzeklu-pieskirsanu-no-valsts-budzeta-programmas-lidzekli-neparedzetiem-gadijumiem" TargetMode="External"/><Relationship Id="rId321" Type="http://schemas.openxmlformats.org/officeDocument/2006/relationships/hyperlink" Target="https://likumi.lv/ta/id/328254-par-finansu-lidzeklu-pieskirsanu-no-valsts-budzeta-programmaslidzekli-neparedzetiem-gadijumiem" TargetMode="External"/><Relationship Id="rId342" Type="http://schemas.openxmlformats.org/officeDocument/2006/relationships/hyperlink" Target="https://likumi.lv/ta/id/324810-par-finansu-lidzeklu-pieskirsanu-no-valsts-budzeta-programmas-lidzekli-neparedzetiem-gadijumiem" TargetMode="External"/><Relationship Id="rId363" Type="http://schemas.openxmlformats.org/officeDocument/2006/relationships/hyperlink" Target="https://likumi.lv/ta/id/331664-par-finansu-lidzeklu-pieskirsanu-no-valsts-budzeta-programmas-lidzekli-neparedzetiem-gadijumiem" TargetMode="External"/><Relationship Id="rId384" Type="http://schemas.openxmlformats.org/officeDocument/2006/relationships/hyperlink" Target="https://likumi.lv/ta/id/332880-par-finansu-lidzeklu-pieskirsanu-no-valsts-budzeta-programmas-lidzekli-neparedzetiem-gadijumiem" TargetMode="External"/><Relationship Id="rId202" Type="http://schemas.openxmlformats.org/officeDocument/2006/relationships/hyperlink" Target="http://tap.mk.gov.lv/lv/mk/tap/?pid=40503649&amp;mode=mk&amp;date=2021-06-15" TargetMode="External"/><Relationship Id="rId223" Type="http://schemas.openxmlformats.org/officeDocument/2006/relationships/hyperlink" Target="https://likumi.lv/ta/id/324615-noteikumi-par-aizdevumiem-ar-kapitala-atlaidi-investiciju-projektiem-komersantiem-konkuretspejas-veicinasanai" TargetMode="External"/><Relationship Id="rId244" Type="http://schemas.openxmlformats.org/officeDocument/2006/relationships/hyperlink" Target="https://likumi.lv/ta/id/325332-grozijums-ministru-kabineta-2021-gada-7-julija-rikojuma-nr-497-par-finansu-lidzeklu-pieskirsanu-no-valsts-budzeta-programmas" TargetMode="External"/><Relationship Id="rId18" Type="http://schemas.openxmlformats.org/officeDocument/2006/relationships/hyperlink" Target="https://likumi.lv/ta/id/314258-grozijumi-ministru-kabineta-2020-gada-31-marta-noteikumos-nr-179-noteikumi-par-dikstaves-pabalstu-pasnodarbinatam-personam" TargetMode="External"/><Relationship Id="rId39" Type="http://schemas.openxmlformats.org/officeDocument/2006/relationships/hyperlink" Target="https://likumi.lv/ta/id/316119-noteikumi-par-garantijam-lielajiem-komersantiem-kuru-darbibu-ietekmejusi-covid-19-izplatiba" TargetMode="External"/><Relationship Id="rId265" Type="http://schemas.openxmlformats.org/officeDocument/2006/relationships/hyperlink" Target="https://likumi.lv/ta/id/325936-par-finansu-lidzeklu-pieskirsanu-no-valsts-budzeta-programmas-lidzekli-neparedzetiem-gadijumiem" TargetMode="External"/><Relationship Id="rId286" Type="http://schemas.openxmlformats.org/officeDocument/2006/relationships/hyperlink" Target="https://likumi.lv/ta/id/327424-par-finansu-lidzeklu-pieskirsanu-no-valsts-budzeta-programmas-lidzekli-neparedzetiem-gadijumiem" TargetMode="External"/><Relationship Id="rId50" Type="http://schemas.openxmlformats.org/officeDocument/2006/relationships/hyperlink" Target="https://likumi.lv/ta/id/318052-par-finansu-lidzeklu-pieskirsanu-no-valsts-budzeta-programmas-lidzekli-neparedzetiem-gadijumiem" TargetMode="External"/><Relationship Id="rId104" Type="http://schemas.openxmlformats.org/officeDocument/2006/relationships/hyperlink" Target="https://likumi.lv/ta/id/319019-par-finansu-lidzeklu-pieskirsanu-no-valsts-budzeta-programmas-lidzekli-neparedzetiem-gadijumiem" TargetMode="External"/><Relationship Id="rId125" Type="http://schemas.openxmlformats.org/officeDocument/2006/relationships/hyperlink" Target="https://likumi.lv/ta/id/320816-noteikumi-par-atbalstu-makslas-izklaides-un-atputas-nozaru-komersantiem-kuru-darbibu-ietekmejusi-covid-19-izplatiba" TargetMode="External"/><Relationship Id="rId146" Type="http://schemas.openxmlformats.org/officeDocument/2006/relationships/hyperlink" Target="https://likumi.lv/ta/id/322046-par-finansu-lidzeklu-pieskirsanu-no-valsts-budzeta-programmas-lidzekli-neparedzetiem-gadijumiem" TargetMode="External"/><Relationship Id="rId167" Type="http://schemas.openxmlformats.org/officeDocument/2006/relationships/hyperlink" Target="http://tap.mk.gov.lv/mk/mksedes/saraksts/protokols/?protokols=2021-05-13" TargetMode="External"/><Relationship Id="rId188" Type="http://schemas.openxmlformats.org/officeDocument/2006/relationships/hyperlink" Target="https://www.vestnesis.lv/op/2021/46.11" TargetMode="External"/><Relationship Id="rId311" Type="http://schemas.openxmlformats.org/officeDocument/2006/relationships/hyperlink" Target="https://likumi.lv/ta/id/316831-par-finansu-lidzeklu-pieskirsanu-no-valsts-budzeta-programmas-lidzekli-neparedzetiem-gadijumiem" TargetMode="External"/><Relationship Id="rId332" Type="http://schemas.openxmlformats.org/officeDocument/2006/relationships/hyperlink" Target="https://likumi.lv/ta/id/328231-par-finansu-lidzeklu-pieskirsanu-no-valsts-budzeta-programmas-lidzekli-neparedzetiem-gadijumiem" TargetMode="External"/><Relationship Id="rId353" Type="http://schemas.openxmlformats.org/officeDocument/2006/relationships/hyperlink" Target="https://likumi.lv/ta/id/330812" TargetMode="External"/><Relationship Id="rId374" Type="http://schemas.openxmlformats.org/officeDocument/2006/relationships/hyperlink" Target="https://likumi.lv/ta/id/331199-par-finansu-lidzeklu-pieskirsanu-no-valsts-budzeta-programmas-lidzekli-neparedzetiem-gadijumiem" TargetMode="External"/><Relationship Id="rId395" Type="http://schemas.openxmlformats.org/officeDocument/2006/relationships/hyperlink" Target="https://tapportals.mk.gov.lv/structuralizer/data/nodes/874cb006-dcd1-47bf-b872-074b8a8d7ccc/preview" TargetMode="External"/><Relationship Id="rId71" Type="http://schemas.openxmlformats.org/officeDocument/2006/relationships/hyperlink" Target="https://likumi.lv/ta/id/320206-par-finansu-lidzeklu-pieskirsanu-no-valsts-budzeta-programmas-lidzekli-neparedzetiem-gadijumiem" TargetMode="External"/><Relationship Id="rId92" Type="http://schemas.openxmlformats.org/officeDocument/2006/relationships/hyperlink" Target="https://likumi.lv/ta/id/319133-par-finansu-lidzeklu-pieskirsanu-no-valsts-budzeta-programmas-lidzekli-neparedzetiem-gadijumiem" TargetMode="External"/><Relationship Id="rId213" Type="http://schemas.openxmlformats.org/officeDocument/2006/relationships/hyperlink" Target="http://tap.mk.gov.lv/mk/mksedes/saraksts/protokols/?protokols=2021-06-08" TargetMode="External"/><Relationship Id="rId234" Type="http://schemas.openxmlformats.org/officeDocument/2006/relationships/hyperlink" Target="https://likumi.lv/ta/id/322193" TargetMode="External"/><Relationship Id="rId2" Type="http://schemas.openxmlformats.org/officeDocument/2006/relationships/hyperlink" Target="https://likumi.lv/ta/id/313431-grozijumi-ministru-kabineta-2020-gada-19-marta-noteikumos-nr-150-noteikumi-par-garantijam-saimnieciskas-darbibas-veicejiem" TargetMode="External"/><Relationship Id="rId29" Type="http://schemas.openxmlformats.org/officeDocument/2006/relationships/hyperlink" Target="https://likumi.lv/ta/id/316129-noteikumi-par-kapitala-ieguldijumiem-komersantos-kuru-darbibu-ietekmejusi-covid-19-izplatiba" TargetMode="External"/><Relationship Id="rId255" Type="http://schemas.openxmlformats.org/officeDocument/2006/relationships/hyperlink" Target="https://tapportals.mk.gov.lv/meetings/cabinet_ministers/884a8552-0a22-4712-aebd-4accd7fe29c8" TargetMode="External"/><Relationship Id="rId276" Type="http://schemas.openxmlformats.org/officeDocument/2006/relationships/hyperlink" Target="http://tap.mk.gov.lv/lv/mk/tap/?pid=40502907&amp;mode=mk&amp;date=2021-05-27" TargetMode="External"/><Relationship Id="rId297" Type="http://schemas.openxmlformats.org/officeDocument/2006/relationships/hyperlink" Target="https://likumi.lv/ta/id/328024-par-finansu-lidzeklu-pieskirsanu-no-valsts-budzeta-programmaslidzekli-neparedzetiem-gadijumiem" TargetMode="External"/><Relationship Id="rId40" Type="http://schemas.openxmlformats.org/officeDocument/2006/relationships/hyperlink" Target="http://tap.mk.gov.lv/lv/mk/tap/?pid=40489549&amp;mode=mk&amp;date=2020-07-14" TargetMode="External"/><Relationship Id="rId115" Type="http://schemas.openxmlformats.org/officeDocument/2006/relationships/hyperlink" Target="http://tap.mk.gov.lv/lv/mk/tap/?pid=40496837&amp;mode=mk&amp;date=2021-01-08" TargetMode="External"/><Relationship Id="rId136" Type="http://schemas.openxmlformats.org/officeDocument/2006/relationships/hyperlink" Target="https://likumi.lv/ta/id/321204-par-finansu-lidzeklu-pieskirsanu-no-valsts-budzeta-programmas-lidzekli-neparedzetiem-gadijumiem" TargetMode="External"/><Relationship Id="rId157" Type="http://schemas.openxmlformats.org/officeDocument/2006/relationships/hyperlink" Target="https://likumi.lv/ta/id/321836-par-finansu-lidzeklu-pieskirsanu-no-valsts-budzeta-programmas-02-00-00-lidzekli-neparedzetiem-gadijumiem" TargetMode="External"/><Relationship Id="rId178" Type="http://schemas.openxmlformats.org/officeDocument/2006/relationships/hyperlink" Target="https://likumi.lv/ta/id/323616-par-finansu-lidzeklu-pieskirsanu-no-valsts-budzeta-programmas-lidzekli-neparedzetiem-gadijumiem" TargetMode="External"/><Relationship Id="rId301" Type="http://schemas.openxmlformats.org/officeDocument/2006/relationships/hyperlink" Target="https://likumi.lv/ta/id/327744-par-finansu-lidzeklu-pieskirsanu-no-valsts-budzeta-programmas-lidzekli-neparedzetiem-gadijumiem" TargetMode="External"/><Relationship Id="rId322" Type="http://schemas.openxmlformats.org/officeDocument/2006/relationships/hyperlink" Target="https://likumi.lv/ta/id/329092-par-finansu-lidzeklu-pieskirsanu-no-valsts-budzeta-programmas-lidzekli-neparedzetiem-gadijumiem" TargetMode="External"/><Relationship Id="rId343" Type="http://schemas.openxmlformats.org/officeDocument/2006/relationships/hyperlink" Target="https://likumi.lv/ta/id/330052-par-finansu-lidzeklu-pieskirsanu-no-valsts-budzeta-programmas-lidzekli-neparedzetiem-gadijumiem" TargetMode="External"/><Relationship Id="rId364" Type="http://schemas.openxmlformats.org/officeDocument/2006/relationships/hyperlink" Target="https://likumi.lv/ta/id/330809-par-finansu-lidzeklu-pieskirsanu-no-valsts-budzeta-programmas-lidzekli-neparedzetiem-gadijumiem" TargetMode="External"/><Relationship Id="rId61" Type="http://schemas.openxmlformats.org/officeDocument/2006/relationships/hyperlink" Target="https://likumi.lv/ta/id/313933-par-finansu-lidzeklu-pieskirsanu-no-valsts-budzeta-programmas-lidzekli-neparedzetiem-gadijumiem" TargetMode="External"/><Relationship Id="rId82" Type="http://schemas.openxmlformats.org/officeDocument/2006/relationships/hyperlink" Target="https://likumi.lv/ta/id/314476-par-finansu-lidzeklu-pieskirsanu-no-valsts-budzeta-programmas-lidzekli-neparedzetiem-gadijumiem" TargetMode="External"/><Relationship Id="rId199" Type="http://schemas.openxmlformats.org/officeDocument/2006/relationships/hyperlink" Target="https://likumi.lv/ta/id/314836-par-finansu-lidzeklu-pieskirsanu-no-valsts-budzeta-programmas-lidzekli-neparedzetiem-gadijumiem" TargetMode="External"/><Relationship Id="rId203" Type="http://schemas.openxmlformats.org/officeDocument/2006/relationships/hyperlink" Target="https://likumi.lv/ta/id/324323-par-finansu-lidzeklu-pieskirsanu-no-valsts-budzeta-programmas-lidzekli-neparedzetiem-gadijumiem" TargetMode="External"/><Relationship Id="rId385" Type="http://schemas.openxmlformats.org/officeDocument/2006/relationships/hyperlink" Target="https://likumi.lv/ta/id/334045-par-finansu-lidzeklu-pieskirsanu-no-valsts-budzeta-programmas-lidzekli-neparedzetiem-gadijumiem" TargetMode="External"/><Relationship Id="rId19" Type="http://schemas.openxmlformats.org/officeDocument/2006/relationships/hyperlink" Target="http://likumi.lv/ta/id/314061-par-finansu-lidzeklu-pieskirsanu-no-valsts-budzeta-programmas-lidzekli-neparedzetiem-gadijumiem-" TargetMode="External"/><Relationship Id="rId224" Type="http://schemas.openxmlformats.org/officeDocument/2006/relationships/hyperlink" Target="https://likumi.lv/ta/id/324701-par-finansu-lidzeklu-pieskirsanu-no-valsts-budzeta-programmas-lidzekli-neparedzetiem-gadijumiem" TargetMode="External"/><Relationship Id="rId245" Type="http://schemas.openxmlformats.org/officeDocument/2006/relationships/hyperlink" Target="https://likumi.lv/ta/id/325318-par-finansu-lidzeklu-pieskirsanu-no-valsts-budzeta-programmas-lidzekli-neparedzetiem-gadijumiem" TargetMode="External"/><Relationship Id="rId266" Type="http://schemas.openxmlformats.org/officeDocument/2006/relationships/hyperlink" Target="https://likumi.lv/ta/id/320274-grozijumi-ministru-kabineta-2020-gada-24-novembra-noteikumos-nr-709-noteikumi-par-atbalstu-par-dikstavi-nodoklu-maksatajiem-to-..." TargetMode="External"/><Relationship Id="rId287" Type="http://schemas.openxmlformats.org/officeDocument/2006/relationships/hyperlink" Target="https://likumi.lv/ta/id/327384-par-finansu-lidzeklu-pieskirsanu-no-valsts-budzeta-programmas-lidzekli-neparedzetiem-gadijumiem" TargetMode="External"/><Relationship Id="rId30" Type="http://schemas.openxmlformats.org/officeDocument/2006/relationships/hyperlink" Target="http://tap.mk.gov.lv/lv/mk/tap/?pid=40488130&amp;mode=mk&amp;date=2020-06-02" TargetMode="External"/><Relationship Id="rId105" Type="http://schemas.openxmlformats.org/officeDocument/2006/relationships/hyperlink" Target="https://likumi.lv/ta/id/319437-par-finansu-lidzeklu-pieskirsanu-no-valsts-budzeta-programmas-lidzekli-neparedzetiem-gadijumiem" TargetMode="External"/><Relationship Id="rId126" Type="http://schemas.openxmlformats.org/officeDocument/2006/relationships/hyperlink" Target="https://likumi.lv/ta/id/321138-par-finansu-lidzeklu-pieskirsanu-no-valsts-budzeta-programmas-lidzekli-neparedzetiem-gadijumiem" TargetMode="External"/><Relationship Id="rId147" Type="http://schemas.openxmlformats.org/officeDocument/2006/relationships/hyperlink" Target="https://likumi.lv/ta/id/320206-par-finansu-lidzeklu-pieskirsanu-no-valsts-budzeta-programmas-lidzekli-neparedzetiem-gadijumiem" TargetMode="External"/><Relationship Id="rId168" Type="http://schemas.openxmlformats.org/officeDocument/2006/relationships/hyperlink" Target="http://tap.mk.gov.lv/lv/mk/tap/?pid=40499784&amp;mode=mk&amp;date=2021-03-18" TargetMode="External"/><Relationship Id="rId312" Type="http://schemas.openxmlformats.org/officeDocument/2006/relationships/hyperlink" Target="https://likumi.lv/ta/id/314718-par-finansu-lidzeklu-pieskirsanu-no-valsts-budzeta-programmas-lidzekli-neparedzetiem-gadijumiem" TargetMode="External"/><Relationship Id="rId333" Type="http://schemas.openxmlformats.org/officeDocument/2006/relationships/hyperlink" Target="https://tapportals.mk.gov.lv/structuralizer/data/nodes/f89b42f5-b5c8-43a3-969d-229a120e977e/preview" TargetMode="External"/><Relationship Id="rId354" Type="http://schemas.openxmlformats.org/officeDocument/2006/relationships/hyperlink" Target="https://tapportals.mk.gov.lv/meetings/protocols/bc243829-e155-46ec-9f94-d0bf9fd202be" TargetMode="External"/><Relationship Id="rId51" Type="http://schemas.openxmlformats.org/officeDocument/2006/relationships/hyperlink" Target="https://likumi.lv/ta/id/313372-par-finansu-lidzeklu-pieskirsanu-no-valsts-budzeta-programmas-lidzekli-neparedzetiem-gadijumiem" TargetMode="External"/><Relationship Id="rId72" Type="http://schemas.openxmlformats.org/officeDocument/2006/relationships/hyperlink" Target="https://likumi.lv/ta/id/319787-par-finansu-lidzeklu-pieskirsanu-no-valsts-budzeta-programmas-lidzekli-neparedzetiem-gadijumiem" TargetMode="External"/><Relationship Id="rId93" Type="http://schemas.openxmlformats.org/officeDocument/2006/relationships/hyperlink" Target="https://likumi.lv/ta/id/320379" TargetMode="External"/><Relationship Id="rId189" Type="http://schemas.openxmlformats.org/officeDocument/2006/relationships/hyperlink" Target="https://likumi.lv/ta/id/318112-par-finansu-lidzeklu-pieskirsanu-no-valsts-budzeta-programmas-lidzekli-neparedzetiem-gadijumiem" TargetMode="External"/><Relationship Id="rId375" Type="http://schemas.openxmlformats.org/officeDocument/2006/relationships/hyperlink" Target="https://likumi.lv/ta/id/331430-par-finansu-lidzeklu-pieskirsanu-no-valsts-budzeta-programmas-lidzekli-neparedzetiem-gadijumiem" TargetMode="External"/><Relationship Id="rId396" Type="http://schemas.openxmlformats.org/officeDocument/2006/relationships/hyperlink" Target="https://www.vestnesis.lv/op/2022/190.7" TargetMode="External"/><Relationship Id="rId3" Type="http://schemas.openxmlformats.org/officeDocument/2006/relationships/hyperlink" Target="https://www.vestnesis.lv/op/2020/62B.6" TargetMode="External"/><Relationship Id="rId214" Type="http://schemas.openxmlformats.org/officeDocument/2006/relationships/hyperlink" Target="http://tap.mk.gov.lv/lv/mk/tap/?pid=40500239&amp;mode=mk&amp;date=2021-04-20" TargetMode="External"/><Relationship Id="rId235" Type="http://schemas.openxmlformats.org/officeDocument/2006/relationships/hyperlink" Target="https://likumi.lv/ta/id/321916-par-finansu-lidzeklu-pieskirsanu-no-valsts-budzeta-programmas-lidzekli-neparedzetiem-gadijumiem" TargetMode="External"/><Relationship Id="rId256" Type="http://schemas.openxmlformats.org/officeDocument/2006/relationships/hyperlink" Target="https://tapportals.mk.gov.lv/meetings/cabinet_ministers/884a8552-0a22-4712-aebd-4accd7fe29c8" TargetMode="External"/><Relationship Id="rId277" Type="http://schemas.openxmlformats.org/officeDocument/2006/relationships/hyperlink" Target="https://likumi.lv/ta/id/327584-par-finansu-lidzeklu-pieskirsanu-no-valsts-budzeta-programmas-lidzekli-neparedzetiem-gadijumiem" TargetMode="External"/><Relationship Id="rId298" Type="http://schemas.openxmlformats.org/officeDocument/2006/relationships/hyperlink" Target="https://likumi.lv/ta/id/320278-par-finansu-lidzeklu-pieskirsanu-no-valsts-budzeta-programmas-lidzekli-neparedzetiem-gadijumiem" TargetMode="External"/><Relationship Id="rId400" Type="http://schemas.openxmlformats.org/officeDocument/2006/relationships/hyperlink" Target="https://tapportals.mk.gov.lv/structuralizer/data/nodes/5bf7ff40-83f8-40ef-b3f1-8252ce7d1502/preview" TargetMode="External"/><Relationship Id="rId116" Type="http://schemas.openxmlformats.org/officeDocument/2006/relationships/hyperlink" Target="http://tap.mk.gov.lv/mk/mksedes/saraksts/darbakartiba/?sede=1187" TargetMode="External"/><Relationship Id="rId137" Type="http://schemas.openxmlformats.org/officeDocument/2006/relationships/hyperlink" Target="https://likumi.lv/ta/id/320987-par-finansu-lidzeklu-pieskirsanu-no-valsts-budzeta-programmas-lidzekli-neparedzetiem-gadijumiem" TargetMode="External"/><Relationship Id="rId158" Type="http://schemas.openxmlformats.org/officeDocument/2006/relationships/hyperlink" Target="https://likumi.lv/ta/id/322458-par-finansu-lidzeklu-pieskirsanu-no-valsts-budzeta-programmas-lidzekli-neparedzetiem-gadijumiem" TargetMode="External"/><Relationship Id="rId302" Type="http://schemas.openxmlformats.org/officeDocument/2006/relationships/hyperlink" Target="https://likumi.lv/ta/id/327589-par-finansu-lidzeklu-pieskirsanu-no-valsts-budzeta-programmas-lidzekli-neparedzetiem-gadijumiem" TargetMode="External"/><Relationship Id="rId323" Type="http://schemas.openxmlformats.org/officeDocument/2006/relationships/hyperlink" Target="https://likumi.lv/ta/id/329143-par-finansu-lidzeklu-pieskirsanu-no-valsts-budzeta-programmas-lidzekli-neparedzetiem-gadijumiem" TargetMode="External"/><Relationship Id="rId344" Type="http://schemas.openxmlformats.org/officeDocument/2006/relationships/hyperlink" Target="https://m.likumi.lv/ta/id/330233-par-finansu-lidzeklu-pieskirsanu-no-valsts-budzeta-programmaslidzekli-neparedzetiem-gadijumiem" TargetMode="External"/><Relationship Id="rId20" Type="http://schemas.openxmlformats.org/officeDocument/2006/relationships/hyperlink" Target="https://likumi.lv/ta/id/313432" TargetMode="External"/><Relationship Id="rId41" Type="http://schemas.openxmlformats.org/officeDocument/2006/relationships/hyperlink" Target="https://likumi.lv/ta/id/315243-par-finansu-lidzeklu-pieskirsanu-no-valsts-budzeta-programmas-lidzekli-neparedzetiem-gadijumiem" TargetMode="External"/><Relationship Id="rId62" Type="http://schemas.openxmlformats.org/officeDocument/2006/relationships/hyperlink" Target="https://likumi.lv/ta/id/314036-par-finansu-lidzeklu-pieskirsanu-no-valsts-budzeta-programmas-lidzekli-neparedzetiem-gadijumiem" TargetMode="External"/><Relationship Id="rId83" Type="http://schemas.openxmlformats.org/officeDocument/2006/relationships/hyperlink" Target="https://likumi.lv/ta/id/320207-par-finansu-lidzeklu-pieskirsanu-no-valsts-budzeta-programmas-lidzekli-neparedzetiem-gadijumiem" TargetMode="External"/><Relationship Id="rId179" Type="http://schemas.openxmlformats.org/officeDocument/2006/relationships/hyperlink" Target="https://likumi.lv/ta/id/322782-par-finansu-lidzeklu-pieskirsanu-no-valsts-budzeta-programmas-lidzekli-neparedzetiem-gadijumiem" TargetMode="External"/><Relationship Id="rId365" Type="http://schemas.openxmlformats.org/officeDocument/2006/relationships/hyperlink" Target="https://likumi.lv/ta/id/331015-par-finansu-lidzeklu-pieskirsanu-no-valsts-budzeta-programmas-lidzekli-neparedzetiem-gadijumiem" TargetMode="External"/><Relationship Id="rId386" Type="http://schemas.openxmlformats.org/officeDocument/2006/relationships/hyperlink" Target="https://likumi.lv/ta/id/329604-par-finansu-lidzeklu-pieskirsanu-no-valsts-budzeta-programmas-lidzekli-neparedzetiem-gadijumiem" TargetMode="External"/><Relationship Id="rId190" Type="http://schemas.openxmlformats.org/officeDocument/2006/relationships/hyperlink" Target="http://tap.mk.gov.lv/lv/mk/tap/?pid=40491504&amp;mode=mk&amp;date=2020-09-02" TargetMode="External"/><Relationship Id="rId204" Type="http://schemas.openxmlformats.org/officeDocument/2006/relationships/hyperlink" Target="https://likumi.lv/ta/id/323650-par-finansu-lidzeklu-pieskirsanu-no-valsts-budzeta-programmas-lidzekli-neparedzetiem-gadijumiem" TargetMode="External"/><Relationship Id="rId225" Type="http://schemas.openxmlformats.org/officeDocument/2006/relationships/hyperlink" Target="https://likumi.lv/ta/id/323565-par-atbalstitajiem-pasvaldibu-investiciju-projektiem-valsts-aizdevumu-pieskirsanai-covid-19-izraisitas-krizes-seku-mazinasanai-un-noversanai?&amp;search=on" TargetMode="External"/><Relationship Id="rId246" Type="http://schemas.openxmlformats.org/officeDocument/2006/relationships/hyperlink" Target="https://likumi.lv/ta/id/325671-par-finansu-lidzeklu-pieskirsanu-no-valsts-budzeta-programmas-lidzekli-neparedzetiem-gadijumiem" TargetMode="External"/><Relationship Id="rId267" Type="http://schemas.openxmlformats.org/officeDocument/2006/relationships/hyperlink" Target="https://likumi.lv/ta/id/315287-covid-19-infekcijas-izplatibas-seku-parvaresanas-likums" TargetMode="External"/><Relationship Id="rId288" Type="http://schemas.openxmlformats.org/officeDocument/2006/relationships/hyperlink" Target="https://likumi.lv/ta/id/327738-par-finansu-lidzeklu-pieskirsanu-no-valsts-budzeta-programmas-lidzekli-neparedzetiem-gadijumiem" TargetMode="External"/><Relationship Id="rId106" Type="http://schemas.openxmlformats.org/officeDocument/2006/relationships/hyperlink" Target="https://likumi.lv/ta/id/320438-par-finansu-lidzeklu-pieskirsanu-no-valsts-budzeta-programmas-lidzekli-neparedzetiem-gadijumiem" TargetMode="External"/><Relationship Id="rId127" Type="http://schemas.openxmlformats.org/officeDocument/2006/relationships/hyperlink" Target="https://likumi.lv/ta/id/321139-par-finansu-lidzeklu-pieskirsanu-no-valsts-budzeta-programmas-lidzekli-neparedzetiem-gadijumiem" TargetMode="External"/><Relationship Id="rId313" Type="http://schemas.openxmlformats.org/officeDocument/2006/relationships/hyperlink" Target="https://likumi.lv/ta/id/328015-par-finansu-lidzeklu-pieskirsanu-no-valsts-budzeta-programmas-lidzekli-neparedzetiem-gadijumiem" TargetMode="External"/><Relationship Id="rId10" Type="http://schemas.openxmlformats.org/officeDocument/2006/relationships/hyperlink" Target="https://likumi.lv/ta/id/313377-grozijums-likuma-par-maternitates-un-slimibas-apdrosinasanu-" TargetMode="External"/><Relationship Id="rId31" Type="http://schemas.openxmlformats.org/officeDocument/2006/relationships/hyperlink" Target="http://tap.mk.gov.lv/lv/mk/tap/?pid=40488130&amp;mode=mk&amp;date=2020-06-02" TargetMode="External"/><Relationship Id="rId52" Type="http://schemas.openxmlformats.org/officeDocument/2006/relationships/hyperlink" Target="https://m.likumi.lv/ta/id/320209-par-finansu-lidzeklu-pieskirsanu-no-valsts-budzeta-programmas-lidzekli-neparedzetiem-gadijumiem" TargetMode="External"/><Relationship Id="rId73" Type="http://schemas.openxmlformats.org/officeDocument/2006/relationships/hyperlink" Target="https://likumi.lv/ta/id/320017-par-apropriacijas-palielinasanu-veselibas-ministrijai" TargetMode="External"/><Relationship Id="rId94" Type="http://schemas.openxmlformats.org/officeDocument/2006/relationships/hyperlink" Target="https://likumi.lv/ta/id/320274-grozijumi-ministru-kabineta-2020-gada-24-novembra-noteikumos-nr-709-noteikumi-par-atbalstu-par-dikstavi-nodoklu-maksatajiem-to-..." TargetMode="External"/><Relationship Id="rId148" Type="http://schemas.openxmlformats.org/officeDocument/2006/relationships/hyperlink" Target="https://www.vestnesis.lv/op/2021/46.21" TargetMode="External"/><Relationship Id="rId169" Type="http://schemas.openxmlformats.org/officeDocument/2006/relationships/hyperlink" Target="https://likumi.lv/ta/id/318958-par-finansu-lidzeklu-pieskirsanu-no-valsts-budzeta-programmas-020000-lidzekli-neparedzetiem-gadijumiem" TargetMode="External"/><Relationship Id="rId334" Type="http://schemas.openxmlformats.org/officeDocument/2006/relationships/hyperlink" Target="https://www.vestnesis.lv/op/2022/30.17" TargetMode="External"/><Relationship Id="rId355" Type="http://schemas.openxmlformats.org/officeDocument/2006/relationships/hyperlink" Target="https://likumi.lv/ta/id/331014-par-finansu-lidzeklu-pieskirsanu-no-valsts-budzeta-programmas-lidzekli-neparedzetiem-gadijumiem" TargetMode="External"/><Relationship Id="rId376" Type="http://schemas.openxmlformats.org/officeDocument/2006/relationships/hyperlink" Target="https://likumi.lv/ta/id/332677-par-finansu-lidzeklu-pieskirsanu-no-valsts-budzeta-programmas-lidzekli-neparedzetiem-gadijumiem" TargetMode="External"/><Relationship Id="rId397" Type="http://schemas.openxmlformats.org/officeDocument/2006/relationships/hyperlink" Target="https://tapportals.mk.gov.lv/structuralizer/data/nodes/87b021a5-ccf0-485f-97c1-3385e798a528/preview" TargetMode="External"/><Relationship Id="rId4" Type="http://schemas.openxmlformats.org/officeDocument/2006/relationships/hyperlink" Target="https://likumi.lv/ta/id/313372-par-finansu-lidzeklu-pieskirsanu-no-valsts-budzeta-programmas-lidzekli-neparedzetiem-gadijumiem" TargetMode="External"/><Relationship Id="rId180" Type="http://schemas.openxmlformats.org/officeDocument/2006/relationships/hyperlink" Target="https://likumi.lv/ta/id/323192-par-finansu-lidzeklu-pieskirsanu-no-valsts-budzeta-programmas-lidzekli-neparedzetiem-gadijumiem" TargetMode="External"/><Relationship Id="rId215" Type="http://schemas.openxmlformats.org/officeDocument/2006/relationships/hyperlink" Target="https://likumi.lv/ta/id/322354-par-finansu-lidzeklu-pieskirsanu-no-valsts-budzeta-programmas-lidzekli-neparedzetiem-gadijumiem" TargetMode="External"/><Relationship Id="rId236" Type="http://schemas.openxmlformats.org/officeDocument/2006/relationships/hyperlink" Target="https://likumi.lv/ta/id/325573-par-akciju-sabiedribas-air-baltic-corporation-pamatkapitala-palielinasanu" TargetMode="External"/><Relationship Id="rId257" Type="http://schemas.openxmlformats.org/officeDocument/2006/relationships/hyperlink" Target="https://tapportals.mk.gov.lv/meetings/cabinet_ministers/884a8552-0a22-4712-aebd-4accd7fe29c8" TargetMode="External"/><Relationship Id="rId278" Type="http://schemas.openxmlformats.org/officeDocument/2006/relationships/hyperlink" Target="https://likumi.lv/ta/id/327247-par-finansu-lidzeklu-pieskirsanu-no-valsts-budzeta-programmas-lidzekli-neparedzetiem-gadijumiem" TargetMode="External"/><Relationship Id="rId401" Type="http://schemas.openxmlformats.org/officeDocument/2006/relationships/hyperlink" Target="https://likumi.lv/ta/id/337979-par-finansu-lidzeklu-pieskirsanu-no-valsts-budzeta-programmas-lidzekli-neparedzetiem-gadijumiem" TargetMode="External"/><Relationship Id="rId303" Type="http://schemas.openxmlformats.org/officeDocument/2006/relationships/hyperlink" Target="https://likumi.lv/ta/id/327589-par-finansu-lidzeklu-pieskirsanu-no-valsts-budzeta-programmas-lidzekli-neparedzetiem-gadijumiem" TargetMode="External"/><Relationship Id="rId42" Type="http://schemas.openxmlformats.org/officeDocument/2006/relationships/hyperlink" Target="http://likumi.lv/ta/id/316390-par-finansu-lidzeklu-pieskirsanu-no-valsts-budzeta-programmas-lidzekli-neparedzetiem-gadijumiem" TargetMode="External"/><Relationship Id="rId84" Type="http://schemas.openxmlformats.org/officeDocument/2006/relationships/hyperlink" Target="https://likumi.lv/ta/id/314711-grozijums-ministru-kabineta-2009-gada-22-decembra-noteikumos-nr-1517-noteikumi-par-gimenes-valsts-pabalstu-un-piemaksam-pie" TargetMode="External"/><Relationship Id="rId138" Type="http://schemas.openxmlformats.org/officeDocument/2006/relationships/hyperlink" Target="https://likumi.lv/ta/id/321498-par-finansu-lidzeklu-pieskirsanu-no-valsts-budzeta-programmas-lidzekli-neparedzetiem-gadijumiem" TargetMode="External"/><Relationship Id="rId345" Type="http://schemas.openxmlformats.org/officeDocument/2006/relationships/hyperlink" Target="https://likumi.lv/ta/id/330441-par-finansu-lidzeklu-pieskirsanu-no-valsts-budzeta-programmas-lidzekli-neparedzetiem-gadijumiem" TargetMode="External"/><Relationship Id="rId387" Type="http://schemas.openxmlformats.org/officeDocument/2006/relationships/hyperlink" Target="https://tapportals.mk.gov.lv/structuralizer/data/nodes/d7f85dd9-6254-49a5-b03b-80dd6354a4ae/preview" TargetMode="External"/><Relationship Id="rId191" Type="http://schemas.openxmlformats.org/officeDocument/2006/relationships/hyperlink" Target="https://likumi.lv/ta/id/317376-par-finansu-lidzeklu-pieskirsanu-no-valsts-budzeta-programmas-lidzekli-neparedzetiem-gadijumiem" TargetMode="External"/><Relationship Id="rId205" Type="http://schemas.openxmlformats.org/officeDocument/2006/relationships/hyperlink" Target="https://www.vestnesis.lv/op/2021/124.27" TargetMode="External"/><Relationship Id="rId247" Type="http://schemas.openxmlformats.org/officeDocument/2006/relationships/hyperlink" Target="https://likumi.lv/ta/id/325494-par-finansu-lidzeklu-pieskirsanu-no-valsts-budzeta-programmas-lidzekli-neparedzetiem-gadijumiem" TargetMode="External"/><Relationship Id="rId107" Type="http://schemas.openxmlformats.org/officeDocument/2006/relationships/hyperlink" Target="https://likumi.lv/ta/id/320588-par-finansu-lidzeklu-pieskirsanu-no-valsts-budzeta-programmas-lidzekli-neparedzetiem-gadijumiem" TargetMode="External"/><Relationship Id="rId289" Type="http://schemas.openxmlformats.org/officeDocument/2006/relationships/hyperlink" Target="https://likumi.lv/ta/id/327387-par-finansu-lidzeklu-pieskirsanu-no-valsts-budzeta-programmas-lidzekli-neparedzetiem-gadijumiem" TargetMode="External"/><Relationship Id="rId11" Type="http://schemas.openxmlformats.org/officeDocument/2006/relationships/hyperlink" Target="https://likumi.lv/ta/id/313514-noteikumi-par-covid-19-izraisitas-krizes-skartiem-darba-devejiem-kuri-kvalificejas-dikstaves-pabalstam-un-nokaveto-nodoklu" TargetMode="External"/><Relationship Id="rId53" Type="http://schemas.openxmlformats.org/officeDocument/2006/relationships/hyperlink" Target="https://likumi.lv/ta/id/313934-par-apropriacijas-palielinasanu-veselibas-ministrijai" TargetMode="External"/><Relationship Id="rId149" Type="http://schemas.openxmlformats.org/officeDocument/2006/relationships/hyperlink" Target="https://likumi.lv/ta/id/321605-par-finansu-lidzeklu-pieskirsanu-no-valsts-budzeta-programmas-lidzekli-neparedzetiem-gadijumiem" TargetMode="External"/><Relationship Id="rId314" Type="http://schemas.openxmlformats.org/officeDocument/2006/relationships/hyperlink" Target="https://likumi.lv/ta/id/327743-par-finansu-lidzeklu-pieskirsanu-no-valsts-budzeta-programmas-lidzekli-neparedzetiem-gadijumiem" TargetMode="External"/><Relationship Id="rId356" Type="http://schemas.openxmlformats.org/officeDocument/2006/relationships/hyperlink" Target="https://likumi.lv/ta/id/331016-par-finansu-lidzeklu-pieskirsanu-no-valsts-budzeta-programmas-lidzekli-neparedzetiem-gadijumiem" TargetMode="External"/><Relationship Id="rId398" Type="http://schemas.openxmlformats.org/officeDocument/2006/relationships/hyperlink" Target="https://tapportals.mk.gov.lv/structuralizer/data/nodes/5bf7ff40-83f8-40ef-b3f1-8252ce7d1502/preview" TargetMode="External"/><Relationship Id="rId95" Type="http://schemas.openxmlformats.org/officeDocument/2006/relationships/hyperlink" Target="https://likumi.lv/ta/id/313614-par-finansu-lidzeklu-pieskirsanu-no-valsts-budzeta-programmas-lidzekli-neparedzetiem-gadijumiem" TargetMode="External"/><Relationship Id="rId160" Type="http://schemas.openxmlformats.org/officeDocument/2006/relationships/hyperlink" Target="https://likumi.lv/ta/id/322784" TargetMode="External"/><Relationship Id="rId216" Type="http://schemas.openxmlformats.org/officeDocument/2006/relationships/hyperlink" Target="https://www.vestnesis.lv/op/2021/124.29" TargetMode="External"/><Relationship Id="rId258" Type="http://schemas.openxmlformats.org/officeDocument/2006/relationships/hyperlink" Target="https://tapportals.mk.gov.lv/meetings/cabinet_ministers/884a8552-0a22-4712-aebd-4accd7fe29c8" TargetMode="External"/><Relationship Id="rId22" Type="http://schemas.openxmlformats.org/officeDocument/2006/relationships/hyperlink" Target="https://likumi.lv/ta/id/314477-par-finansu-lidzeklu-pieskirsanu-no-valsts-budzeta-programmas-lidzekli-neparedzetiem-gadijumiem" TargetMode="External"/><Relationship Id="rId64" Type="http://schemas.openxmlformats.org/officeDocument/2006/relationships/hyperlink" Target="http://tap.mk.gov.lv/mk/mksedes/saraksts/darbakartiba/?sede=1171" TargetMode="External"/><Relationship Id="rId118" Type="http://schemas.openxmlformats.org/officeDocument/2006/relationships/hyperlink" Target="http://tap.mk.gov.lv/lv/mk/tap/?pid=40497627&amp;mode=mk&amp;date=2021-01-28" TargetMode="External"/><Relationship Id="rId325" Type="http://schemas.openxmlformats.org/officeDocument/2006/relationships/hyperlink" Target="https://likumi.lv/ta/id/321193-par-akciju-sabiedribas-attistibas-finansu-institucija-altum-rezerves-kapitala-palielinasanu" TargetMode="External"/><Relationship Id="rId367" Type="http://schemas.openxmlformats.org/officeDocument/2006/relationships/hyperlink" Target="https://likumi.lv/ta/id/332092-par-finansu-lidzeklu-pieskirsanu-no-valsts-budzeta-programmas-lidzekli-neparedzetiem-gadijumiem" TargetMode="External"/><Relationship Id="rId171" Type="http://schemas.openxmlformats.org/officeDocument/2006/relationships/hyperlink" Target="https://likumi.lv/ta/id/321803-par-atbalstitajiem-pasvaldibu-investiciju-projektiem-valsts-aizdevumu-pieskirsanai-covid-19-izraisitas-krizes-seku-mazinasanai-un-noversanai" TargetMode="External"/><Relationship Id="rId227" Type="http://schemas.openxmlformats.org/officeDocument/2006/relationships/hyperlink" Target="http://tap.mk.gov.lv/lv/mk/tap/?pid=40505748&amp;mode=mk&amp;date=2021-07-30" TargetMode="External"/><Relationship Id="rId269" Type="http://schemas.openxmlformats.org/officeDocument/2006/relationships/hyperlink" Target="https://likumi.lv/ta/id/327007-par-finansu-lidzeklu-pieskirsanu-no-valsts-budzeta-programmas-lidzekli-neparedzetiem-gadijumiem" TargetMode="External"/><Relationship Id="rId33" Type="http://schemas.openxmlformats.org/officeDocument/2006/relationships/hyperlink" Target="https://likumi.lv/ta/id/314856-par-finansu-lidzeklu-pieskirsanu-no-valsts-budzeta-programmas-lidzekli-neparedzetiem-gadijumiem" TargetMode="External"/><Relationship Id="rId129" Type="http://schemas.openxmlformats.org/officeDocument/2006/relationships/hyperlink" Target="https://likumi.lv/ta/id/315560-noteikumi-par-garantijam-saimnieciskas-darbibas-veicejiem-konkuretspejas-uzlabosanai" TargetMode="External"/><Relationship Id="rId280" Type="http://schemas.openxmlformats.org/officeDocument/2006/relationships/hyperlink" Target="https://likumi.lv/ta/id/314587-par-akciju-sabiedribas-air-baltic-corporation-pamatkapitala-palielinasanu" TargetMode="External"/><Relationship Id="rId336" Type="http://schemas.openxmlformats.org/officeDocument/2006/relationships/hyperlink" Target="https://tapportals.mk.gov.lv/structuralizer/data/nodes/a56b2b25-048b-40fc-b546-5617559d18d6/preview" TargetMode="External"/><Relationship Id="rId75" Type="http://schemas.openxmlformats.org/officeDocument/2006/relationships/hyperlink" Target="https://likumi.lv/ta/id/320018-par-finansu-lidzeklu-pieskirsanu-no-valsts-budzeta-programmas-lidzekli-neparedzetiem-gadijumiem" TargetMode="External"/><Relationship Id="rId140" Type="http://schemas.openxmlformats.org/officeDocument/2006/relationships/hyperlink" Target="http://tap.mk.gov.lv/lv/mk/tap/?pid=40488130&amp;mode=mk&amp;date=2020-06-02" TargetMode="External"/><Relationship Id="rId182" Type="http://schemas.openxmlformats.org/officeDocument/2006/relationships/hyperlink" Target="https://likumi.lv/ta/id/323803-par-finansu-lidzeklu-pieskirsanu-no-valsts-budzeta-programmas-lidzekli-neparedzetiem-gadijumiem" TargetMode="External"/><Relationship Id="rId378" Type="http://schemas.openxmlformats.org/officeDocument/2006/relationships/hyperlink" Target="https://likumi.lv/ta/id/331673-par-finansu-lidzeklu-pieskirsanu-no-valsts-budzeta-programmaslidzekli-neparedzetiem-gadijumiem" TargetMode="External"/><Relationship Id="rId403" Type="http://schemas.openxmlformats.org/officeDocument/2006/relationships/hyperlink" Target="https://likumi.lv/ta/id/338252-par-finansu-lidzeklu-pieskirsanu-no-valsts-budzeta-programmas-lidzekli-neparedzetiem-gadijumiem" TargetMode="External"/><Relationship Id="rId6" Type="http://schemas.openxmlformats.org/officeDocument/2006/relationships/hyperlink" Target="https://likumi.lv/ta/id/313341-par-iekartu-iegadi-un-davinajuma-pienemsanu-attalinata-macibu-procesa-nodrosinasanai-arkartejas-situacijas-laika" TargetMode="External"/><Relationship Id="rId238" Type="http://schemas.openxmlformats.org/officeDocument/2006/relationships/hyperlink" Target="http://tap.mk.gov.lv/lv/mk/tap/?pid=40505841&amp;mode=mk&amp;date=2021-08-17" TargetMode="External"/><Relationship Id="rId291" Type="http://schemas.openxmlformats.org/officeDocument/2006/relationships/hyperlink" Target="https://likumi.lv/ta/id/327761-par-finansu-lidzeklu-pieskirsanu-no-valsts-budzeta-programmas-lidzekli-neparedzetiem-gadijumiem" TargetMode="External"/><Relationship Id="rId305" Type="http://schemas.openxmlformats.org/officeDocument/2006/relationships/hyperlink" Target="https://likumi.lv/ta/id/326215-par-finansu-lidzeklu-pieskirsanu-no-valsts-budzeta-programmas-lidzekli-neparedzetiem-gadijumiem" TargetMode="External"/><Relationship Id="rId347" Type="http://schemas.openxmlformats.org/officeDocument/2006/relationships/hyperlink" Target="https://tapportals.mk.gov.lv/structuralizer/data/nodes/450f5105-7692-4330-82b7-6e6a0f24294e/preview" TargetMode="External"/><Relationship Id="rId44" Type="http://schemas.openxmlformats.org/officeDocument/2006/relationships/hyperlink" Target="http://likumi.lv/ta/id/316611-par-finansu-lidzeklu-pieskirsanu-no-valsts-budzeta-programmas-lidzekli-neparedzetiem-gadijumiem" TargetMode="External"/><Relationship Id="rId86" Type="http://schemas.openxmlformats.org/officeDocument/2006/relationships/hyperlink" Target="https://likumi.lv/ta/id/314297-par-finansu-lidzeklu-pieskirsanu-no-valsts-budzeta-programmas-lidzekli-neparedzetiem-gadijumiem" TargetMode="External"/><Relationship Id="rId151" Type="http://schemas.openxmlformats.org/officeDocument/2006/relationships/hyperlink" Target="https://likumi.lv/ta/id/322356" TargetMode="External"/><Relationship Id="rId389" Type="http://schemas.openxmlformats.org/officeDocument/2006/relationships/hyperlink" Target="https://likumi.lv/ta/id/334045-par-finansu-lidzeklu-pieskirsanu-no-valsts-budzeta-programmas-lidzekli-neparedzetiem-gadijumiem" TargetMode="External"/><Relationship Id="rId193" Type="http://schemas.openxmlformats.org/officeDocument/2006/relationships/hyperlink" Target="http://tap.mk.gov.lv/mk/mksedes/saraksts/protokols/?protokols=2020-12-01" TargetMode="External"/><Relationship Id="rId207" Type="http://schemas.openxmlformats.org/officeDocument/2006/relationships/hyperlink" Target="https://likumi.lv/ta/id/324706-par-finansu-lidzeklu-pieskirsanu-no-valsts-budzeta-programmas-lidzekli-neparedzetiem-gadijumiem" TargetMode="External"/><Relationship Id="rId249" Type="http://schemas.openxmlformats.org/officeDocument/2006/relationships/hyperlink" Target="https://likumi.lv/ta/id/325315-par-finansu-lidzeklu-pieskirsanu-no-valsts-budzeta-programmas-lidzekli-neparedzetiem-gadijumiem" TargetMode="External"/><Relationship Id="rId13" Type="http://schemas.openxmlformats.org/officeDocument/2006/relationships/hyperlink" Target="https://likumi.lv/ta/id/313719-grozijumi-ministru-kabineta-2020-gada-26-marta-noteikumos-nr-165-noteikumi-par-covid-19-izraisitas-krizes-skartiem-darba-deveji..." TargetMode="External"/><Relationship Id="rId109" Type="http://schemas.openxmlformats.org/officeDocument/2006/relationships/hyperlink" Target="http://tap.mk.gov.lv/lv/mk/tap/?pid=40488130&amp;mode=mk&amp;date=2020-06-02" TargetMode="External"/><Relationship Id="rId260" Type="http://schemas.openxmlformats.org/officeDocument/2006/relationships/hyperlink" Target="https://tapportals.mk.gov.lv/structuralizer/data/nodes/bbfa6f6c-e8d2-460c-95c5-b228928846d2/preview" TargetMode="External"/><Relationship Id="rId316" Type="http://schemas.openxmlformats.org/officeDocument/2006/relationships/hyperlink" Target="https://likumi.lv/ta/id/327899-noteikumi-par-atbalstu-covid-19-krizes-skartajiem-tirdzniecibas-un-sporta-centriem-un-kulturas-atputas-un-izklaides-vietam" TargetMode="External"/><Relationship Id="rId55" Type="http://schemas.openxmlformats.org/officeDocument/2006/relationships/hyperlink" Target="http://likumi.lv/ta/id/314567-grozijumi-likuma-par-valsts-apdraudejuma-un-ta-seku-noversanas-un-parvaresanas-pasakumiem-sakara-ar-covid-19-izplatibu-" TargetMode="External"/><Relationship Id="rId97" Type="http://schemas.openxmlformats.org/officeDocument/2006/relationships/hyperlink" Target="https://likumi.lv/ta/id/316999-par-finansu-lidzeklu-pieskirsanu-no-valsts-budzeta-programmas-lidzekli-neparedzetiem-gadijumiem" TargetMode="External"/><Relationship Id="rId120" Type="http://schemas.openxmlformats.org/officeDocument/2006/relationships/hyperlink" Target="https://likumi.lv/ta/id/320833-par-finansu-lidzeklu-pieskirsanu-no-valsts-budzeta-programmas-lidzekli-neparedzetiem-gadijumiem" TargetMode="External"/><Relationship Id="rId358" Type="http://schemas.openxmlformats.org/officeDocument/2006/relationships/hyperlink" Target="https://likumi.lv/ta/id/331210-par-finansu-lidzeklu-pieskirsanu-no-valsts-budzeta-programmas-lidzekli-neparedzetiem-gadijumiem" TargetMode="External"/><Relationship Id="rId162" Type="http://schemas.openxmlformats.org/officeDocument/2006/relationships/hyperlink" Target="https://m.likumi.lv/ta/id/315847-par-finansu-lidzeklu-pieskirsanu-no-valsts-budzeta-programmas-lidzekli-neparedzetiem-gadijumiem" TargetMode="External"/><Relationship Id="rId218" Type="http://schemas.openxmlformats.org/officeDocument/2006/relationships/hyperlink" Target="https://likumi.lv/ta/id/320979-par-finansu-lidzeklu-pieskirsanu-no-valsts-budzeta-programmas-lidzekli-neparedzetiem-gadijumiem" TargetMode="External"/><Relationship Id="rId271" Type="http://schemas.openxmlformats.org/officeDocument/2006/relationships/hyperlink" Target="https://likumi.lv/ta/id/322355-par-finansu-lidzeklu-pieskirsanu-no-valsts-budzeta-programmas-lidzekli-neparedzetiem-gadijumiem" TargetMode="External"/><Relationship Id="rId24" Type="http://schemas.openxmlformats.org/officeDocument/2006/relationships/hyperlink" Target="http://tap.mk.gov.lv/doc/2020_05/LMnot_290420_Aizbildni_groz.796.docx" TargetMode="External"/><Relationship Id="rId66" Type="http://schemas.openxmlformats.org/officeDocument/2006/relationships/hyperlink" Target="https://likumi.lv/ta/id/320205-par-finansu-lidzeklu-pieskirsanu-no-valsts-budzeta-programmas-lidzekli-neparedzetiem-gadijumiem" TargetMode="External"/><Relationship Id="rId131" Type="http://schemas.openxmlformats.org/officeDocument/2006/relationships/hyperlink" Target="https://likumi.lv/ta/id/321140-par-apropriacijas-palielinasanu-veselibas-ministrijai" TargetMode="External"/><Relationship Id="rId327" Type="http://schemas.openxmlformats.org/officeDocument/2006/relationships/hyperlink" Target="https://likumi.lv/ta/id/326819-par-finansu-lidzeklu-pieskirsanu-no-valsts-budzeta-programmas-lidzekli-neparedzetiem-gadijumiem" TargetMode="External"/><Relationship Id="rId369" Type="http://schemas.openxmlformats.org/officeDocument/2006/relationships/hyperlink" Target="https://likumi.lv/ta/id/329513-par-finansu-lidzeklu-pieskirsanu-no-valsts-budzeta-programmas-lidzekli-neparedzetiem-gadijumiem" TargetMode="External"/><Relationship Id="rId173" Type="http://schemas.openxmlformats.org/officeDocument/2006/relationships/hyperlink" Target="https://likumi.lv/ta/id/323191-par-finansu-lidzeklu-pieskirsanu-no-valsts-budzeta-programmas-lidzekli-neparedzetiem-gadijumiem" TargetMode="External"/><Relationship Id="rId229" Type="http://schemas.openxmlformats.org/officeDocument/2006/relationships/hyperlink" Target="https://likumi.lv/ta/id/324414-par-finansu-lidzeklu-pieskirsanu-no-valsts-budzeta-programmas-lidzekli-neparedzetiem-gadijumiem" TargetMode="External"/><Relationship Id="rId380" Type="http://schemas.openxmlformats.org/officeDocument/2006/relationships/hyperlink" Target="https://m.likumi.lv/doc.php?id=314350" TargetMode="External"/><Relationship Id="rId240" Type="http://schemas.openxmlformats.org/officeDocument/2006/relationships/hyperlink" Target="http://tap.mk.gov.lv/lv/mk/tap/?pid=40507007&amp;mode=mk&amp;date=2021-09-07" TargetMode="External"/><Relationship Id="rId35" Type="http://schemas.openxmlformats.org/officeDocument/2006/relationships/hyperlink" Target="http://tap.mk.gov.lv/lv/mk/tap/?pid=40488130&amp;mode=mk&amp;date=2020-06-02" TargetMode="External"/><Relationship Id="rId77" Type="http://schemas.openxmlformats.org/officeDocument/2006/relationships/hyperlink" Target="https://likumi.lv/ta/id/315287-covid-19-infekcijas-izplatibas-seku-parvaresanas-likums" TargetMode="External"/><Relationship Id="rId100" Type="http://schemas.openxmlformats.org/officeDocument/2006/relationships/hyperlink" Target="http://tap.mk.gov.lv/lv/mk/tap/?pid=40488130&amp;mode=mk&amp;date=2020-06-02" TargetMode="External"/><Relationship Id="rId282" Type="http://schemas.openxmlformats.org/officeDocument/2006/relationships/hyperlink" Target="https://likumi.lv/ta/id/324008-par-finansu-lidzeklu-pieskirsanu-no-valsts-budzeta-programmas-lidzekli-neparedzetiem-gadijumiem" TargetMode="External"/><Relationship Id="rId338" Type="http://schemas.openxmlformats.org/officeDocument/2006/relationships/hyperlink" Target="https://likumi.lv/ta/id/329597-par-finansu-lidzeklu-pieskirsanu-no-valsts-budzeta-programmas-lidzekli-neparedzetiem-gadijumiem" TargetMode="External"/><Relationship Id="rId8" Type="http://schemas.openxmlformats.org/officeDocument/2006/relationships/hyperlink" Target="https://likumi.lv/ta/id/313818-par-finansu-lidzeklu-pieskirsanu-no-valsts-budzeta-programmas-lidzekli-neparedzetiem-gadijumiem" TargetMode="External"/><Relationship Id="rId142" Type="http://schemas.openxmlformats.org/officeDocument/2006/relationships/hyperlink" Target="https://likumi.lv/ta/id/321242-par-finansu-lidzeklu-pieskirsanu-no-valsts-budzeta-programmas-lidzekli-neparedzetiem-gadijumiem" TargetMode="External"/><Relationship Id="rId184" Type="http://schemas.openxmlformats.org/officeDocument/2006/relationships/hyperlink" Target="http://tap.mk.gov.lv/lv/mk/tap/?pid=40503596&amp;mode=mk&amp;date=2021-06-15" TargetMode="External"/><Relationship Id="rId391" Type="http://schemas.openxmlformats.org/officeDocument/2006/relationships/hyperlink" Target="https://www.vestnesis.lv/op/2022/130.23" TargetMode="External"/><Relationship Id="rId405" Type="http://schemas.openxmlformats.org/officeDocument/2006/relationships/printerSettings" Target="../printerSettings/printerSettings6.bin"/><Relationship Id="rId251" Type="http://schemas.openxmlformats.org/officeDocument/2006/relationships/hyperlink" Target="https://likumi.lv/ta/id/325322-par-finansu-lidzeklu-pieskirsanu-no-valsts-budzeta-programmas-lidzekli-neparedzetiem-gadijumiem" TargetMode="External"/><Relationship Id="rId46" Type="http://schemas.openxmlformats.org/officeDocument/2006/relationships/hyperlink" Target="https://likumi.lv/ta/id/316816-par-finansu-lidzeklu-pieskirsanu-no-valsts-budzeta-programmas-lidzekli-neparedzetiem-gadijumiem" TargetMode="External"/><Relationship Id="rId293" Type="http://schemas.openxmlformats.org/officeDocument/2006/relationships/hyperlink" Target="https://likumi.lv/ta/id/328040-par-apropriacijas-palielinasanu-veselibas-ministrijai" TargetMode="External"/><Relationship Id="rId307" Type="http://schemas.openxmlformats.org/officeDocument/2006/relationships/hyperlink" Target="https://likumi.lv/ta/id/328039-par-finansu-lidzeklu-pieskirsanu-no-valsts-budzeta-programmas-lidzekli-neparedzetiem-gadijumiem" TargetMode="External"/><Relationship Id="rId349" Type="http://schemas.openxmlformats.org/officeDocument/2006/relationships/hyperlink" Target="https://www.vestnesis.lv/op/2022/39.26" TargetMode="External"/><Relationship Id="rId88" Type="http://schemas.openxmlformats.org/officeDocument/2006/relationships/hyperlink" Target="https://likumi.lv/ta/id/321028-par-finansu-lidzeklu-pieskirsanu-no-valsts-budzeta-programmas-lidzekli-neparedzetiem-gadijumiem" TargetMode="External"/><Relationship Id="rId111" Type="http://schemas.openxmlformats.org/officeDocument/2006/relationships/hyperlink" Target="https://likumi.lv/ta/id/317957-par-finansu-lidzeklu-pieskirsanu-no-valsts-budzeta-programmas-lidzekli-neparedzetiem-gadijumiem" TargetMode="External"/><Relationship Id="rId153" Type="http://schemas.openxmlformats.org/officeDocument/2006/relationships/hyperlink" Target="http://tap.mk.gov.lv/lv/mk/tap/?pid=40499551&amp;mode=mk&amp;date=2021-03-18" TargetMode="External"/><Relationship Id="rId195" Type="http://schemas.openxmlformats.org/officeDocument/2006/relationships/hyperlink" Target="https://likumi.lv/ta/id/318518-par-finansu-lidzeklu-pieskirsanu-no-valsts-budzeta-programmas-lidzekli-neparedzetiem-gadijumiem" TargetMode="External"/><Relationship Id="rId209" Type="http://schemas.openxmlformats.org/officeDocument/2006/relationships/hyperlink" Target="https://likumi.lv/ta/id/324691-par-finansu-lidzeklu-pieskirsanu-no-valsts-budzeta-programmas-lidzekli-neparedzetiem-gadijumiem" TargetMode="External"/><Relationship Id="rId360" Type="http://schemas.openxmlformats.org/officeDocument/2006/relationships/hyperlink" Target="https://tapportals.mk.gov.lv/structuralizer/data/nodes/b9d30727-0210-474b-92ff-031949118671/preview" TargetMode="External"/><Relationship Id="rId220" Type="http://schemas.openxmlformats.org/officeDocument/2006/relationships/hyperlink" Target="https://likumi.lv/ta/id/324009-par-finansu-lidzeklu-pieskirsanu-no-valsts-budzeta-programmas-lidzekli-neparedzetiem-gadijumiem" TargetMode="External"/><Relationship Id="rId15" Type="http://schemas.openxmlformats.org/officeDocument/2006/relationships/hyperlink" Target="https://likumi.lv/ta/id/313818-par-finansu-lidzeklu-pieskirsanu-no-valsts-budzeta-programmas-lidzekli-neparedzetiem-gadijumiem" TargetMode="External"/><Relationship Id="rId57" Type="http://schemas.openxmlformats.org/officeDocument/2006/relationships/hyperlink" Target="http://likumi.lv/ta/id/316611-par-finansu-lidzeklu-pieskirsanu-no-valsts-budzeta-programmas-lidzekli-neparedzetiem-gadijumiem" TargetMode="External"/><Relationship Id="rId262" Type="http://schemas.openxmlformats.org/officeDocument/2006/relationships/hyperlink" Target="http://tap.mk.gov.lv/lv/mk/tap/?pid=40501127&amp;mode=mk&amp;date=2021-04-20" TargetMode="External"/><Relationship Id="rId318" Type="http://schemas.openxmlformats.org/officeDocument/2006/relationships/hyperlink" Target="https://likumi.lv/ta/id/328030-par-finansu-lidzeklu-pieskirsanu-no-valsts-budzeta-programmas-lidzekli-neparedzetiem-gadijumiem" TargetMode="External"/><Relationship Id="rId99" Type="http://schemas.openxmlformats.org/officeDocument/2006/relationships/hyperlink" Target="https://likumi.lv/ta/id/317373-par-finansu-lidzeklu-pieskirsanu-no-valsts-budzeta-programmas-lidzekli-neparedzetiem-gadijumiem" TargetMode="External"/><Relationship Id="rId122" Type="http://schemas.openxmlformats.org/officeDocument/2006/relationships/hyperlink" Target="https://likumi.lv/ta/id/320958-par-finansu-lidzeklu-pieskirsanu-no-valsts-budzeta-programmas-lidzekli-neparedzetiem-gadijumiem" TargetMode="External"/><Relationship Id="rId164" Type="http://schemas.openxmlformats.org/officeDocument/2006/relationships/hyperlink" Target="https://likumi.lv/ta/id/317374-par-apropriacijas-palielinasanu-veselibas-ministrijai" TargetMode="External"/><Relationship Id="rId371" Type="http://schemas.openxmlformats.org/officeDocument/2006/relationships/hyperlink" Target="https://likumi.lv/ta/id/331651-par-finansu-lidzeklu-pieskirsanu-no-valsts-budzeta-programmas-lidzekli-neparedzetiem-gadijumiem" TargetMode="External"/><Relationship Id="rId26" Type="http://schemas.openxmlformats.org/officeDocument/2006/relationships/hyperlink" Target="http://tap.mk.gov.lv/lv/mk/tap/?pid=40487446&amp;mode=mk&amp;date=2020-05-19" TargetMode="External"/><Relationship Id="rId231" Type="http://schemas.openxmlformats.org/officeDocument/2006/relationships/hyperlink" Target="https://likumi.lv/ta/id/325317-par-finansu-lidzeklu-pieskirsanu-no-valsts-budzeta-programmas-lidzekli-neparedzetiem-gadijumiem" TargetMode="External"/><Relationship Id="rId273"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329" Type="http://schemas.openxmlformats.org/officeDocument/2006/relationships/hyperlink" Target="https://likumi.lv/ta/id/329448-par-finansu-lidzeklu-pieskirsanu-no-valsts-budzeta-programmas-lidzekli-neparedzetiem-gadijumiem" TargetMode="External"/><Relationship Id="rId68" Type="http://schemas.openxmlformats.org/officeDocument/2006/relationships/hyperlink" Target="https://likumi.lv/ta/id/319785-grozijumi-ministru-kabineta-2018-gada-28-augusta-noteikumos-nr-555-veselibas-aprupes-pakalpojumu-organizesanas-un-samaksas-kart..." TargetMode="External"/><Relationship Id="rId133" Type="http://schemas.openxmlformats.org/officeDocument/2006/relationships/hyperlink" Target="https://m.likumi.lv/ta/id/321377-par-finansu-lidzeklu-pieskirsanu-no-valsts-budzeta-programmas-lidzekli-neparedzetiem-gadijumiem" TargetMode="External"/><Relationship Id="rId175" Type="http://schemas.openxmlformats.org/officeDocument/2006/relationships/hyperlink" Target="https://likumi.lv/ta/id/323306-par-finansu-lidzeklu-pieskirsanu-no-valsts-budzeta-programmas-lidzekli-neparedzetiem-gadijumiem" TargetMode="External"/><Relationship Id="rId340" Type="http://schemas.openxmlformats.org/officeDocument/2006/relationships/hyperlink" Target="https://likumi.lv/ta/id/329607-par-finansu-lidzeklu-pieskirsanu-no-valsts-budzeta-programmas-lidzekli-neparedzetiem-gadijumiem" TargetMode="External"/><Relationship Id="rId200" Type="http://schemas.openxmlformats.org/officeDocument/2006/relationships/hyperlink" Target="https://likumi.lv/ta/id/314475-par-finansu-lidzeklu-pieskirsanu-no-valsts-budzeta-programmas-lidzekli-neparedzetiem-gadijumiem" TargetMode="External"/><Relationship Id="rId382" Type="http://schemas.openxmlformats.org/officeDocument/2006/relationships/hyperlink" Target="https://likumi.lv/ta/id/331944-par-finansu-lidzeklu-pieskirsanu-no-valsts-budzeta-programmas-lidzekli-neparedzetiem-gadijumiem" TargetMode="External"/><Relationship Id="rId242" Type="http://schemas.openxmlformats.org/officeDocument/2006/relationships/hyperlink" Target="https://likumi.lv/ta/id/325670-par-apropriacijas-palielinasanu-veselibas-ministrijai" TargetMode="External"/><Relationship Id="rId284" Type="http://schemas.openxmlformats.org/officeDocument/2006/relationships/hyperlink" Target="https://likumi.lv/ta/id/327539-par-apropriacijas-pardali" TargetMode="External"/><Relationship Id="rId37" Type="http://schemas.openxmlformats.org/officeDocument/2006/relationships/hyperlink" Target="http://tap.mk.gov.lv/lv/mk/tap/?pid=40489440&amp;mode=mk&amp;date=2020-07-14" TargetMode="External"/><Relationship Id="rId79" Type="http://schemas.openxmlformats.org/officeDocument/2006/relationships/hyperlink" Target="file:///D:\Users\fud-mucen\AppData\Roaming\Microsoft\Excel\%22Covid-19%20infekcijas%20izplat&#299;bas%20seku%20p&#257;rvar&#275;&#353;anas%20likums%22;%20Likums%20%22Par%20valsts%20apdraud&#275;juma%20un%20t&#257;%20seku%20nov&#275;r&#353;anas%20un%20p&#257;rvar&#275;&#353;anas%20pas&#257;kumiem%20sakar&#257;%20ar%20Covid-19%20izplat&#299;bu%22%20%5bzaud&#275;jis%20sp&#275;ku%5d" TargetMode="External"/><Relationship Id="rId102" Type="http://schemas.openxmlformats.org/officeDocument/2006/relationships/hyperlink" Target="https://likumi.lv/ta/id/320367-par-finansu-lidzeklu-pieskirsanu-no-valsts-budzeta-programmas-lidzekli-neparedzetiem-gadijumiem" TargetMode="External"/><Relationship Id="rId144" Type="http://schemas.openxmlformats.org/officeDocument/2006/relationships/hyperlink" Target="https://likumi.lv/ta/id/321800-par-finansu-lidzeklu-pieskirsanu-no-valsts-budzeta-programmas-lidzekli-neparedzetiem-gadijumiem" TargetMode="External"/><Relationship Id="rId90" Type="http://schemas.openxmlformats.org/officeDocument/2006/relationships/hyperlink" Target="http://tap.mk.gov.lv/lv/mk/tap/?pid=40497039&amp;mode=mk&amp;date=2021-01-14" TargetMode="External"/><Relationship Id="rId186" Type="http://schemas.openxmlformats.org/officeDocument/2006/relationships/hyperlink" Target="https://m.likumi.lv/ta/id/323564-par-finansu-lidzeklu-pieskirsanu-no-valsts-budzeta-programmas-lidzekli-neparedzetiem-gadijumiem" TargetMode="External"/><Relationship Id="rId351" Type="http://schemas.openxmlformats.org/officeDocument/2006/relationships/hyperlink" Target="https://tapportals.mk.gov.lv/structuralizer/data/nodes/5fde73da-d851-4c13-801d-8a4bedcce5f5/preview" TargetMode="External"/><Relationship Id="rId393" Type="http://schemas.openxmlformats.org/officeDocument/2006/relationships/hyperlink" Target="https://tapportals.mk.gov.lv/structuralizer/data/nodes/d8aac442-7340-417d-a7a5-f5d1b58e6533/preview" TargetMode="External"/><Relationship Id="rId407"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17" Type="http://schemas.openxmlformats.org/officeDocument/2006/relationships/hyperlink" Target="https://likumi.lv/ta/id/319133-par-finansu-lidzeklu-pieskirsanu-no-valsts-budzeta-programmas-lidzekli-neparedzetiem-gadijumiem" TargetMode="External"/><Relationship Id="rId21" Type="http://schemas.openxmlformats.org/officeDocument/2006/relationships/hyperlink" Target="https://m.likumi.lv/doc.php?id=314350" TargetMode="External"/><Relationship Id="rId42" Type="http://schemas.openxmlformats.org/officeDocument/2006/relationships/hyperlink" Target="https://likumi.lv/ta/id/314853-noteikumi-par-valsts-atbalstu-istermina-aizdevumiem-lauksaimnieciba-covid-19-izplatibas-negativas-ietekmes-mazinasanai" TargetMode="External"/><Relationship Id="rId63" Type="http://schemas.openxmlformats.org/officeDocument/2006/relationships/hyperlink" Target="https://likumi.lv/ta/id/313372-par-finansu-lidzeklu-pieskirsanu-no-valsts-budzeta-programmas-lidzekli-neparedzetiem-gadijumiem" TargetMode="External"/><Relationship Id="rId84" Type="http://schemas.openxmlformats.org/officeDocument/2006/relationships/hyperlink" Target="http://tap.mk.gov.lv/lv/mk/tap/?pid=40499326&amp;mode=mk&amp;date=2021-03-11" TargetMode="External"/><Relationship Id="rId138" Type="http://schemas.openxmlformats.org/officeDocument/2006/relationships/hyperlink" Target="https://likumi.lv/ta/id/320379" TargetMode="External"/><Relationship Id="rId159" Type="http://schemas.openxmlformats.org/officeDocument/2006/relationships/hyperlink" Target="http://tap.mk.gov.lv/lv/mk/tap/?pid=40498320&amp;mode=mk&amp;date=2021-02-15" TargetMode="External"/><Relationship Id="rId170" Type="http://schemas.openxmlformats.org/officeDocument/2006/relationships/hyperlink" Target="http://tap.mk.gov.lv/lv/mk/tap/?pid=40488130&amp;mode=mk&amp;date=2020-06-02" TargetMode="External"/><Relationship Id="rId191" Type="http://schemas.openxmlformats.org/officeDocument/2006/relationships/hyperlink" Target="http://tap.mk.gov.lv/lv/mk/tap/?pid=40501127&amp;mode=mk&amp;date=2021-04-20" TargetMode="External"/><Relationship Id="rId107" Type="http://schemas.openxmlformats.org/officeDocument/2006/relationships/hyperlink" Target="http://tap.mk.gov.lv/lv/mk/tap/?pid=40491504&amp;mode=mk&amp;date=2020-09-02" TargetMode="External"/><Relationship Id="rId11" Type="http://schemas.openxmlformats.org/officeDocument/2006/relationships/hyperlink" Target="https://likumi.lv/ta/id/313514-noteikumi-par-covid-19-izraisitas-krizes-skartiem-darba-devejiem-kuri-kvalificejas-dikstaves-pabalstam-un-nokaveto-nodoklu" TargetMode="External"/><Relationship Id="rId32" Type="http://schemas.openxmlformats.org/officeDocument/2006/relationships/hyperlink" Target="http://tap.mk.gov.lv/lv/mk/tap/?pid=40488130&amp;mode=mk&amp;date=2020-06-02" TargetMode="External"/><Relationship Id="rId53" Type="http://schemas.openxmlformats.org/officeDocument/2006/relationships/hyperlink" Target="http://likumi.lv/ta/id/316390-par-finansu-lidzeklu-pieskirsanu-no-valsts-budzeta-programmas-lidzekli-neparedzetiem-gadijumiem" TargetMode="External"/><Relationship Id="rId74" Type="http://schemas.openxmlformats.org/officeDocument/2006/relationships/hyperlink" Target="https://likumi.lv/ta/id/314036-par-finansu-lidzeklu-pieskirsanu-no-valsts-budzeta-programmas-lidzekli-neparedzetiem-gadijumiem" TargetMode="External"/><Relationship Id="rId128" Type="http://schemas.openxmlformats.org/officeDocument/2006/relationships/hyperlink" Target="https://likumi.lv/ta/id/319134-par-finansu-lidzeklu-pieskirsanu-no-valsts-budzeta-programmas-lidzekli-neparedzetiem-gadijumiem" TargetMode="External"/><Relationship Id="rId149" Type="http://schemas.openxmlformats.org/officeDocument/2006/relationships/hyperlink" Target="https://likumi.lv/ta/id/320589-par-finansu-lidzeklu-pieskirsanu-no-valsts-budzeta-programmas-lidzekli-neparedzetiem-gadijumiem" TargetMode="External"/><Relationship Id="rId5" Type="http://schemas.openxmlformats.org/officeDocument/2006/relationships/hyperlink" Target="https://likumi.lv/ta/id/312968-par-apropriacijas-palielinasanu-veselibas-ministrijai" TargetMode="External"/><Relationship Id="rId95" Type="http://schemas.openxmlformats.org/officeDocument/2006/relationships/hyperlink" Target="https://likumi.lv/ta/id/320017-par-apropriacijas-palielinasanu-veselibas-ministrijai" TargetMode="External"/><Relationship Id="rId160" Type="http://schemas.openxmlformats.org/officeDocument/2006/relationships/hyperlink" Target="https://likumi.lv/ta/id/321140-par-apropriacijas-palielinasanu-veselibas-ministrijai" TargetMode="External"/><Relationship Id="rId181" Type="http://schemas.openxmlformats.org/officeDocument/2006/relationships/hyperlink" Target="http://tap.mk.gov.lv/lv/mk/tap/?pid=40501140&amp;mode=mk&amp;date=2021-04-27" TargetMode="External"/><Relationship Id="rId22" Type="http://schemas.openxmlformats.org/officeDocument/2006/relationships/hyperlink" Target="https://likumi.lv/ta/id/313432" TargetMode="External"/><Relationship Id="rId43" Type="http://schemas.openxmlformats.org/officeDocument/2006/relationships/hyperlink" Target="http://tap.mk.gov.lv/lv/mk/tap/?pid=40488130&amp;mode=mk&amp;date=2020-06-02" TargetMode="External"/><Relationship Id="rId64" Type="http://schemas.openxmlformats.org/officeDocument/2006/relationships/hyperlink" Target="https://m.likumi.lv/ta/id/320209-par-finansu-lidzeklu-pieskirsanu-no-valsts-budzeta-programmas-lidzekli-neparedzetiem-gadijumiem" TargetMode="External"/><Relationship Id="rId118" Type="http://schemas.openxmlformats.org/officeDocument/2006/relationships/hyperlink" Target="https://likumi.lv/ta/id/320274-grozijumi-ministru-kabineta-2020-gada-24-novembra-noteikumos-nr-709-noteikumi-par-atbalstu-par-dikstavi-nodoklu-maksatajiem-to-..." TargetMode="External"/><Relationship Id="rId139" Type="http://schemas.openxmlformats.org/officeDocument/2006/relationships/hyperlink" Target="https://likumi.lv/ta/id/321245-par-finansu-lidzeklu-pieskirsanu-no-valsts-budzeta-programmas-lidzekli-neparedzetiem-gadijumiem" TargetMode="External"/><Relationship Id="rId85" Type="http://schemas.openxmlformats.org/officeDocument/2006/relationships/hyperlink" Target="https://likumi.lv/ta/id/319785-grozijumi-ministru-kabineta-2018-gada-28-augusta-noteikumos-nr-555-veselibas-aprupes-pakalpojumu-organizesanas-un-samaksas-kart..." TargetMode="External"/><Relationship Id="rId150" Type="http://schemas.openxmlformats.org/officeDocument/2006/relationships/hyperlink" Target="https://likumi.lv/ta/id/320832-par-finansu-lidzeklu-pieskirsanu-no-valsts-budzeta-programmas-lidzekli-neparedzetiem-gadijumiem" TargetMode="External"/><Relationship Id="rId171" Type="http://schemas.openxmlformats.org/officeDocument/2006/relationships/hyperlink" Target="https://likumi.lv/ta/id/321223-par-finansu-lidzeklu-pieskirsanu-no-valsts-budzeta-programmas-lidzekli-neparedzetiem-gadijumiem" TargetMode="External"/><Relationship Id="rId192" Type="http://schemas.openxmlformats.org/officeDocument/2006/relationships/hyperlink" Target="http://tap.mk.gov.lv/lv/mk/tap/?pid=40501297&amp;mode=mk&amp;date=2021-04-27" TargetMode="External"/><Relationship Id="rId12" Type="http://schemas.openxmlformats.org/officeDocument/2006/relationships/hyperlink" Target="https://likumi.lv/ta/id/313680-noteikumi-par-dikstaves-pabalstu-pasnodarbinatam-personam-kuras-skarusi-covid-19-izplatiba" TargetMode="External"/><Relationship Id="rId33" Type="http://schemas.openxmlformats.org/officeDocument/2006/relationships/hyperlink" Target="http://tap.mk.gov.lv/lv/mk/tap/?pid=40486957&amp;mode=mk&amp;date=2020-04-30" TargetMode="External"/><Relationship Id="rId108" Type="http://schemas.openxmlformats.org/officeDocument/2006/relationships/hyperlink" Target="https://likumi.lv/ta/id/318112-par-finansu-lidzeklu-pieskirsanu-no-valsts-budzeta-programmas-lidzekli-neparedzetiem-gadijumiem" TargetMode="External"/><Relationship Id="rId129" Type="http://schemas.openxmlformats.org/officeDocument/2006/relationships/hyperlink" Target="https://likumi.lv/ta/id/320202-par-finansu-lidzeklu-pieskirsanu-no-valsts-budzeta-programmas-lidzekli-neparedzetiem-gadijumiem" TargetMode="External"/><Relationship Id="rId54" Type="http://schemas.openxmlformats.org/officeDocument/2006/relationships/hyperlink" Target="http://likumi.lv/ta/id/316608-par-finansu-lidzeklu-pieskirsanu-no-valsts-budzeta-programmas-lidzekli-neparedzetiem-gadijumiem" TargetMode="External"/><Relationship Id="rId75" Type="http://schemas.openxmlformats.org/officeDocument/2006/relationships/hyperlink" Target="http://tap.mk.gov.lv/lv/mk/tap/?pid=40491825&amp;mode=mk&amp;date=2020-09-15" TargetMode="External"/><Relationship Id="rId96" Type="http://schemas.openxmlformats.org/officeDocument/2006/relationships/hyperlink" Target="https://m.likumi.lv/ta/id/319135-par-apropriacijas-palielinasanu-kulturas-ministrijai" TargetMode="External"/><Relationship Id="rId140" Type="http://schemas.openxmlformats.org/officeDocument/2006/relationships/hyperlink" Target="http://tap.mk.gov.lv/mk/tap/?pid=40497330" TargetMode="External"/><Relationship Id="rId161" Type="http://schemas.openxmlformats.org/officeDocument/2006/relationships/hyperlink" Target="https://likumi.lv/ta/id/321242-par-finansu-lidzeklu-pieskirsanu-no-valsts-budzeta-programmas-lidzekli-neparedzetiem-gadijumiem" TargetMode="External"/><Relationship Id="rId182" Type="http://schemas.openxmlformats.org/officeDocument/2006/relationships/hyperlink" Target="http://tap.mk.gov.lv/lv/mk/tap/?pid=40501452&amp;mode=mk&amp;date=2021-04-29" TargetMode="External"/><Relationship Id="rId6" Type="http://schemas.openxmlformats.org/officeDocument/2006/relationships/hyperlink" Target="https://likumi.lv/ta/id/313341-par-iekartu-iegadi-un-davinajuma-pienemsanu-attalinata-macibu-procesa-nodrosinasanai-arkartejas-situacijas-laika" TargetMode="External"/><Relationship Id="rId23" Type="http://schemas.openxmlformats.org/officeDocument/2006/relationships/hyperlink" Target="https://likumi.lv/ta/id/314259-par-valsts-akciju-sabiedribas-starptautiska-lidosta-riga-pamatkapitala-palielinasanu" TargetMode="External"/><Relationship Id="rId119" Type="http://schemas.openxmlformats.org/officeDocument/2006/relationships/hyperlink" Target="https://likumi.lv/ta/id/320274-grozijumi-ministru-kabineta-2020-gada-24-novembra-noteikumos-nr-709-noteikumi-par-atbalstu-par-dikstavi-nodoklu-maksatajiem-to-..." TargetMode="External"/><Relationship Id="rId44" Type="http://schemas.openxmlformats.org/officeDocument/2006/relationships/hyperlink" Target="https://m.likumi.lv/ta/id/315585-par-finansu-lidzeklu-pieskirsanu-no-valsts-budzeta-programmas-lidzekli-neparedzetiem-gadijumiem" TargetMode="External"/><Relationship Id="rId65" Type="http://schemas.openxmlformats.org/officeDocument/2006/relationships/hyperlink" Target="https://likumi.lv/ta/id/313934-par-apropriacijas-palielinasanu-veselibas-ministrijai" TargetMode="External"/><Relationship Id="rId86" Type="http://schemas.openxmlformats.org/officeDocument/2006/relationships/hyperlink" Target="http://tap.mk.gov.lv/mk/tap/?pid=40491875" TargetMode="External"/><Relationship Id="rId130" Type="http://schemas.openxmlformats.org/officeDocument/2006/relationships/hyperlink" Target="https://likumi.lv/ta/id/315287-covid-19-infekcijas-izplatibas-seku-parvaresanas-likums" TargetMode="External"/><Relationship Id="rId151" Type="http://schemas.openxmlformats.org/officeDocument/2006/relationships/hyperlink" Target="http://tap.mk.gov.lv/lv/mk/tap/?pid=40488130&amp;mode=mk&amp;date=2020-06-02" TargetMode="External"/><Relationship Id="rId172" Type="http://schemas.openxmlformats.org/officeDocument/2006/relationships/hyperlink" Target="https://likumi.lv/ta/id/321559-par-finansu-lidzeklu-pieskirsanu-no-valsts-budzeta-programmas-lidzekli-neparedzetiem-gadijumiem" TargetMode="External"/><Relationship Id="rId193" Type="http://schemas.openxmlformats.org/officeDocument/2006/relationships/hyperlink" Target="http://tap.mk.gov.lv/lv/mk/tap/?pid=40501907&amp;mode=mk&amp;date=2021-05-18" TargetMode="External"/><Relationship Id="rId13" Type="http://schemas.openxmlformats.org/officeDocument/2006/relationships/hyperlink" Target="https://likumi.lv/ta/id/313719-grozijumi-ministru-kabineta-2020-gada-26-marta-noteikumos-nr-165-noteikumi-par-covid-19-izraisitas-krizes-skartiem-darba-deveji..." TargetMode="External"/><Relationship Id="rId109" Type="http://schemas.openxmlformats.org/officeDocument/2006/relationships/hyperlink" Target="https://likumi.lv/ta/id/319785-grozijumi-ministru-kabineta-2018-gada-28-augusta-noteikumos-nr-555-veselibas-aprupes-pakalpojumu-organizesanas-un-samaksas-kart..." TargetMode="External"/><Relationship Id="rId34" Type="http://schemas.openxmlformats.org/officeDocument/2006/relationships/hyperlink" Target="https://likumi.lv/ta/id/316129-noteikumi-par-kapitala-ieguldijumiem-komersantos-kuru-darbibu-ietekmejusi-covid-19-izplatiba" TargetMode="External"/><Relationship Id="rId55" Type="http://schemas.openxmlformats.org/officeDocument/2006/relationships/hyperlink" Target="http://likumi.lv/ta/id/316611-par-finansu-lidzeklu-pieskirsanu-no-valsts-budzeta-programmas-lidzekli-neparedzetiem-gadijumiem" TargetMode="External"/><Relationship Id="rId76" Type="http://schemas.openxmlformats.org/officeDocument/2006/relationships/hyperlink" Target="http://tap.mk.gov.lv/mk/mksedes/saraksts/darbakartiba/?sede=1171" TargetMode="External"/><Relationship Id="rId97" Type="http://schemas.openxmlformats.org/officeDocument/2006/relationships/hyperlink" Target="http://tap.mk.gov.lv/lv/mk/tap/?pid=40496774&amp;mode=mk&amp;date=2021-01-14" TargetMode="External"/><Relationship Id="rId120" Type="http://schemas.openxmlformats.org/officeDocument/2006/relationships/hyperlink" Target="https://likumi.lv/ta/id/317957-par-finansu-lidzeklu-pieskirsanu-no-valsts-budzeta-programmas-lidzekli-neparedzetiem-gadijumiem" TargetMode="External"/><Relationship Id="rId141" Type="http://schemas.openxmlformats.org/officeDocument/2006/relationships/hyperlink" Target="https://likumi.lv/ta/id/320438-par-finansu-lidzeklu-pieskirsanu-no-valsts-budzeta-programmas-lidzekli-neparedzetiem-gadijumiem" TargetMode="External"/><Relationship Id="rId7" Type="http://schemas.openxmlformats.org/officeDocument/2006/relationships/hyperlink" Target="http://tap.mk.gov.lv/mk/mksedes/saraksts/protokols/?protokols=2020-03-19" TargetMode="External"/><Relationship Id="rId71" Type="http://schemas.openxmlformats.org/officeDocument/2006/relationships/hyperlink" Target="http://tap.mk.gov.lv/lv/mk/tap/?pid=40489492&amp;mode=mk&amp;date=2020-07-14" TargetMode="External"/><Relationship Id="rId92" Type="http://schemas.openxmlformats.org/officeDocument/2006/relationships/hyperlink" Target="https://likumi.lv/ta/id/318133-par-finansu-lidzeklu-pieskirsanu-no-valsts-budzeta-programmas-lidzekli-neparedzetiem-gadijumiem" TargetMode="External"/><Relationship Id="rId162" Type="http://schemas.openxmlformats.org/officeDocument/2006/relationships/hyperlink" Target="https://m.likumi.lv/ta/id/321374-par-finansu-lidzeklu-pieskirsanu-no-valsts-budzeta-programmas-lidzekli-neparedzetiem-gadijumiem" TargetMode="External"/><Relationship Id="rId183" Type="http://schemas.openxmlformats.org/officeDocument/2006/relationships/hyperlink" Target="http://tap.mk.gov.lv/lv/mk/tap/?pid=40500239&amp;mode=mk&amp;date=2021-04-20" TargetMode="External"/><Relationship Id="rId2" Type="http://schemas.openxmlformats.org/officeDocument/2006/relationships/hyperlink" Target="https://likumi.lv/ta/id/313431-grozijumi-ministru-kabineta-2020-gada-19-marta-noteikumos-nr-150-noteikumi-par-garantijam-saimnieciskas-darbibas-veicejiem" TargetMode="External"/><Relationship Id="rId29" Type="http://schemas.openxmlformats.org/officeDocument/2006/relationships/hyperlink" Target="https://likumi.lv/ta/id/314585-par-finansu-lidzeklu-pieskirsanu-no-valsts-budzeta-programmas-lidzekli-neparedzetiem-gadijumiem" TargetMode="External"/><Relationship Id="rId24" Type="http://schemas.openxmlformats.org/officeDocument/2006/relationships/hyperlink" Target="https://likumi.lv/ta/id/314477-par-finansu-lidzeklu-pieskirsanu-no-valsts-budzeta-programmas-lidzekli-neparedzetiem-gadijumiem" TargetMode="External"/><Relationship Id="rId40" Type="http://schemas.openxmlformats.org/officeDocument/2006/relationships/hyperlink" Target="https://likumi.lv/ta/id/314856-par-finansu-lidzeklu-pieskirsanu-no-valsts-budzeta-programmas-lidzekli-neparedzetiem-gadijumiem" TargetMode="External"/><Relationship Id="rId45" Type="http://schemas.openxmlformats.org/officeDocument/2006/relationships/hyperlink" Target="https://likumi.lv/ta/id/314587-par-akciju-sabiedribas-air-baltic-corporation-pamatkapitala-palielinasanu" TargetMode="External"/><Relationship Id="rId66" Type="http://schemas.openxmlformats.org/officeDocument/2006/relationships/hyperlink" Target="https://likumi.lv/ta/id/317726-par-finansu-lidzeklu-pieskirsanu-no-valsts-budzeta-programmas-lidzekli-neparedzetiem-gadijumiem" TargetMode="External"/><Relationship Id="rId87" Type="http://schemas.openxmlformats.org/officeDocument/2006/relationships/hyperlink" Target="https://likumi.lv/ta/id/318759-noteikumi-par-aizdevumiem-un-to-procentu-likmju-subsidijam-komersantiem-konkuretspejas-veicinasanai" TargetMode="External"/><Relationship Id="rId110" Type="http://schemas.openxmlformats.org/officeDocument/2006/relationships/hyperlink" Target="http://tap.mk.gov.lv/lv/mk/tap/?pid=40497820&amp;mode=mk&amp;date=2021-02-09" TargetMode="External"/><Relationship Id="rId115" Type="http://schemas.openxmlformats.org/officeDocument/2006/relationships/hyperlink" Target="http://tap.mk.gov.lv/lv/mk/tap/?pid=40497039&amp;mode=mk&amp;date=2021-01-14" TargetMode="External"/><Relationship Id="rId131" Type="http://schemas.openxmlformats.org/officeDocument/2006/relationships/hyperlink" Target="https://likumi.lv/ta/id/315287-covid-19-infekcijas-izplatibas-seku-parvaresanas-likums" TargetMode="External"/><Relationship Id="rId136" Type="http://schemas.openxmlformats.org/officeDocument/2006/relationships/hyperlink" Target="https://likumi.lv/ta/id/315287-covid-19-infekcijas-izplatibas-seku-parvaresanas-likums" TargetMode="External"/><Relationship Id="rId157" Type="http://schemas.openxmlformats.org/officeDocument/2006/relationships/hyperlink" Target="https://likumi.lv/ta/id/321204-par-finansu-lidzeklu-pieskirsanu-no-valsts-budzeta-programmas-lidzekli-neparedzetiem-gadijumiem" TargetMode="External"/><Relationship Id="rId178" Type="http://schemas.openxmlformats.org/officeDocument/2006/relationships/hyperlink" Target="http://tap.mk.gov.lv/lv/mk/tap/?pid=40499784&amp;mode=mk&amp;date=2021-03-18" TargetMode="External"/><Relationship Id="rId61" Type="http://schemas.openxmlformats.org/officeDocument/2006/relationships/hyperlink" Target="https://likumi.lv/ta/id/318052-par-finansu-lidzeklu-pieskirsanu-no-valsts-budzeta-programmas-lidzekli-neparedzetiem-gadijumiem" TargetMode="External"/><Relationship Id="rId82" Type="http://schemas.openxmlformats.org/officeDocument/2006/relationships/hyperlink" Target="https://likumi.lv/ta/id/320205-par-finansu-lidzeklu-pieskirsanu-no-valsts-budzeta-programmas-lidzekli-neparedzetiem-gadijumiem" TargetMode="External"/><Relationship Id="rId152" Type="http://schemas.openxmlformats.org/officeDocument/2006/relationships/hyperlink" Target="https://likumi.lv/ta/id/320464-par-finansu-lidzeklu-pieskirsanu-no-valsts-budzeta-programmas-lidzekli-neparedzetiem-gadijumiem" TargetMode="External"/><Relationship Id="rId173" Type="http://schemas.openxmlformats.org/officeDocument/2006/relationships/hyperlink" Target="https://likumi.lv/ta/id/320979-par-finansu-lidzeklu-pieskirsanu-no-valsts-budzeta-programmas-lidzekli-neparedzetiem-gadijumiem" TargetMode="External"/><Relationship Id="rId194" Type="http://schemas.openxmlformats.org/officeDocument/2006/relationships/hyperlink" Target="http://tap.mk.gov.lv/lv/mk/tap/?pid=40501806&amp;mode=mk&amp;date=2021-05-13" TargetMode="External"/><Relationship Id="rId19" Type="http://schemas.openxmlformats.org/officeDocument/2006/relationships/hyperlink" Target="https://likumi.lv/ta/id/314258-grozijumi-ministru-kabineta-2020-gada-31-marta-noteikumos-nr-179-noteikumi-par-dikstaves-pabalstu-pasnodarbinatam-personam" TargetMode="External"/><Relationship Id="rId14" Type="http://schemas.openxmlformats.org/officeDocument/2006/relationships/hyperlink" Target="https://likumi.lv/ta/id/314098-grozijums-bezdarbnieku-un-darba-mekletaju-atbalsta-likuma" TargetMode="External"/><Relationship Id="rId30" Type="http://schemas.openxmlformats.org/officeDocument/2006/relationships/hyperlink" Target="http://tap.mk.gov.lv/lv/mk/tap/?pid=40487446&amp;mode=mk&amp;date=2020-05-19" TargetMode="External"/><Relationship Id="rId35" Type="http://schemas.openxmlformats.org/officeDocument/2006/relationships/hyperlink" Target="http://tap.mk.gov.lv/lv/mk/tap/?pid=40488130&amp;mode=mk&amp;date=2020-06-02" TargetMode="External"/><Relationship Id="rId56" Type="http://schemas.openxmlformats.org/officeDocument/2006/relationships/hyperlink" Target="http://tap.mk.gov.lv/lv/mk/tap/?pid=40488130&amp;mode=mk&amp;date=2020-06-02" TargetMode="External"/><Relationship Id="rId77" Type="http://schemas.openxmlformats.org/officeDocument/2006/relationships/hyperlink" Target="https://likumi.lv/ta/id/318518-par-finansu-lidzeklu-pieskirsanu-no-valsts-budzeta-programmas-lidzekli-neparedzetiem-gadijumiem" TargetMode="External"/><Relationship Id="rId100" Type="http://schemas.openxmlformats.org/officeDocument/2006/relationships/hyperlink" Target="https://likumi.lv/ta/id/320203-par-finansu-lidzeklu-pieskirsanu-no-valsts-budzeta-programmas-lidzekli-neparedzetiem-gadijumiem" TargetMode="External"/><Relationship Id="rId105" Type="http://schemas.openxmlformats.org/officeDocument/2006/relationships/hyperlink" Target="https://likumi.lv/ta/id/314297-par-finansu-lidzeklu-pieskirsanu-no-valsts-budzeta-programmas-lidzekli-neparedzetiem-gadijumiem" TargetMode="External"/><Relationship Id="rId126" Type="http://schemas.openxmlformats.org/officeDocument/2006/relationships/hyperlink" Target="http://tap.mk.gov.lv/lv/mk/tap/?pid=40488130&amp;mode=mk&amp;date=2020-06-02" TargetMode="External"/><Relationship Id="rId147" Type="http://schemas.openxmlformats.org/officeDocument/2006/relationships/hyperlink" Target="https://likumi.lv/ta/id/320958-par-finansu-lidzeklu-pieskirsanu-no-valsts-budzeta-programmas-lidzekli-neparedzetiem-gadijumiem" TargetMode="External"/><Relationship Id="rId168" Type="http://schemas.openxmlformats.org/officeDocument/2006/relationships/hyperlink" Target="https://likumi.lv/ta/id/321498-par-finansu-lidzeklu-pieskirsanu-no-valsts-budzeta-programmas-lidzekli-neparedzetiem-gadijumiem" TargetMode="External"/><Relationship Id="rId8" Type="http://schemas.openxmlformats.org/officeDocument/2006/relationships/hyperlink" Target="https://likumi.lv/ta/id/313818-par-finansu-lidzeklu-pieskirsanu-no-valsts-budzeta-programmas-lidzekli-neparedzetiem-gadijumiem" TargetMode="External"/><Relationship Id="rId51" Type="http://schemas.openxmlformats.org/officeDocument/2006/relationships/hyperlink" Target="http://tap.mk.gov.lv/lv/mk/tap/?pid=40489549&amp;mode=mk&amp;date=2020-07-14" TargetMode="External"/><Relationship Id="rId72" Type="http://schemas.openxmlformats.org/officeDocument/2006/relationships/hyperlink" Target="https://likumi.lv/ta/id/319019-par-finansu-lidzeklu-pieskirsanu-no-valsts-budzeta-programmas-lidzekli-neparedzetiem-gadijumiem" TargetMode="External"/><Relationship Id="rId93" Type="http://schemas.openxmlformats.org/officeDocument/2006/relationships/hyperlink" Target="https://likumi.lv/ta/id/320206-par-finansu-lidzeklu-pieskirsanu-no-valsts-budzeta-programmas-lidzekli-neparedzetiem-gadijumiem" TargetMode="External"/><Relationship Id="rId98" Type="http://schemas.openxmlformats.org/officeDocument/2006/relationships/hyperlink" Target="https://likumi.lv/ta/id/320018-par-finansu-lidzeklu-pieskirsanu-no-valsts-budzeta-programmas-lidzekli-neparedzetiem-gadijumiem" TargetMode="External"/><Relationship Id="rId121" Type="http://schemas.openxmlformats.org/officeDocument/2006/relationships/hyperlink" Target="https://likumi.lv/ta/id/313614-par-finansu-lidzeklu-pieskirsanu-no-valsts-budzeta-programmas-lidzekli-neparedzetiem-gadijumiem" TargetMode="External"/><Relationship Id="rId142" Type="http://schemas.openxmlformats.org/officeDocument/2006/relationships/hyperlink" Target="https://likumi.lv/ta/id/320588-par-finansu-lidzeklu-pieskirsanu-no-valsts-budzeta-programmas-lidzekli-neparedzetiem-gadijumiem" TargetMode="External"/><Relationship Id="rId163" Type="http://schemas.openxmlformats.org/officeDocument/2006/relationships/hyperlink" Target="https://m.likumi.lv/ta/id/321377-par-finansu-lidzeklu-pieskirsanu-no-valsts-budzeta-programmas-lidzekli-neparedzetiem-gadijumiem" TargetMode="External"/><Relationship Id="rId184" Type="http://schemas.openxmlformats.org/officeDocument/2006/relationships/hyperlink" Target="http://tap.mk.gov.lv/lv/mk/tap/?pid=40501455&amp;mode=mk&amp;date=2021-04-27" TargetMode="External"/><Relationship Id="rId189" Type="http://schemas.openxmlformats.org/officeDocument/2006/relationships/hyperlink" Target="https://likumi.lv/ta/id/322348-noteikumi-par-nomas-apgrozijuma-krituma-kompensaciju-covid-19-krizes-skartajiem-komersantiem" TargetMode="External"/><Relationship Id="rId3" Type="http://schemas.openxmlformats.org/officeDocument/2006/relationships/hyperlink" Target="https://www.vestnesis.lv/op/2020/62B.6" TargetMode="External"/><Relationship Id="rId25" Type="http://schemas.openxmlformats.org/officeDocument/2006/relationships/hyperlink" Target="https://likumi.lv/ta/id/314717-par-finansu-lidzeklu-pieskirsanu-no-valsts-budzeta-programmas-02-00-00-lidzekli-neparedzetiem-gadijumiem" TargetMode="External"/><Relationship Id="rId46" Type="http://schemas.openxmlformats.org/officeDocument/2006/relationships/hyperlink" Target="http://tap.mk.gov.lv/lv/mk/tap/?pid=40488578&amp;mode=mk&amp;date=2020-07-14" TargetMode="External"/><Relationship Id="rId67" Type="http://schemas.openxmlformats.org/officeDocument/2006/relationships/hyperlink" Target="https://likumi.lv/ta/id/318406-par-finansu-lidzeklu-pieskirsanu-no-valsts-budzeta-programmas-lidzekli-neparedzetiem-gadijumiem" TargetMode="External"/><Relationship Id="rId116" Type="http://schemas.openxmlformats.org/officeDocument/2006/relationships/hyperlink" Target="https://likumi.lv/ta/id/320367-par-finansu-lidzeklu-pieskirsanu-no-valsts-budzeta-programmas-lidzekli-neparedzetiem-gadijumiem" TargetMode="External"/><Relationship Id="rId137" Type="http://schemas.openxmlformats.org/officeDocument/2006/relationships/hyperlink" Target="https://likumi.lv/ta/id/314836-par-finansu-lidzeklu-pieskirsanu-no-valsts-budzeta-programmas-lidzekli-neparedzetiem-gadijumiem" TargetMode="External"/><Relationship Id="rId158" Type="http://schemas.openxmlformats.org/officeDocument/2006/relationships/hyperlink" Target="http://tap.mk.gov.lv/lv/mk/tap/?pid=40498020&amp;mode=mk&amp;date=2021-02-18" TargetMode="External"/><Relationship Id="rId20" Type="http://schemas.openxmlformats.org/officeDocument/2006/relationships/hyperlink" Target="http://likumi.lv/ta/id/314061-par-finansu-lidzeklu-pieskirsanu-no-valsts-budzeta-programmas-lidzekli-neparedzetiem-gadijumiem-" TargetMode="External"/><Relationship Id="rId41" Type="http://schemas.openxmlformats.org/officeDocument/2006/relationships/hyperlink" Target="https://likumi.lv/ta/id/314259-par-valsts-akciju-sabiedribas-starptautiska-lidosta-riga-pamatkapitala-palielinasanu" TargetMode="External"/><Relationship Id="rId62" Type="http://schemas.openxmlformats.org/officeDocument/2006/relationships/hyperlink" Target="https://likumi.lv/ta/id/318053-par-finansu-lidzeklu-pieskirsanu-no-valsts-budzeta-programmas-lidzekli-neparedzetiem-gadijumiem" TargetMode="External"/><Relationship Id="rId83" Type="http://schemas.openxmlformats.org/officeDocument/2006/relationships/hyperlink" Target="https://likumi.lv/ta/id/318967-par-finansu-lidzeklu-pieskirsanu-no-valsts-budzeta-programmas-lidzekli-neparedzetiem-gadijumiem" TargetMode="External"/><Relationship Id="rId88" Type="http://schemas.openxmlformats.org/officeDocument/2006/relationships/hyperlink" Target="https://likumi.lv/ta/id/315560-noteikumi-par-garantijam-saimnieciskas-darbibas-veicejiem-konkuretspejas-uzlabosanai" TargetMode="External"/><Relationship Id="rId111" Type="http://schemas.openxmlformats.org/officeDocument/2006/relationships/hyperlink" Target="https://likumi.lv/ta/id/317235-par-finansu-lidzeklu-pieskirsanu-no-valsts-budzeta-programmas-lidzekli-neparedzetiem-gadijumiem" TargetMode="External"/><Relationship Id="rId132" Type="http://schemas.openxmlformats.org/officeDocument/2006/relationships/hyperlink" Target="https://titania.saeima.lv/LIVS13/saeimalivs13.nsf/0/D3145E3501CAE0EEC225861D00272C19?OpenDocument" TargetMode="External"/><Relationship Id="rId153" Type="http://schemas.openxmlformats.org/officeDocument/2006/relationships/hyperlink" Target="https://likumi.lv/ta/id/320278-par-finansu-lidzeklu-pieskirsanu-no-valsts-budzeta-programmas-lidzekli-neparedzetiem-gadijumiem" TargetMode="External"/><Relationship Id="rId174" Type="http://schemas.openxmlformats.org/officeDocument/2006/relationships/hyperlink" Target="http://tap.mk.gov.lv/lv/mk/tap/?pid=40500255&amp;mode=mk&amp;date=2021-04-01" TargetMode="External"/><Relationship Id="rId179" Type="http://schemas.openxmlformats.org/officeDocument/2006/relationships/hyperlink" Target="http://tap.mk.gov.lv/lv/mk/tap/?pid=40501306&amp;mode=mk&amp;date=2021-04-29" TargetMode="External"/><Relationship Id="rId195" Type="http://schemas.openxmlformats.org/officeDocument/2006/relationships/hyperlink" Target="http://tap.mk.gov.lv/lv/mk/tap/?pid=40501806&amp;mode=mk&amp;date=2021-05-13" TargetMode="External"/><Relationship Id="rId190" Type="http://schemas.openxmlformats.org/officeDocument/2006/relationships/hyperlink" Target="https://likumi.lv/ta/id/322354-par-finansu-lidzeklu-pieskirsanu-no-valsts-budzeta-programmas-lidzekli-neparedzetiem-gadijumiem" TargetMode="External"/><Relationship Id="rId15" Type="http://schemas.openxmlformats.org/officeDocument/2006/relationships/hyperlink" Target="http://tap.mk.gov.lv/lv/mk/tap/?pid=40486050&amp;mode=mk&amp;date=2020-04-14" TargetMode="External"/><Relationship Id="rId36" Type="http://schemas.openxmlformats.org/officeDocument/2006/relationships/hyperlink" Target="http://tap.mk.gov.lv/lv/mk/tap/?pid=40488130&amp;mode=mk&amp;date=2020-06-02" TargetMode="External"/><Relationship Id="rId57" Type="http://schemas.openxmlformats.org/officeDocument/2006/relationships/hyperlink" Target="https://likumi.lv/ta/id/316816-par-finansu-lidzeklu-pieskirsanu-no-valsts-budzeta-programmas-lidzekli-neparedzetiem-gadijumiem" TargetMode="External"/><Relationship Id="rId106" Type="http://schemas.openxmlformats.org/officeDocument/2006/relationships/hyperlink" Target="https://likumi.lv/ta/id/315312-grozijumi-ministru-kabineta-2018-gada-28-augusta-noteikumos-nr-555-veselibas-aprupes-pakalpojumu-organizesanas-un-samaksas" TargetMode="External"/><Relationship Id="rId127" Type="http://schemas.openxmlformats.org/officeDocument/2006/relationships/hyperlink" Target="http://tap.mk.gov.lv/lv/mk/tap/?pid=40488130&amp;mode=mk&amp;date=2020-06-02" TargetMode="External"/><Relationship Id="rId10" Type="http://schemas.openxmlformats.org/officeDocument/2006/relationships/hyperlink" Target="https://likumi.lv/ta/id/313340-grozijumi-ministru-kabineta-2020-gada-10-marta-rikojuma-nr-100-par-finansu-lidzeklu-pieskirsanu-no-valsts-budzeta-programmas" TargetMode="External"/><Relationship Id="rId31" Type="http://schemas.openxmlformats.org/officeDocument/2006/relationships/hyperlink" Target="http://tap.mk.gov.lv/lv/mk/tap/?pid=40488130&amp;mode=mk&amp;date=2020-06-02" TargetMode="External"/><Relationship Id="rId52" Type="http://schemas.openxmlformats.org/officeDocument/2006/relationships/hyperlink" Target="https://likumi.lv/ta/id/315243-par-finansu-lidzeklu-pieskirsanu-no-valsts-budzeta-programmas-lidzekli-neparedzetiem-gadijumiem" TargetMode="External"/><Relationship Id="rId73" Type="http://schemas.openxmlformats.org/officeDocument/2006/relationships/hyperlink" Target="https://likumi.lv/ta/id/313933-par-finansu-lidzeklu-pieskirsanu-no-valsts-budzeta-programmas-lidzekli-neparedzetiem-gadijumiem" TargetMode="External"/><Relationship Id="rId78" Type="http://schemas.openxmlformats.org/officeDocument/2006/relationships/hyperlink" Target="https://likumi.lv/ta/id/318971-par-finansejuma-sadalijumu-atbalsta-sniegsanai-attalinata-macibu-procesa-nodrosinasanai-visparejas-izglitibas-un-profesionalas" TargetMode="External"/><Relationship Id="rId94" Type="http://schemas.openxmlformats.org/officeDocument/2006/relationships/hyperlink" Target="https://likumi.lv/ta/id/319787-par-finansu-lidzeklu-pieskirsanu-no-valsts-budzeta-programmas-lidzekli-neparedzetiem-gadijumiem" TargetMode="External"/><Relationship Id="rId99" Type="http://schemas.openxmlformats.org/officeDocument/2006/relationships/hyperlink" Target="https://likumi.lv/ta/id/315287-covid-19-infekcijas-izplatibas-seku-parvaresanas-likums" TargetMode="External"/><Relationship Id="rId101" Type="http://schemas.openxmlformats.org/officeDocument/2006/relationships/hyperlink" Target="https://likumi.lv/ta/id/314476-par-finansu-lidzeklu-pieskirsanu-no-valsts-budzeta-programmas-lidzekli-neparedzetiem-gadijumiem" TargetMode="External"/><Relationship Id="rId122" Type="http://schemas.openxmlformats.org/officeDocument/2006/relationships/hyperlink" Target="https://likumi.lv/ta/id/316998-par-finansu-lidzeklu-pieskirsanu-no-valsts-budzeta-programmas-lidzekli-neparedzetiem-gadijumiem" TargetMode="External"/><Relationship Id="rId143" Type="http://schemas.openxmlformats.org/officeDocument/2006/relationships/hyperlink" Target="http://tap.mk.gov.lv/lv/mk/tap/?pid=40497627&amp;mode=mk&amp;date=2021-01-28" TargetMode="External"/><Relationship Id="rId148" Type="http://schemas.openxmlformats.org/officeDocument/2006/relationships/hyperlink" Target="https://likumi.lv/ta/id/320957-par-apropriacijas-palielinasanu-veselibas-ministrijai" TargetMode="External"/><Relationship Id="rId164" Type="http://schemas.openxmlformats.org/officeDocument/2006/relationships/hyperlink" Target="https://www.vestnesis.lv/op/2021/46.11" TargetMode="External"/><Relationship Id="rId169" Type="http://schemas.openxmlformats.org/officeDocument/2006/relationships/hyperlink" Target="https://likumi.lv/ta/id/321487-par-finansu-lidzeklu-pieskirsanu-no-valsts-budzeta-programmas-lidzekli-neparedzetiem-gadijumiem" TargetMode="External"/><Relationship Id="rId185" Type="http://schemas.openxmlformats.org/officeDocument/2006/relationships/hyperlink" Target="http://tap.mk.gov.lv/lv/mk/tap/?pid=40501396&amp;mode=mk&amp;date=2021-04-27" TargetMode="External"/><Relationship Id="rId4" Type="http://schemas.openxmlformats.org/officeDocument/2006/relationships/hyperlink" Target="https://likumi.lv/ta/id/313372-par-finansu-lidzeklu-pieskirsanu-no-valsts-budzeta-programmas-lidzekli-neparedzetiem-gadijumiem" TargetMode="External"/><Relationship Id="rId9" Type="http://schemas.openxmlformats.org/officeDocument/2006/relationships/hyperlink" Target="https://likumi.lv/ta/id/313681-noteikumi-par-publiskas-personas-un-publiskas-personas-kontroletas-kapitalsabiedribas-mantas-nomas-maksas-atbrivojuma-vai-samazinajuma" TargetMode="External"/><Relationship Id="rId180" Type="http://schemas.openxmlformats.org/officeDocument/2006/relationships/hyperlink" Target="https://likumi.lv/ta/id/317374-par-apropriacijas-palielinasanu-veselibas-ministrijai" TargetMode="External"/><Relationship Id="rId26" Type="http://schemas.openxmlformats.org/officeDocument/2006/relationships/hyperlink" Target="https://likumi.lv/ta/id/314718-par-finansu-lidzeklu-pieskirsanu-no-valsts-budzeta-programmas-lidzekli-neparedzetiem-gadijumiem" TargetMode="External"/><Relationship Id="rId47" Type="http://schemas.openxmlformats.org/officeDocument/2006/relationships/hyperlink" Target="http://tap.mk.gov.lv/lv/mk/tap/?pid=40489440&amp;mode=mk&amp;date=2020-07-14" TargetMode="External"/><Relationship Id="rId68" Type="http://schemas.openxmlformats.org/officeDocument/2006/relationships/hyperlink" Target="http://likumi.lv/ta/id/314567-grozijumi-likuma-par-valsts-apdraudejuma-un-ta-seku-noversanas-un-parvaresanas-pasakumiem-sakara-ar-covid-19-izplatibu-" TargetMode="External"/><Relationship Id="rId89" Type="http://schemas.openxmlformats.org/officeDocument/2006/relationships/hyperlink" Target="https://likumi.lv/ta/id/318589-par-apropriacijas-pardali-neatliekamu-pasakumu-istenosanai-labklajibas-nozare" TargetMode="External"/><Relationship Id="rId112" Type="http://schemas.openxmlformats.org/officeDocument/2006/relationships/hyperlink" Target="https://likumi.lv/ta/id/316831-par-finansu-lidzeklu-pieskirsanu-no-valsts-budzeta-programmas-lidzekli-neparedzetiem-gadijumiem" TargetMode="External"/><Relationship Id="rId133" Type="http://schemas.openxmlformats.org/officeDocument/2006/relationships/hyperlink" Target="http://tap.mk.gov.lv/lv/mk/tap/?pid=40499805&amp;mode=mk&amp;date=2021-03-18" TargetMode="External"/><Relationship Id="rId154" Type="http://schemas.openxmlformats.org/officeDocument/2006/relationships/hyperlink" Target="https://likumi.lv/ta/id/321138-par-finansu-lidzeklu-pieskirsanu-no-valsts-budzeta-programmas-lidzekli-neparedzetiem-gadijumiem" TargetMode="External"/><Relationship Id="rId175" Type="http://schemas.openxmlformats.org/officeDocument/2006/relationships/hyperlink" Target="http://tap.mk.gov.lv/lv/mk/tap/?pid=40500072&amp;mode=mk&amp;date=2021-03-24" TargetMode="External"/><Relationship Id="rId196" Type="http://schemas.openxmlformats.org/officeDocument/2006/relationships/printerSettings" Target="../printerSettings/printerSettings7.bin"/><Relationship Id="rId16" Type="http://schemas.openxmlformats.org/officeDocument/2006/relationships/hyperlink" Target="https://likumi.lv/ta/id/313818-par-finansu-lidzeklu-pieskirsanu-no-valsts-budzeta-programmas-lidzekli-neparedzetiem-gadijumiem" TargetMode="External"/><Relationship Id="rId37" Type="http://schemas.openxmlformats.org/officeDocument/2006/relationships/hyperlink" Target="https://m.likumi.lv/ta/id/315847-par-finansu-lidzeklu-pieskirsanu-no-valsts-budzeta-programmas-lidzekli-neparedzetiem-gadijumiem" TargetMode="External"/><Relationship Id="rId58" Type="http://schemas.openxmlformats.org/officeDocument/2006/relationships/hyperlink" Target="https://likumi.lv/ta/id/317696-par-finansu-lidzeklu-pieskirsanu-no-valsts-budzeta-programmas-lidzekli-neparedzetiem-gadijumiem" TargetMode="External"/><Relationship Id="rId79" Type="http://schemas.openxmlformats.org/officeDocument/2006/relationships/hyperlink" Target="http://tap.mk.gov.lv/lv/mk/tap/?pid=40488376&amp;mode=mk&amp;date=2020-06-09" TargetMode="External"/><Relationship Id="rId102" Type="http://schemas.openxmlformats.org/officeDocument/2006/relationships/hyperlink" Target="https://likumi.lv/ta/id/320207-par-finansu-lidzeklu-pieskirsanu-no-valsts-budzeta-programmas-lidzekli-neparedzetiem-gadijumiem" TargetMode="External"/><Relationship Id="rId123" Type="http://schemas.openxmlformats.org/officeDocument/2006/relationships/hyperlink" Target="https://likumi.lv/ta/id/316999-par-finansu-lidzeklu-pieskirsanu-no-valsts-budzeta-programmas-lidzekli-neparedzetiem-gadijumiem" TargetMode="External"/><Relationship Id="rId144" Type="http://schemas.openxmlformats.org/officeDocument/2006/relationships/hyperlink" Target="http://tap.mk.gov.lv/lv/mk/tap/?pid=40497627&amp;mode=mk&amp;date=2021-01-28" TargetMode="External"/><Relationship Id="rId90" Type="http://schemas.openxmlformats.org/officeDocument/2006/relationships/hyperlink" Target="https://likumi.lv/ta/id/320208-par-finansu-lidzeklu-pieskirsanu-no-valsts-budzeta-programmas-lidzekli-neparedzetiem-gadijumiem" TargetMode="External"/><Relationship Id="rId165" Type="http://schemas.openxmlformats.org/officeDocument/2006/relationships/hyperlink" Target="http://tap.mk.gov.lv/lv/mk/tap/?pid=40499283&amp;mode=mk&amp;date=2021-03-11" TargetMode="External"/><Relationship Id="rId186" Type="http://schemas.openxmlformats.org/officeDocument/2006/relationships/hyperlink" Target="https://likumi.lv/ta/id/320587-par-finansejuma-sadalijumu-pasvaldibam-covid-19-izraisitas-krizes-parvaresanas-un-seku-noversanas-pasakumu-istenosanai" TargetMode="External"/><Relationship Id="rId27" Type="http://schemas.openxmlformats.org/officeDocument/2006/relationships/hyperlink" Target="http://tap.mk.gov.lv/doc/2020_05/LMnot_290420_Aizbildni_groz.796.docx" TargetMode="External"/><Relationship Id="rId48" Type="http://schemas.openxmlformats.org/officeDocument/2006/relationships/hyperlink" Target="https://likumi.lv/ta/id/318958-par-finansu-lidzeklu-pieskirsanu-no-valsts-budzeta-programmas-020000-lidzekli-neparedzetiem-gadijumiem" TargetMode="External"/><Relationship Id="rId69" Type="http://schemas.openxmlformats.org/officeDocument/2006/relationships/hyperlink" Target="https://likumi.lv/ta/id/320274-grozijumi-ministru-kabineta-2020-gada-24-novembra-noteikumos-nr-709-noteikumi-par-atbalstu-par-dikstavi-nodoklu-maksatajiem-to-..." TargetMode="External"/><Relationship Id="rId113" Type="http://schemas.openxmlformats.org/officeDocument/2006/relationships/hyperlink" Target="http://tap.mk.gov.lv/lv/mk/tap/?pid=40496837&amp;mode=mk&amp;date=2021-01-08" TargetMode="External"/><Relationship Id="rId134" Type="http://schemas.openxmlformats.org/officeDocument/2006/relationships/hyperlink" Target="https://likumi.lv/ta/id/313612-par-finansu-lidzeklu-pieskirsanu-no-valsts-budzeta-programmas-lidzekli-neparedzetiem-gadijumiem" TargetMode="External"/><Relationship Id="rId80" Type="http://schemas.openxmlformats.org/officeDocument/2006/relationships/hyperlink" Target="https://likumi.lv/ta/id/318965-par-finansu-lidzeklu-pieskirsanu-no-valsts-budzeta-programmas-lidzekli-neparedzetiem-gadijumiem" TargetMode="External"/><Relationship Id="rId155" Type="http://schemas.openxmlformats.org/officeDocument/2006/relationships/hyperlink" Target="https://likumi.lv/ta/id/321139-par-finansu-lidzeklu-pieskirsanu-no-valsts-budzeta-programmas-lidzekli-neparedzetiem-gadijumiem" TargetMode="External"/><Relationship Id="rId176" Type="http://schemas.openxmlformats.org/officeDocument/2006/relationships/hyperlink" Target="http://tap.mk.gov.lv/lv/mk/tap/?pid=40498580&amp;mode=mk&amp;date=2021-03-18" TargetMode="External"/><Relationship Id="rId197" Type="http://schemas.openxmlformats.org/officeDocument/2006/relationships/vmlDrawing" Target="../drawings/vmlDrawing4.vml"/><Relationship Id="rId17" Type="http://schemas.openxmlformats.org/officeDocument/2006/relationships/hyperlink" Target="https://likumi.lv/ta/id/313935-grozijumi-ministru-kabineta-2020-gada-26-marta-noteikumos-nr-165-noteikumi-par-covid-19-izraisitas-krizes-skartiem-darba-devejiem" TargetMode="External"/><Relationship Id="rId38" Type="http://schemas.openxmlformats.org/officeDocument/2006/relationships/hyperlink" Target="http://tap.mk.gov.lv/lv/mk/tap/?pid=40488130&amp;mode=mk&amp;date=2020-06-02" TargetMode="External"/><Relationship Id="rId59" Type="http://schemas.openxmlformats.org/officeDocument/2006/relationships/hyperlink" Target="http://tap.mk.gov.lv/lv/mk/tap/?pid=40488130&amp;mode=mk&amp;date=2020-06-02" TargetMode="External"/><Relationship Id="rId103" Type="http://schemas.openxmlformats.org/officeDocument/2006/relationships/hyperlink" Target="https://likumi.lv/ta/id/314711-grozijums-ministru-kabineta-2009-gada-22-decembra-noteikumos-nr-1517-noteikumi-par-gimenes-valsts-pabalstu-un-piemaksam-pie" TargetMode="External"/><Relationship Id="rId124" Type="http://schemas.openxmlformats.org/officeDocument/2006/relationships/hyperlink" Target="https://likumi.lv/ta/id/317243-par-finansu-lidzeklu-pieskirsanu-no-valsts-budzeta-programmas-lidzekli-neparedzetiem-gadijumiem" TargetMode="External"/><Relationship Id="rId70" Type="http://schemas.openxmlformats.org/officeDocument/2006/relationships/hyperlink" Target="https://likumi.lv/ta/id/318434-grozijumi-ministru-kabineta-2020-gada-14-julija-noteikumos-nr-455-covid-19-skarto-turisma-nozares-saimnieciskas-darbibas-veicej..." TargetMode="External"/><Relationship Id="rId91" Type="http://schemas.openxmlformats.org/officeDocument/2006/relationships/hyperlink" Target="https://likumi.lv/ta/id/319437-par-finansu-lidzeklu-pieskirsanu-no-valsts-budzeta-programmas-lidzekli-neparedzetiem-gadijumiem" TargetMode="External"/><Relationship Id="rId145" Type="http://schemas.openxmlformats.org/officeDocument/2006/relationships/hyperlink" Target="https://likumi.lv/ta/id/320588-par-finansu-lidzeklu-pieskirsanu-no-valsts-budzeta-programmas-lidzekli-neparedzetiem-gadijumiem" TargetMode="External"/><Relationship Id="rId166" Type="http://schemas.openxmlformats.org/officeDocument/2006/relationships/hyperlink" Target="http://tap.mk.gov.lv/lv/mk/tap/?pid=40499682&amp;mode=mk&amp;date=2021-03-18" TargetMode="External"/><Relationship Id="rId187" Type="http://schemas.openxmlformats.org/officeDocument/2006/relationships/hyperlink" Target="http://tap.mk.gov.lv/lv/mk/tap/?pid=40499551&amp;mode=mk&amp;date=2021-03-18" TargetMode="External"/><Relationship Id="rId1" Type="http://schemas.openxmlformats.org/officeDocument/2006/relationships/hyperlink" Target="https://likumi.lv/ta/id/313430-grozijumi-ministru-kabineta-2020-gada-19-marta-noteikumos-nr-149-noteikumi-par-apgrozamo-lidzeklu-aizdevumiem-saimnieciskas-dar..." TargetMode="External"/><Relationship Id="rId28" Type="http://schemas.openxmlformats.org/officeDocument/2006/relationships/hyperlink" Target="https://likumi.lv/ta/id/314475-par-finansu-lidzeklu-pieskirsanu-no-valsts-budzeta-programmas-lidzekli-neparedzetiem-gadijumiem" TargetMode="External"/><Relationship Id="rId49" Type="http://schemas.openxmlformats.org/officeDocument/2006/relationships/hyperlink" Target="http://tap.mk.gov.lv/lv/mk/tap/?pid=40489541&amp;mode=mk&amp;date=2020-07-14" TargetMode="External"/><Relationship Id="rId114" Type="http://schemas.openxmlformats.org/officeDocument/2006/relationships/hyperlink" Target="http://tap.mk.gov.lv/mk/mksedes/saraksts/darbakartiba/?sede=1187" TargetMode="External"/><Relationship Id="rId60" Type="http://schemas.openxmlformats.org/officeDocument/2006/relationships/hyperlink" Target="https://likumi.lv/ta/id/317703-par-finansu-lidzeklu-pieskirsanu-no-valsts-budzeta-programmas-lidzekli-neparedzetiem-gadijumiem" TargetMode="External"/><Relationship Id="rId81" Type="http://schemas.openxmlformats.org/officeDocument/2006/relationships/hyperlink" Target="http://tap.mk.gov.lv/mk/mksedes/saraksts/protokols/?protokols=2020-12-01" TargetMode="External"/><Relationship Id="rId135" Type="http://schemas.openxmlformats.org/officeDocument/2006/relationships/hyperlink" Target="https://likumi.lv/ta/id/313377-grozijums-likuma-par-maternitates-un-slimibas-apdrosinasanu-" TargetMode="External"/><Relationship Id="rId156" Type="http://schemas.openxmlformats.org/officeDocument/2006/relationships/hyperlink" Target="https://likumi.lv/ta/id/321223-par-finansu-lidzeklu-pieskirsanu-no-valsts-budzeta-programmas-lidzekli-neparedzetiem-gadijumiem" TargetMode="External"/><Relationship Id="rId177" Type="http://schemas.openxmlformats.org/officeDocument/2006/relationships/hyperlink" Target="http://tap.mk.gov.lv/lv/mk/tap/?pid=40498580&amp;mode=mk&amp;date=2021-03-18" TargetMode="External"/><Relationship Id="rId198" Type="http://schemas.openxmlformats.org/officeDocument/2006/relationships/comments" Target="../comments4.xml"/><Relationship Id="rId18" Type="http://schemas.openxmlformats.org/officeDocument/2006/relationships/hyperlink" Target="https://likumi.lv/ta/id/313434-par-valsts-akciju-sabiedribas-latvijas-gaisa-satiksme-pamatkapitala-palielinasanu" TargetMode="External"/><Relationship Id="rId39" Type="http://schemas.openxmlformats.org/officeDocument/2006/relationships/hyperlink" Target="https://likumi.lv/ta/id/314435-par-finansu-lidzeklu-pieskirsanu-no-valsts-budzeta-programmas-lidzekli-neparedzetiem-gadijumiem" TargetMode="External"/><Relationship Id="rId50" Type="http://schemas.openxmlformats.org/officeDocument/2006/relationships/hyperlink" Target="https://likumi.lv/ta/id/316119-noteikumi-par-garantijam-lielajiem-komersantiem-kuru-darbibu-ietekmejusi-covid-19-izplatiba" TargetMode="External"/><Relationship Id="rId104" Type="http://schemas.openxmlformats.org/officeDocument/2006/relationships/hyperlink" Target="https://likumi.lv/ta/id/315852-par-finansu-lidzeklu-pieskirsanu-no-valsts-budzeta-programmas-lidzekli-neparedzetiem-gadijumiem" TargetMode="External"/><Relationship Id="rId125" Type="http://schemas.openxmlformats.org/officeDocument/2006/relationships/hyperlink" Target="https://likumi.lv/ta/id/317373-par-finansu-lidzeklu-pieskirsanu-no-valsts-budzeta-programmas-lidzekli-neparedzetiem-gadijumiem" TargetMode="External"/><Relationship Id="rId146" Type="http://schemas.openxmlformats.org/officeDocument/2006/relationships/hyperlink" Target="http://tap.mk.gov.lv/lv/mk/tap/?pid=40498001&amp;mode=mk&amp;date=2021-02-05" TargetMode="External"/><Relationship Id="rId167" Type="http://schemas.openxmlformats.org/officeDocument/2006/relationships/hyperlink" Target="https://likumi.lv/ta/id/320625-par-finansu-lidzeklu-pieskirsanu-no-valsts-budzeta-programmas-lidzekli-neparedzetiem-gadijumiem" TargetMode="External"/><Relationship Id="rId188" Type="http://schemas.openxmlformats.org/officeDocument/2006/relationships/hyperlink" Target="https://likumi.lv/ta/id/322460-par-finansu-lidzeklu-pieskirsanu-no-valsts-budzeta-programmas-lidzekli-neparedzetiem-gadijumie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vestnesis.lv/op/2022/83B.1"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hyperlink" Target="https://www.vestnesis.lv/op/2022/83B.1"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9CDB1-9874-418A-BA20-861D1347817C}">
  <sheetPr>
    <tabColor rgb="FF00B0F0"/>
  </sheetPr>
  <dimension ref="A1:N17"/>
  <sheetViews>
    <sheetView tabSelected="1" zoomScale="90" zoomScaleNormal="90" workbookViewId="0">
      <selection activeCell="P12" sqref="P12"/>
    </sheetView>
  </sheetViews>
  <sheetFormatPr defaultColWidth="8.7109375" defaultRowHeight="15" x14ac:dyDescent="0.25"/>
  <cols>
    <col min="1" max="1" width="2.28515625" style="925" customWidth="1"/>
    <col min="2" max="2" width="19.140625" style="925" customWidth="1"/>
    <col min="3" max="6" width="8" style="925" customWidth="1"/>
    <col min="7" max="7" width="11.42578125" style="925" customWidth="1"/>
    <col min="8" max="8" width="8.7109375" style="925"/>
    <col min="9" max="9" width="23.28515625" style="925" customWidth="1"/>
    <col min="10" max="10" width="9" style="925" customWidth="1"/>
    <col min="11" max="11" width="7.42578125" style="925" customWidth="1"/>
    <col min="12" max="12" width="7.5703125" style="925" customWidth="1"/>
    <col min="13" max="13" width="12.28515625" style="925" customWidth="1"/>
    <col min="14" max="14" width="12.42578125" style="925" customWidth="1"/>
    <col min="15" max="16384" width="8.7109375" style="925"/>
  </cols>
  <sheetData>
    <row r="1" spans="1:14" x14ac:dyDescent="0.25">
      <c r="B1" s="926" t="s">
        <v>2390</v>
      </c>
    </row>
    <row r="3" spans="1:14" x14ac:dyDescent="0.25">
      <c r="B3" s="927" t="s">
        <v>2144</v>
      </c>
      <c r="I3" s="927" t="s">
        <v>2145</v>
      </c>
    </row>
    <row r="4" spans="1:14" ht="18.75" customHeight="1" x14ac:dyDescent="0.25">
      <c r="B4" s="907"/>
      <c r="C4" s="908">
        <v>2020</v>
      </c>
      <c r="D4" s="908">
        <v>2021</v>
      </c>
      <c r="E4" s="908">
        <v>2022</v>
      </c>
      <c r="F4" s="1082">
        <v>2023</v>
      </c>
      <c r="G4" s="1083"/>
      <c r="I4" s="907"/>
      <c r="J4" s="908">
        <v>2020</v>
      </c>
      <c r="K4" s="908">
        <v>2021</v>
      </c>
      <c r="L4" s="908">
        <v>2022</v>
      </c>
      <c r="M4" s="1082">
        <v>2023</v>
      </c>
      <c r="N4" s="1083"/>
    </row>
    <row r="5" spans="1:14" ht="45" x14ac:dyDescent="0.25">
      <c r="B5" s="909"/>
      <c r="C5" s="910" t="s">
        <v>1954</v>
      </c>
      <c r="D5" s="910" t="s">
        <v>1954</v>
      </c>
      <c r="E5" s="910" t="s">
        <v>1954</v>
      </c>
      <c r="F5" s="912" t="s">
        <v>524</v>
      </c>
      <c r="G5" s="1059" t="s">
        <v>2383</v>
      </c>
      <c r="I5" s="909"/>
      <c r="J5" s="910" t="s">
        <v>1954</v>
      </c>
      <c r="K5" s="910" t="s">
        <v>1954</v>
      </c>
      <c r="L5" s="910" t="s">
        <v>1954</v>
      </c>
      <c r="M5" s="911" t="s">
        <v>2271</v>
      </c>
      <c r="N5" s="1059" t="s">
        <v>2383</v>
      </c>
    </row>
    <row r="6" spans="1:14" x14ac:dyDescent="0.25">
      <c r="B6" s="1084" t="s">
        <v>2234</v>
      </c>
      <c r="C6" s="913">
        <f>'Covid-19'!B7</f>
        <v>1281.6858186900001</v>
      </c>
      <c r="D6" s="913">
        <f>'Covid-19'!D7</f>
        <v>2315.1273903029</v>
      </c>
      <c r="E6" s="1077">
        <f>'Covid-19'!F7</f>
        <v>965.88075563999985</v>
      </c>
      <c r="F6" s="1077">
        <f>'Covid-19'!H7</f>
        <v>100.80846314999999</v>
      </c>
      <c r="G6" s="1078">
        <f>'Covid-19'!J7</f>
        <v>0.59044363</v>
      </c>
      <c r="I6" s="1084" t="s">
        <v>2234</v>
      </c>
      <c r="J6" s="913">
        <f>'Covid-19'!C7</f>
        <v>-960.77715680799997</v>
      </c>
      <c r="K6" s="913">
        <f>'Covid-19'!E7</f>
        <v>-2102.778497035446</v>
      </c>
      <c r="L6" s="1077">
        <f>'Covid-19'!G7</f>
        <v>-796.40862290312305</v>
      </c>
      <c r="M6" s="1077">
        <f>'Covid-19'!I7</f>
        <v>-132.69533600087681</v>
      </c>
      <c r="N6" s="1078">
        <f>'Covid-19'!K7</f>
        <v>-0.59044363</v>
      </c>
    </row>
    <row r="7" spans="1:14" x14ac:dyDescent="0.25">
      <c r="B7" s="1085"/>
      <c r="C7" s="916">
        <f>C6/C14</f>
        <v>4.2308177025880835E-2</v>
      </c>
      <c r="D7" s="916">
        <f>D6/D14</f>
        <v>6.8928081726369744E-2</v>
      </c>
      <c r="E7" s="916">
        <f>E6/E14</f>
        <v>2.4715011247102243E-2</v>
      </c>
      <c r="F7" s="916">
        <f>F6/F14</f>
        <v>2.3101504587688406E-3</v>
      </c>
      <c r="G7" s="917">
        <f>G6/G14</f>
        <v>1.3530745138848391E-5</v>
      </c>
      <c r="I7" s="1085"/>
      <c r="J7" s="916">
        <f>J6/J14</f>
        <v>-3.1715050162763013E-2</v>
      </c>
      <c r="K7" s="916">
        <f>K6/K14</f>
        <v>-6.260583702789195E-2</v>
      </c>
      <c r="L7" s="916">
        <f>L6/L14</f>
        <v>-2.0378548757085058E-2</v>
      </c>
      <c r="M7" s="916">
        <f>M6/M14</f>
        <v>-3.0408775390492701E-3</v>
      </c>
      <c r="N7" s="917">
        <f>N6/N14</f>
        <v>-1.3530745138848391E-5</v>
      </c>
    </row>
    <row r="8" spans="1:14" x14ac:dyDescent="0.25">
      <c r="B8" s="1084" t="s">
        <v>2146</v>
      </c>
      <c r="C8" s="918"/>
      <c r="D8" s="919">
        <f>'Energo atbalsts'!C6</f>
        <v>1.8805700000000001</v>
      </c>
      <c r="E8" s="914">
        <f>'Energo atbalsts'!F6</f>
        <v>603.54405190000011</v>
      </c>
      <c r="F8" s="914">
        <f>'Energo atbalsts'!G6</f>
        <v>621.568939</v>
      </c>
      <c r="G8" s="915">
        <f>'Energo atbalsts'!H6</f>
        <v>199.46437569000003</v>
      </c>
      <c r="I8" s="1084" t="s">
        <v>2146</v>
      </c>
      <c r="J8" s="918"/>
      <c r="K8" s="919">
        <f>-'Energo atbalsts'!C6</f>
        <v>-1.8805700000000001</v>
      </c>
      <c r="L8" s="914">
        <f>-'Energo atbalsts'!F6</f>
        <v>-603.54405190000011</v>
      </c>
      <c r="M8" s="914">
        <f>-'Energo atbalsts'!G6</f>
        <v>-621.568939</v>
      </c>
      <c r="N8" s="915">
        <f>-'Energo atbalsts'!H6</f>
        <v>-199.46437569000003</v>
      </c>
    </row>
    <row r="9" spans="1:14" x14ac:dyDescent="0.25">
      <c r="B9" s="1085"/>
      <c r="C9" s="920"/>
      <c r="D9" s="916">
        <f>D8/D14</f>
        <v>5.5990043224014453E-5</v>
      </c>
      <c r="E9" s="916">
        <f>E8/E14</f>
        <v>1.5443519237471828E-2</v>
      </c>
      <c r="F9" s="916">
        <f>F8/F14</f>
        <v>1.4244020042748877E-2</v>
      </c>
      <c r="G9" s="917">
        <f>G8/G14</f>
        <v>4.5709725613279914E-3</v>
      </c>
      <c r="I9" s="1085"/>
      <c r="J9" s="920"/>
      <c r="K9" s="916">
        <f>K8/K14</f>
        <v>-5.5990043224014453E-5</v>
      </c>
      <c r="L9" s="916">
        <f>L8/L14</f>
        <v>-1.5443519237471828E-2</v>
      </c>
      <c r="M9" s="916">
        <f>M8/M14</f>
        <v>-1.4244020042748877E-2</v>
      </c>
      <c r="N9" s="917">
        <f>N8/N14</f>
        <v>-4.5709725613279914E-3</v>
      </c>
    </row>
    <row r="10" spans="1:14" x14ac:dyDescent="0.25">
      <c r="B10" s="1084" t="s">
        <v>2147</v>
      </c>
      <c r="C10" s="921"/>
      <c r="D10" s="921"/>
      <c r="E10" s="914">
        <f>'Atbalsts Ukrainai'!C9</f>
        <v>81.010131999999984</v>
      </c>
      <c r="F10" s="914">
        <f>'Atbalsts Ukrainai'!D9</f>
        <v>102</v>
      </c>
      <c r="G10" s="915">
        <f>'Atbalsts Ukrainai'!E9</f>
        <v>11.636780999999999</v>
      </c>
      <c r="I10" s="1084" t="s">
        <v>2147</v>
      </c>
      <c r="J10" s="921"/>
      <c r="K10" s="921"/>
      <c r="L10" s="914">
        <f>-'Atbalsts Ukrainai'!C9</f>
        <v>-81.010131999999984</v>
      </c>
      <c r="M10" s="914">
        <f>-'Atbalsts Ukrainai'!D9</f>
        <v>-102</v>
      </c>
      <c r="N10" s="915">
        <f>-'Atbalsts Ukrainai'!E9</f>
        <v>-11.636780999999999</v>
      </c>
    </row>
    <row r="11" spans="1:14" x14ac:dyDescent="0.25">
      <c r="B11" s="1085"/>
      <c r="C11" s="920"/>
      <c r="D11" s="920"/>
      <c r="E11" s="916">
        <f>E10/E14</f>
        <v>2.0728918262612932E-3</v>
      </c>
      <c r="F11" s="916">
        <f>F10/F14</f>
        <v>2.3374559975565083E-3</v>
      </c>
      <c r="G11" s="916">
        <f>G10/G14</f>
        <v>2.6667121118334919E-4</v>
      </c>
      <c r="I11" s="1085"/>
      <c r="J11" s="920"/>
      <c r="K11" s="920"/>
      <c r="L11" s="916">
        <f>L10/L14</f>
        <v>-2.0728918262612932E-3</v>
      </c>
      <c r="M11" s="916">
        <f>M10/M14</f>
        <v>-2.3374559975565083E-3</v>
      </c>
      <c r="N11" s="916">
        <f>N10/N14</f>
        <v>-2.6667121118334919E-4</v>
      </c>
    </row>
    <row r="12" spans="1:14" ht="32.1" customHeight="1" x14ac:dyDescent="0.25">
      <c r="B12" s="1060" t="s">
        <v>2148</v>
      </c>
      <c r="C12" s="1061">
        <f>C6+C8+C10</f>
        <v>1281.6858186900001</v>
      </c>
      <c r="D12" s="1061">
        <f>D6+D8+D10</f>
        <v>2317.0079603028998</v>
      </c>
      <c r="E12" s="1062">
        <f>E6+E8+E10</f>
        <v>1650.43493954</v>
      </c>
      <c r="F12" s="1062">
        <f>F6+F8+F10</f>
        <v>824.37740214999997</v>
      </c>
      <c r="G12" s="1063">
        <f>G6+G8+G10</f>
        <v>211.69160032000002</v>
      </c>
      <c r="I12" s="1064" t="s">
        <v>2149</v>
      </c>
      <c r="J12" s="1061">
        <f>J6+J8+J10</f>
        <v>-960.77715680799997</v>
      </c>
      <c r="K12" s="1061">
        <f>K6+K8+K10</f>
        <v>-2104.6590670354458</v>
      </c>
      <c r="L12" s="1062">
        <f>L6+L8+L10</f>
        <v>-1480.9628068031229</v>
      </c>
      <c r="M12" s="1062">
        <f t="shared" ref="M12" si="0">M6+M8+M10</f>
        <v>-856.26427500087675</v>
      </c>
      <c r="N12" s="1063">
        <f>N6+N8+N10</f>
        <v>-211.69160032000002</v>
      </c>
    </row>
    <row r="13" spans="1:14" ht="15.75" x14ac:dyDescent="0.25">
      <c r="B13" s="922" t="s">
        <v>2150</v>
      </c>
      <c r="C13" s="923">
        <f>C12/C14</f>
        <v>4.2308177025880835E-2</v>
      </c>
      <c r="D13" s="923">
        <f>D12/D14</f>
        <v>6.8984071769593758E-2</v>
      </c>
      <c r="E13" s="923">
        <f>E12/E14</f>
        <v>4.2231422310835369E-2</v>
      </c>
      <c r="F13" s="923">
        <f>F12/F14</f>
        <v>1.8891626499074225E-2</v>
      </c>
      <c r="G13" s="924">
        <f>G12/G14</f>
        <v>4.851174517650189E-3</v>
      </c>
      <c r="I13" s="922" t="s">
        <v>2150</v>
      </c>
      <c r="J13" s="923">
        <f>J12/J14</f>
        <v>-3.1715050162763013E-2</v>
      </c>
      <c r="K13" s="923">
        <f>K12/K14</f>
        <v>-6.2661827071115964E-2</v>
      </c>
      <c r="L13" s="923">
        <f>L12/L14</f>
        <v>-3.7894959820818176E-2</v>
      </c>
      <c r="M13" s="923">
        <f>M12/M14</f>
        <v>-1.9622353579354653E-2</v>
      </c>
      <c r="N13" s="924">
        <f>N12/N14</f>
        <v>-4.851174517650189E-3</v>
      </c>
    </row>
    <row r="14" spans="1:14" x14ac:dyDescent="0.25">
      <c r="A14" s="928"/>
      <c r="B14" s="929" t="s">
        <v>2399</v>
      </c>
      <c r="C14" s="930">
        <v>30294.044999999998</v>
      </c>
      <c r="D14" s="930">
        <v>33587.578999999998</v>
      </c>
      <c r="E14" s="931">
        <v>39080.733</v>
      </c>
      <c r="F14" s="931">
        <v>43637.185087816455</v>
      </c>
      <c r="G14" s="931">
        <v>43637.185087816455</v>
      </c>
      <c r="I14" s="929" t="str">
        <f>B14</f>
        <v>IKP (marts 2023)</v>
      </c>
      <c r="J14" s="1079">
        <f t="shared" ref="J14:N14" si="1">C14</f>
        <v>30294.044999999998</v>
      </c>
      <c r="K14" s="1079">
        <f t="shared" si="1"/>
        <v>33587.578999999998</v>
      </c>
      <c r="L14" s="1079">
        <f t="shared" si="1"/>
        <v>39080.733</v>
      </c>
      <c r="M14" s="1079">
        <f t="shared" si="1"/>
        <v>43637.185087816455</v>
      </c>
      <c r="N14" s="1079">
        <f t="shared" si="1"/>
        <v>43637.185087816455</v>
      </c>
    </row>
    <row r="16" spans="1:14" x14ac:dyDescent="0.25">
      <c r="B16" s="926" t="s">
        <v>2391</v>
      </c>
    </row>
    <row r="17" spans="2:2" ht="15.75" x14ac:dyDescent="0.25">
      <c r="B17" s="932"/>
    </row>
  </sheetData>
  <mergeCells count="8">
    <mergeCell ref="F4:G4"/>
    <mergeCell ref="M4:N4"/>
    <mergeCell ref="B6:B7"/>
    <mergeCell ref="B8:B9"/>
    <mergeCell ref="B10:B11"/>
    <mergeCell ref="I6:I7"/>
    <mergeCell ref="I8:I9"/>
    <mergeCell ref="I10:I11"/>
  </mergeCells>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511"/>
  <sheetViews>
    <sheetView view="pageBreakPreview" zoomScale="50" zoomScaleNormal="60" zoomScaleSheetLayoutView="50" workbookViewId="0">
      <selection activeCell="AX21" sqref="AX21"/>
    </sheetView>
  </sheetViews>
  <sheetFormatPr defaultColWidth="9.140625" defaultRowHeight="15" outlineLevelRow="1" outlineLevelCol="2" x14ac:dyDescent="0.25"/>
  <cols>
    <col min="1" max="1" width="12.7109375" customWidth="1"/>
    <col min="2" max="2" width="85.5703125" customWidth="1"/>
    <col min="3" max="3" width="21.7109375" hidden="1" customWidth="1" outlineLevel="1"/>
    <col min="4" max="4" width="16.5703125" hidden="1" customWidth="1" outlineLevel="1"/>
    <col min="5" max="5" width="47" hidden="1" customWidth="1" outlineLevel="1"/>
    <col min="6" max="6" width="45.5703125" hidden="1" customWidth="1" outlineLevel="1"/>
    <col min="7" max="7" width="12" hidden="1" customWidth="1" outlineLevel="1"/>
    <col min="8" max="8" width="13.85546875" hidden="1" customWidth="1" outlineLevel="1"/>
    <col min="9" max="9" width="2.5703125" customWidth="1" collapsed="1"/>
    <col min="10" max="10" width="12.85546875" style="2" hidden="1" customWidth="1" outlineLevel="2"/>
    <col min="11" max="11" width="9.42578125" style="2" hidden="1" customWidth="1" outlineLevel="1" collapsed="1"/>
    <col min="12" max="13" width="14.5703125" style="2" hidden="1" customWidth="1" outlineLevel="2"/>
    <col min="14" max="14" width="14.5703125" style="2" hidden="1" customWidth="1" outlineLevel="1" collapsed="1"/>
    <col min="15" max="16" width="14.5703125" style="2" hidden="1" customWidth="1" outlineLevel="2"/>
    <col min="17" max="17" width="14.5703125" style="2" hidden="1" customWidth="1" outlineLevel="1" collapsed="1"/>
    <col min="18" max="18" width="14.5703125" style="2" hidden="1" customWidth="1" outlineLevel="1"/>
    <col min="19" max="19" width="14.140625" style="2" hidden="1" customWidth="1" outlineLevel="1"/>
    <col min="20" max="20" width="13.5703125" hidden="1" customWidth="1" outlineLevel="2"/>
    <col min="21" max="21" width="10.42578125" hidden="1" customWidth="1" outlineLevel="1" collapsed="1"/>
    <col min="22" max="22" width="10.5703125" hidden="1" customWidth="1" outlineLevel="2"/>
    <col min="23" max="25" width="16.5703125" hidden="1" customWidth="1" outlineLevel="2"/>
    <col min="26" max="26" width="11.7109375" hidden="1" customWidth="1" outlineLevel="1" collapsed="1"/>
    <col min="27" max="27" width="10.42578125" hidden="1" customWidth="1" outlineLevel="2"/>
    <col min="28" max="32" width="12.42578125" hidden="1" customWidth="1" outlineLevel="2"/>
    <col min="33" max="33" width="12.42578125" hidden="1" customWidth="1" outlineLevel="1" collapsed="1"/>
    <col min="34" max="36" width="12.42578125" hidden="1" customWidth="1" outlineLevel="2"/>
    <col min="37" max="37" width="12.42578125" hidden="1" customWidth="1" outlineLevel="1" collapsed="1"/>
    <col min="38" max="40" width="10.85546875" hidden="1" customWidth="1" outlineLevel="1"/>
    <col min="41" max="41" width="3.140625" style="31" customWidth="1" collapsed="1"/>
    <col min="42" max="42" width="15.140625" style="2" hidden="1" customWidth="1" outlineLevel="2"/>
    <col min="43" max="43" width="13.5703125" style="2" hidden="1" customWidth="1" outlineLevel="2"/>
    <col min="44" max="44" width="14.85546875" style="2" customWidth="1" outlineLevel="1" collapsed="1"/>
    <col min="45" max="46" width="14.85546875" style="2" hidden="1" customWidth="1" outlineLevel="2"/>
    <col min="47" max="47" width="14.85546875" style="952" customWidth="1" outlineLevel="1" collapsed="1"/>
    <col min="48" max="48" width="14.85546875" style="952" hidden="1" customWidth="1" outlineLevel="2"/>
    <col min="49" max="49" width="14.85546875" style="2" hidden="1" customWidth="1" outlineLevel="2"/>
    <col min="50" max="50" width="14.85546875" style="2" customWidth="1" outlineLevel="1" collapsed="1"/>
    <col min="51" max="51" width="14.85546875" style="2" customWidth="1" outlineLevel="1"/>
    <col min="52" max="52" width="15.140625" style="2" customWidth="1" outlineLevel="1"/>
    <col min="53" max="53" width="13.5703125" hidden="1" customWidth="1" outlineLevel="2"/>
    <col min="54" max="54" width="13.140625" customWidth="1" outlineLevel="1" collapsed="1"/>
    <col min="55" max="55" width="12.140625" hidden="1" customWidth="1" outlineLevel="2"/>
    <col min="56" max="57" width="16.140625" hidden="1" customWidth="1" outlineLevel="2"/>
    <col min="58" max="58" width="14.42578125" hidden="1" customWidth="1" outlineLevel="2"/>
    <col min="59" max="59" width="14.42578125" style="956" customWidth="1" outlineLevel="1" collapsed="1"/>
    <col min="60" max="60" width="13.28515625" style="956" hidden="1" customWidth="1" outlineLevel="2"/>
    <col min="61" max="62" width="11.42578125" hidden="1" customWidth="1" outlineLevel="2"/>
    <col min="63" max="65" width="14" hidden="1" customWidth="1" outlineLevel="2"/>
    <col min="66" max="66" width="14" customWidth="1" outlineLevel="1" collapsed="1"/>
    <col min="67" max="67" width="12.140625" style="956" customWidth="1" outlineLevel="1"/>
    <col min="68" max="68" width="14.42578125" style="956" hidden="1" customWidth="1" outlineLevel="2"/>
    <col min="69" max="69" width="14.42578125" hidden="1" customWidth="1" outlineLevel="2"/>
    <col min="70" max="70" width="14.42578125" customWidth="1" outlineLevel="1" collapsed="1"/>
    <col min="71" max="73" width="9.140625" customWidth="1" outlineLevel="1"/>
    <col min="74" max="74" width="13.85546875" style="4" customWidth="1"/>
    <col min="75" max="75" width="16.5703125" style="945" customWidth="1"/>
    <col min="76" max="76" width="89.140625" hidden="1" customWidth="1" outlineLevel="1"/>
    <col min="77" max="77" width="9.140625" collapsed="1"/>
    <col min="78" max="78" width="13" customWidth="1"/>
  </cols>
  <sheetData>
    <row r="1" spans="1:76" ht="18.75" x14ac:dyDescent="0.3">
      <c r="A1" s="30"/>
      <c r="B1" s="30"/>
      <c r="C1" s="30"/>
      <c r="D1" s="30"/>
      <c r="E1" s="30"/>
      <c r="F1" s="1329"/>
      <c r="G1" s="1329"/>
      <c r="H1" s="1329"/>
      <c r="I1" s="1329"/>
      <c r="J1" s="1329"/>
      <c r="K1" s="1329"/>
      <c r="L1" s="1329"/>
      <c r="M1" s="1329"/>
      <c r="N1" s="1329"/>
      <c r="O1" s="1329"/>
      <c r="P1" s="1329"/>
      <c r="Q1" s="1329"/>
      <c r="R1" s="1329"/>
      <c r="S1" s="1329"/>
      <c r="T1" s="1329"/>
      <c r="U1" s="1329"/>
      <c r="V1" s="1329"/>
      <c r="W1" s="1329"/>
      <c r="X1" s="1329"/>
      <c r="Y1" s="1329"/>
      <c r="Z1" s="1329"/>
      <c r="AA1" s="1329"/>
      <c r="AB1" s="1329"/>
      <c r="AC1" s="1329"/>
      <c r="AD1" s="1329"/>
      <c r="AE1" s="1329"/>
      <c r="AF1" s="1329"/>
      <c r="AG1" s="1329"/>
      <c r="AH1" s="1329"/>
      <c r="AI1" s="1329"/>
      <c r="AJ1" s="1329"/>
      <c r="AK1" s="1329"/>
      <c r="AL1" s="1329"/>
      <c r="AM1" s="1329"/>
      <c r="AN1" s="1329"/>
      <c r="AO1" s="1329"/>
      <c r="AP1" s="1329"/>
      <c r="AQ1" s="1329"/>
      <c r="AR1" s="1329"/>
      <c r="AS1" s="1329"/>
      <c r="AT1" s="1329"/>
      <c r="AU1" s="1329"/>
      <c r="AV1" s="1329"/>
      <c r="AW1" s="1329"/>
      <c r="AX1" s="1329"/>
      <c r="AY1" s="1329"/>
      <c r="AZ1" s="1329"/>
      <c r="BA1" s="1329"/>
      <c r="BB1" s="1329"/>
      <c r="BC1" s="1329"/>
      <c r="BD1" s="1329"/>
      <c r="BE1" s="1329"/>
      <c r="BF1" s="1329"/>
      <c r="BG1" s="1329"/>
      <c r="BH1" s="1329"/>
      <c r="BI1" s="1329"/>
      <c r="BJ1" s="1329"/>
      <c r="BK1" s="1329"/>
      <c r="BL1" s="1329"/>
      <c r="BM1" s="1329"/>
      <c r="BN1" s="1329"/>
      <c r="BO1" s="1329"/>
      <c r="BP1" s="1329"/>
      <c r="BQ1" s="1329"/>
      <c r="BR1" s="1329"/>
      <c r="BS1" s="1329"/>
      <c r="BT1" s="1329"/>
      <c r="BU1" s="1329"/>
      <c r="BV1" s="1329"/>
      <c r="BW1" s="941"/>
      <c r="BX1" s="258"/>
    </row>
    <row r="2" spans="1:76" ht="21.75" thickBot="1" x14ac:dyDescent="0.3">
      <c r="A2" s="1330" t="s">
        <v>16</v>
      </c>
      <c r="B2" s="1330"/>
      <c r="C2" s="1330"/>
      <c r="D2" s="1330"/>
      <c r="E2" s="1330"/>
      <c r="F2" s="1330"/>
      <c r="G2" s="1330"/>
      <c r="H2" s="1330"/>
      <c r="I2" s="1330"/>
      <c r="J2" s="1330"/>
      <c r="K2" s="1330"/>
      <c r="L2" s="1330"/>
      <c r="M2" s="1330"/>
      <c r="N2" s="1330"/>
      <c r="O2" s="1330"/>
      <c r="P2" s="1330"/>
      <c r="Q2" s="1330"/>
      <c r="R2" s="1330"/>
      <c r="S2" s="1330"/>
      <c r="T2" s="1330"/>
      <c r="U2" s="1330"/>
      <c r="V2" s="1330"/>
      <c r="W2" s="1330"/>
      <c r="X2" s="1330"/>
      <c r="Y2" s="1330"/>
      <c r="Z2" s="1330"/>
      <c r="AA2" s="1330"/>
      <c r="AB2" s="1330"/>
      <c r="AC2" s="1330"/>
      <c r="AD2" s="1330"/>
      <c r="AE2" s="1330"/>
      <c r="AF2" s="1330"/>
      <c r="AG2" s="1330"/>
      <c r="AH2" s="1330"/>
      <c r="AI2" s="1330"/>
      <c r="AJ2" s="1330"/>
      <c r="AK2" s="1330"/>
      <c r="AL2" s="1330"/>
      <c r="AM2" s="1330"/>
      <c r="AN2" s="1330"/>
      <c r="AO2" s="1330"/>
      <c r="AP2" s="1330"/>
      <c r="AQ2" s="1330"/>
      <c r="AR2" s="1330"/>
      <c r="AS2" s="1330"/>
      <c r="AT2" s="1330"/>
      <c r="AU2" s="1330"/>
      <c r="AV2" s="1330"/>
      <c r="AW2" s="1330"/>
      <c r="AX2" s="1330"/>
      <c r="AY2" s="1330"/>
      <c r="AZ2" s="1330"/>
      <c r="BA2" s="1330"/>
      <c r="BB2" s="1330"/>
      <c r="BC2" s="1330"/>
      <c r="BD2" s="1330"/>
      <c r="BE2" s="1330"/>
      <c r="BF2" s="1330"/>
      <c r="BG2" s="1330"/>
      <c r="BH2" s="1330"/>
      <c r="BI2" s="1330"/>
      <c r="BJ2" s="1330"/>
      <c r="BK2" s="1330"/>
      <c r="BL2" s="1330"/>
      <c r="BM2" s="1330"/>
      <c r="BN2" s="1330"/>
      <c r="BO2" s="1330"/>
      <c r="BP2" s="1330"/>
      <c r="BQ2" s="1330"/>
      <c r="BR2" s="1330"/>
      <c r="BS2" s="1330"/>
      <c r="BT2" s="1330"/>
      <c r="BU2" s="1330"/>
      <c r="BV2" s="1330"/>
      <c r="BW2" s="1330"/>
      <c r="BX2" s="1330"/>
    </row>
    <row r="3" spans="1:76" ht="15.6" customHeight="1" x14ac:dyDescent="0.25">
      <c r="A3" s="1331" t="s">
        <v>0</v>
      </c>
      <c r="B3" s="1188" t="s">
        <v>1700</v>
      </c>
      <c r="C3" s="1333" t="s">
        <v>6</v>
      </c>
      <c r="D3" s="1190" t="s">
        <v>3</v>
      </c>
      <c r="E3" s="1188" t="s">
        <v>17</v>
      </c>
      <c r="F3" s="1331" t="s">
        <v>1</v>
      </c>
      <c r="G3" s="1190" t="s">
        <v>20</v>
      </c>
      <c r="H3" s="1188" t="s">
        <v>18</v>
      </c>
      <c r="I3" s="1187"/>
      <c r="J3" s="1336" t="s">
        <v>523</v>
      </c>
      <c r="K3" s="1337"/>
      <c r="L3" s="1337"/>
      <c r="M3" s="1337"/>
      <c r="N3" s="1337"/>
      <c r="O3" s="1337"/>
      <c r="P3" s="1337"/>
      <c r="Q3" s="1337"/>
      <c r="R3" s="1337"/>
      <c r="S3" s="1338"/>
      <c r="T3" s="1378" t="s">
        <v>1711</v>
      </c>
      <c r="U3" s="1379"/>
      <c r="V3" s="1379"/>
      <c r="W3" s="1379"/>
      <c r="X3" s="1379"/>
      <c r="Y3" s="1379"/>
      <c r="Z3" s="1379"/>
      <c r="AA3" s="1379"/>
      <c r="AB3" s="1379"/>
      <c r="AC3" s="1379"/>
      <c r="AD3" s="1379"/>
      <c r="AE3" s="1379"/>
      <c r="AF3" s="1379"/>
      <c r="AG3" s="1379"/>
      <c r="AH3" s="1379"/>
      <c r="AI3" s="1379"/>
      <c r="AJ3" s="1379"/>
      <c r="AK3" s="1379"/>
      <c r="AL3" s="1379"/>
      <c r="AM3" s="1379"/>
      <c r="AN3" s="1380"/>
      <c r="AO3" s="279"/>
      <c r="AP3" s="1342" t="s">
        <v>522</v>
      </c>
      <c r="AQ3" s="1343"/>
      <c r="AR3" s="1343"/>
      <c r="AS3" s="1343"/>
      <c r="AT3" s="1343"/>
      <c r="AU3" s="1343"/>
      <c r="AV3" s="1343"/>
      <c r="AW3" s="1343"/>
      <c r="AX3" s="1343"/>
      <c r="AY3" s="1343"/>
      <c r="AZ3" s="1344"/>
      <c r="BA3" s="1359" t="s">
        <v>1712</v>
      </c>
      <c r="BB3" s="1360"/>
      <c r="BC3" s="1360"/>
      <c r="BD3" s="1360"/>
      <c r="BE3" s="1360"/>
      <c r="BF3" s="1360"/>
      <c r="BG3" s="1360"/>
      <c r="BH3" s="1360"/>
      <c r="BI3" s="1360"/>
      <c r="BJ3" s="1360"/>
      <c r="BK3" s="1360"/>
      <c r="BL3" s="1360"/>
      <c r="BM3" s="1360"/>
      <c r="BN3" s="1360"/>
      <c r="BO3" s="1360"/>
      <c r="BP3" s="1360"/>
      <c r="BQ3" s="1360"/>
      <c r="BR3" s="1360"/>
      <c r="BS3" s="1360"/>
      <c r="BT3" s="1360"/>
      <c r="BU3" s="1361"/>
      <c r="BV3" s="1369" t="s">
        <v>2386</v>
      </c>
      <c r="BW3" s="1370"/>
      <c r="BX3" s="1356" t="s">
        <v>19</v>
      </c>
    </row>
    <row r="4" spans="1:76" ht="22.5" customHeight="1" thickBot="1" x14ac:dyDescent="0.3">
      <c r="A4" s="1332"/>
      <c r="B4" s="1189"/>
      <c r="C4" s="1334"/>
      <c r="D4" s="1191"/>
      <c r="E4" s="1189"/>
      <c r="F4" s="1332"/>
      <c r="G4" s="1191"/>
      <c r="H4" s="1189"/>
      <c r="I4" s="1187"/>
      <c r="J4" s="1339"/>
      <c r="K4" s="1340"/>
      <c r="L4" s="1340"/>
      <c r="M4" s="1340"/>
      <c r="N4" s="1340"/>
      <c r="O4" s="1340"/>
      <c r="P4" s="1340"/>
      <c r="Q4" s="1340"/>
      <c r="R4" s="1340"/>
      <c r="S4" s="1341"/>
      <c r="T4" s="1381"/>
      <c r="U4" s="1382"/>
      <c r="V4" s="1382"/>
      <c r="W4" s="1382"/>
      <c r="X4" s="1382"/>
      <c r="Y4" s="1382"/>
      <c r="Z4" s="1382"/>
      <c r="AA4" s="1382"/>
      <c r="AB4" s="1382"/>
      <c r="AC4" s="1382"/>
      <c r="AD4" s="1382"/>
      <c r="AE4" s="1382"/>
      <c r="AF4" s="1382"/>
      <c r="AG4" s="1382"/>
      <c r="AH4" s="1382"/>
      <c r="AI4" s="1382"/>
      <c r="AJ4" s="1382"/>
      <c r="AK4" s="1382"/>
      <c r="AL4" s="1382"/>
      <c r="AM4" s="1382"/>
      <c r="AN4" s="1383"/>
      <c r="AO4" s="280"/>
      <c r="AP4" s="1345"/>
      <c r="AQ4" s="1346"/>
      <c r="AR4" s="1346"/>
      <c r="AS4" s="1346"/>
      <c r="AT4" s="1346"/>
      <c r="AU4" s="1346"/>
      <c r="AV4" s="1346"/>
      <c r="AW4" s="1346"/>
      <c r="AX4" s="1346"/>
      <c r="AY4" s="1346"/>
      <c r="AZ4" s="1347"/>
      <c r="BA4" s="1362"/>
      <c r="BB4" s="1363"/>
      <c r="BC4" s="1363"/>
      <c r="BD4" s="1363"/>
      <c r="BE4" s="1363"/>
      <c r="BF4" s="1363"/>
      <c r="BG4" s="1363"/>
      <c r="BH4" s="1363"/>
      <c r="BI4" s="1363"/>
      <c r="BJ4" s="1363"/>
      <c r="BK4" s="1363"/>
      <c r="BL4" s="1363"/>
      <c r="BM4" s="1363"/>
      <c r="BN4" s="1363"/>
      <c r="BO4" s="1363"/>
      <c r="BP4" s="1363"/>
      <c r="BQ4" s="1363"/>
      <c r="BR4" s="1363"/>
      <c r="BS4" s="1363"/>
      <c r="BT4" s="1363"/>
      <c r="BU4" s="1364"/>
      <c r="BV4" s="1371"/>
      <c r="BW4" s="1372"/>
      <c r="BX4" s="1357"/>
    </row>
    <row r="5" spans="1:76" ht="15.75" x14ac:dyDescent="0.25">
      <c r="A5" s="1332"/>
      <c r="B5" s="1189"/>
      <c r="C5" s="1334"/>
      <c r="D5" s="1191"/>
      <c r="E5" s="1189"/>
      <c r="F5" s="1332"/>
      <c r="G5" s="1191"/>
      <c r="H5" s="1189"/>
      <c r="I5" s="1187"/>
      <c r="J5" s="1348">
        <v>2020</v>
      </c>
      <c r="K5" s="1349"/>
      <c r="L5" s="1352">
        <v>2021</v>
      </c>
      <c r="M5" s="1377"/>
      <c r="N5" s="1353"/>
      <c r="O5" s="1352">
        <v>2022</v>
      </c>
      <c r="P5" s="1377"/>
      <c r="Q5" s="1353"/>
      <c r="R5" s="197">
        <v>2023</v>
      </c>
      <c r="S5" s="429">
        <v>2024</v>
      </c>
      <c r="T5" s="1354">
        <v>2020</v>
      </c>
      <c r="U5" s="1355"/>
      <c r="V5" s="1374">
        <v>2021</v>
      </c>
      <c r="W5" s="1375"/>
      <c r="X5" s="1375"/>
      <c r="Y5" s="1375"/>
      <c r="Z5" s="1376"/>
      <c r="AA5" s="1374">
        <v>2022</v>
      </c>
      <c r="AB5" s="1375"/>
      <c r="AC5" s="1375"/>
      <c r="AD5" s="1375"/>
      <c r="AE5" s="1375"/>
      <c r="AF5" s="1375"/>
      <c r="AG5" s="1376"/>
      <c r="AH5" s="1374">
        <v>2023</v>
      </c>
      <c r="AI5" s="1375"/>
      <c r="AJ5" s="1375"/>
      <c r="AK5" s="1376"/>
      <c r="AL5" s="291">
        <v>2024</v>
      </c>
      <c r="AM5" s="291">
        <v>2025</v>
      </c>
      <c r="AN5" s="291">
        <v>2026</v>
      </c>
      <c r="AO5" s="280"/>
      <c r="AP5" s="1350" t="s">
        <v>415</v>
      </c>
      <c r="AQ5" s="1352">
        <v>2020</v>
      </c>
      <c r="AR5" s="1353"/>
      <c r="AS5" s="1352">
        <v>2021</v>
      </c>
      <c r="AT5" s="1377"/>
      <c r="AU5" s="1353"/>
      <c r="AV5" s="1352">
        <v>2022</v>
      </c>
      <c r="AW5" s="1377"/>
      <c r="AX5" s="1353"/>
      <c r="AY5" s="197">
        <v>2023</v>
      </c>
      <c r="AZ5" s="429">
        <v>2024</v>
      </c>
      <c r="BA5" s="1354">
        <v>2020</v>
      </c>
      <c r="BB5" s="1355"/>
      <c r="BC5" s="1374">
        <v>2021</v>
      </c>
      <c r="BD5" s="1375"/>
      <c r="BE5" s="1375"/>
      <c r="BF5" s="1375"/>
      <c r="BG5" s="1376"/>
      <c r="BH5" s="1374">
        <v>2022</v>
      </c>
      <c r="BI5" s="1375"/>
      <c r="BJ5" s="1375"/>
      <c r="BK5" s="1375"/>
      <c r="BL5" s="1375"/>
      <c r="BM5" s="1375"/>
      <c r="BN5" s="1376"/>
      <c r="BO5" s="1374">
        <v>2023</v>
      </c>
      <c r="BP5" s="1375"/>
      <c r="BQ5" s="1375"/>
      <c r="BR5" s="1376"/>
      <c r="BS5" s="291">
        <v>2024</v>
      </c>
      <c r="BT5" s="291">
        <v>2025</v>
      </c>
      <c r="BU5" s="291">
        <v>2026</v>
      </c>
      <c r="BV5" s="1365" t="s">
        <v>1713</v>
      </c>
      <c r="BW5" s="1367" t="s">
        <v>1714</v>
      </c>
      <c r="BX5" s="1357"/>
    </row>
    <row r="6" spans="1:76" ht="42.6" customHeight="1" thickBot="1" x14ac:dyDescent="0.3">
      <c r="A6" s="1332"/>
      <c r="B6" s="1189"/>
      <c r="C6" s="1334"/>
      <c r="D6" s="1191"/>
      <c r="E6" s="1189"/>
      <c r="F6" s="1335"/>
      <c r="G6" s="1192"/>
      <c r="H6" s="1373"/>
      <c r="I6" s="1187"/>
      <c r="J6" s="292" t="s">
        <v>525</v>
      </c>
      <c r="K6" s="46" t="s">
        <v>1202</v>
      </c>
      <c r="L6" s="46" t="s">
        <v>1350</v>
      </c>
      <c r="M6" s="259" t="s">
        <v>1533</v>
      </c>
      <c r="N6" s="46" t="s">
        <v>1202</v>
      </c>
      <c r="O6" s="46" t="s">
        <v>1350</v>
      </c>
      <c r="P6" s="259" t="s">
        <v>1533</v>
      </c>
      <c r="Q6" s="46" t="s">
        <v>1202</v>
      </c>
      <c r="R6" s="46" t="s">
        <v>524</v>
      </c>
      <c r="S6" s="293" t="s">
        <v>524</v>
      </c>
      <c r="T6" s="292" t="s">
        <v>525</v>
      </c>
      <c r="U6" s="46" t="s">
        <v>1202</v>
      </c>
      <c r="V6" s="46" t="s">
        <v>1349</v>
      </c>
      <c r="W6" s="128" t="s">
        <v>1211</v>
      </c>
      <c r="X6" s="128" t="s">
        <v>1534</v>
      </c>
      <c r="Y6" s="128" t="s">
        <v>1634</v>
      </c>
      <c r="Z6" s="46" t="s">
        <v>1202</v>
      </c>
      <c r="AA6" s="46" t="s">
        <v>524</v>
      </c>
      <c r="AB6" s="128" t="s">
        <v>1535</v>
      </c>
      <c r="AC6" s="128" t="s">
        <v>1635</v>
      </c>
      <c r="AD6" s="519" t="s">
        <v>2004</v>
      </c>
      <c r="AE6" s="519" t="s">
        <v>2140</v>
      </c>
      <c r="AF6" s="519" t="s">
        <v>2358</v>
      </c>
      <c r="AG6" s="1067" t="s">
        <v>1202</v>
      </c>
      <c r="AH6" s="46" t="s">
        <v>524</v>
      </c>
      <c r="AI6" s="519" t="s">
        <v>2140</v>
      </c>
      <c r="AJ6" s="519" t="str">
        <f>AF6</f>
        <v>Prognoze uz Budget 15.12.2022</v>
      </c>
      <c r="AK6" s="519" t="s">
        <v>2385</v>
      </c>
      <c r="AL6" s="293" t="s">
        <v>524</v>
      </c>
      <c r="AM6" s="293" t="s">
        <v>524</v>
      </c>
      <c r="AN6" s="293" t="s">
        <v>524</v>
      </c>
      <c r="AO6" s="281"/>
      <c r="AP6" s="1351"/>
      <c r="AQ6" s="32" t="s">
        <v>525</v>
      </c>
      <c r="AR6" s="46" t="s">
        <v>1202</v>
      </c>
      <c r="AS6" s="46" t="s">
        <v>1350</v>
      </c>
      <c r="AT6" s="259" t="s">
        <v>1533</v>
      </c>
      <c r="AU6" s="46" t="s">
        <v>1202</v>
      </c>
      <c r="AV6" s="46" t="s">
        <v>1350</v>
      </c>
      <c r="AW6" s="46" t="s">
        <v>1533</v>
      </c>
      <c r="AX6" s="46" t="s">
        <v>1202</v>
      </c>
      <c r="AY6" s="46" t="s">
        <v>524</v>
      </c>
      <c r="AZ6" s="293" t="s">
        <v>524</v>
      </c>
      <c r="BA6" s="292" t="s">
        <v>525</v>
      </c>
      <c r="BB6" s="46" t="s">
        <v>1202</v>
      </c>
      <c r="BC6" s="46" t="s">
        <v>524</v>
      </c>
      <c r="BD6" s="128" t="s">
        <v>1211</v>
      </c>
      <c r="BE6" s="128" t="s">
        <v>1534</v>
      </c>
      <c r="BF6" s="519" t="s">
        <v>1634</v>
      </c>
      <c r="BG6" s="46" t="s">
        <v>1202</v>
      </c>
      <c r="BH6" s="46" t="s">
        <v>524</v>
      </c>
      <c r="BI6" s="128" t="s">
        <v>1535</v>
      </c>
      <c r="BJ6" s="519" t="s">
        <v>1635</v>
      </c>
      <c r="BK6" s="519" t="s">
        <v>2004</v>
      </c>
      <c r="BL6" s="519" t="s">
        <v>2356</v>
      </c>
      <c r="BM6" s="519" t="s">
        <v>2358</v>
      </c>
      <c r="BN6" s="46" t="s">
        <v>1202</v>
      </c>
      <c r="BO6" s="982" t="s">
        <v>524</v>
      </c>
      <c r="BP6" s="933" t="s">
        <v>2356</v>
      </c>
      <c r="BQ6" s="933" t="str">
        <f>BM6</f>
        <v>Prognoze uz Budget 15.12.2022</v>
      </c>
      <c r="BR6" s="519" t="s">
        <v>2385</v>
      </c>
      <c r="BS6" s="937" t="s">
        <v>524</v>
      </c>
      <c r="BT6" s="937" t="s">
        <v>524</v>
      </c>
      <c r="BU6" s="937" t="s">
        <v>524</v>
      </c>
      <c r="BV6" s="1366"/>
      <c r="BW6" s="1368"/>
      <c r="BX6" s="1358"/>
    </row>
    <row r="7" spans="1:76" ht="21" customHeight="1" x14ac:dyDescent="0.25">
      <c r="A7" s="1397" t="s">
        <v>1731</v>
      </c>
      <c r="B7" s="1398"/>
      <c r="C7" s="681"/>
      <c r="D7" s="522"/>
      <c r="E7" s="523"/>
      <c r="F7" s="537"/>
      <c r="G7" s="482"/>
      <c r="H7" s="483"/>
      <c r="I7" s="484"/>
      <c r="J7" s="485">
        <f t="shared" ref="J7:AN7" si="0">J9+J29+J77+J107+J491</f>
        <v>9.236647719372916E-2</v>
      </c>
      <c r="K7" s="486">
        <f t="shared" si="0"/>
        <v>4.2308177025880828E-2</v>
      </c>
      <c r="L7" s="486">
        <f t="shared" si="0"/>
        <v>0.11135964541625856</v>
      </c>
      <c r="M7" s="486">
        <f t="shared" si="0"/>
        <v>0.10220053728178595</v>
      </c>
      <c r="N7" s="486">
        <f t="shared" si="0"/>
        <v>6.8928081726369744E-2</v>
      </c>
      <c r="O7" s="486">
        <f t="shared" si="0"/>
        <v>4.1151186917708207E-2</v>
      </c>
      <c r="P7" s="486">
        <f t="shared" si="0"/>
        <v>3.9151029393798581E-2</v>
      </c>
      <c r="Q7" s="486">
        <f t="shared" ref="Q7" si="1">Q9+Q29+Q77+Q107+Q491</f>
        <v>2.4499195856929369E-2</v>
      </c>
      <c r="R7" s="486">
        <f t="shared" si="0"/>
        <v>2.2918433348865287E-3</v>
      </c>
      <c r="S7" s="524">
        <f t="shared" si="0"/>
        <v>2.5326834269760685E-4</v>
      </c>
      <c r="T7" s="636">
        <f t="shared" si="0"/>
        <v>-4.3009424061857135E-2</v>
      </c>
      <c r="U7" s="637">
        <f t="shared" si="0"/>
        <v>-3.1715050162763013E-2</v>
      </c>
      <c r="V7" s="637">
        <f t="shared" si="0"/>
        <v>-8.8857244347208625E-2</v>
      </c>
      <c r="W7" s="638">
        <f t="shared" si="0"/>
        <v>-6.7557511157681591E-2</v>
      </c>
      <c r="X7" s="638">
        <f t="shared" si="0"/>
        <v>-7.5696113193708101E-2</v>
      </c>
      <c r="Y7" s="638">
        <f t="shared" si="0"/>
        <v>-7.2059105681309035E-2</v>
      </c>
      <c r="Z7" s="637">
        <f t="shared" si="0"/>
        <v>-6.2605837027891936E-2</v>
      </c>
      <c r="AA7" s="637">
        <f t="shared" si="0"/>
        <v>-3.1448291866471766E-2</v>
      </c>
      <c r="AB7" s="638">
        <f t="shared" si="0"/>
        <v>-6.8354626461127636E-3</v>
      </c>
      <c r="AC7" s="638">
        <f t="shared" si="0"/>
        <v>-7.7351370096340639E-3</v>
      </c>
      <c r="AD7" s="638">
        <f t="shared" si="0"/>
        <v>-1.9391936022386251E-2</v>
      </c>
      <c r="AE7" s="638">
        <f t="shared" si="0"/>
        <v>-2.175525711369769E-2</v>
      </c>
      <c r="AF7" s="638">
        <f t="shared" si="0"/>
        <v>-2.0989289772954962E-2</v>
      </c>
      <c r="AG7" s="637">
        <f t="shared" ref="AG7" si="2">AG9+AG29+AG77+AG107+AG491</f>
        <v>-2.0378548757085061E-2</v>
      </c>
      <c r="AH7" s="637">
        <f t="shared" si="0"/>
        <v>-2.3342003384678972E-3</v>
      </c>
      <c r="AI7" s="638">
        <f t="shared" si="0"/>
        <v>-2.1022548516692278E-3</v>
      </c>
      <c r="AJ7" s="638">
        <f t="shared" si="0"/>
        <v>-1.966189293026408E-3</v>
      </c>
      <c r="AK7" s="638">
        <f>AK9+AK29+AK77+AK107+AK491</f>
        <v>-3.0408775390492705E-3</v>
      </c>
      <c r="AL7" s="639">
        <f t="shared" ref="AL7:AM7" si="3">AL9+AL29+AL77+AL107+AL491</f>
        <v>-2.4439014604607973E-4</v>
      </c>
      <c r="AM7" s="639">
        <f t="shared" si="3"/>
        <v>-1.7885806335202008E-4</v>
      </c>
      <c r="AN7" s="639">
        <f t="shared" si="0"/>
        <v>-1.3559597424425723E-4</v>
      </c>
      <c r="AO7" s="490"/>
      <c r="AP7" s="491">
        <f t="shared" ref="AP7:BW7" ca="1" si="4">AP9+AP29+AP77+AP107+AP491</f>
        <v>5478.6981628928997</v>
      </c>
      <c r="AQ7" s="492">
        <f t="shared" si="4"/>
        <v>2679.3127039999999</v>
      </c>
      <c r="AR7" s="679">
        <f t="shared" si="4"/>
        <v>1281.6858186900001</v>
      </c>
      <c r="AS7" s="493">
        <f t="shared" si="4"/>
        <v>3638.3423350399999</v>
      </c>
      <c r="AT7" s="493">
        <f t="shared" si="4"/>
        <v>3205.42021604</v>
      </c>
      <c r="AU7" s="489">
        <f t="shared" si="4"/>
        <v>2315.1273903029</v>
      </c>
      <c r="AV7" s="679">
        <f t="shared" si="4"/>
        <v>1622.9546355700002</v>
      </c>
      <c r="AW7" s="679">
        <f t="shared" si="4"/>
        <v>1501.95211657</v>
      </c>
      <c r="AX7" s="679">
        <f t="shared" ref="AX7" si="5">AX9+AX29+AX77+AX107+AX491</f>
        <v>965.88075563999985</v>
      </c>
      <c r="AY7" s="679">
        <f t="shared" si="4"/>
        <v>100.80846314999999</v>
      </c>
      <c r="AZ7" s="494">
        <f t="shared" si="4"/>
        <v>13</v>
      </c>
      <c r="BA7" s="495">
        <f t="shared" si="4"/>
        <v>-1212.607702</v>
      </c>
      <c r="BB7" s="487">
        <f t="shared" si="4"/>
        <v>-960.77715680799997</v>
      </c>
      <c r="BC7" s="487">
        <f t="shared" si="4"/>
        <v>-2903.1438873119996</v>
      </c>
      <c r="BD7" s="488">
        <f t="shared" si="4"/>
        <v>-2069.2121343999997</v>
      </c>
      <c r="BE7" s="488">
        <f t="shared" si="4"/>
        <v>-2374.1347938099998</v>
      </c>
      <c r="BF7" s="517">
        <f t="shared" si="4"/>
        <v>-2260.0635989199995</v>
      </c>
      <c r="BG7" s="496">
        <f t="shared" si="4"/>
        <v>-2102.778497035446</v>
      </c>
      <c r="BH7" s="487">
        <f t="shared" si="4"/>
        <v>-1240.2838141100001</v>
      </c>
      <c r="BI7" s="488">
        <f t="shared" si="4"/>
        <v>-232.55453448999998</v>
      </c>
      <c r="BJ7" s="517">
        <f t="shared" si="4"/>
        <v>-263.16304830000001</v>
      </c>
      <c r="BK7" s="517">
        <f t="shared" si="4"/>
        <v>-659.74797727999987</v>
      </c>
      <c r="BL7" s="517">
        <f t="shared" si="4"/>
        <v>-834.59758209112294</v>
      </c>
      <c r="BM7" s="935">
        <f t="shared" si="4"/>
        <v>-827.79301609112304</v>
      </c>
      <c r="BN7" s="496">
        <f>BN9+BN29+BN77+BN107+BN491</f>
        <v>-796.40862290312305</v>
      </c>
      <c r="BO7" s="491">
        <f t="shared" si="4"/>
        <v>-102.6715680008768</v>
      </c>
      <c r="BP7" s="984">
        <f t="shared" si="4"/>
        <v>-92.578091600876803</v>
      </c>
      <c r="BQ7" s="730">
        <f t="shared" si="4"/>
        <v>-89.480491600876803</v>
      </c>
      <c r="BR7" s="730">
        <f t="shared" ref="BR7:BT7" si="6">BR9+BR29+BR77+BR107+BR491</f>
        <v>-132.69533600087681</v>
      </c>
      <c r="BS7" s="489">
        <f t="shared" si="6"/>
        <v>-11.246077</v>
      </c>
      <c r="BT7" s="489">
        <f t="shared" si="6"/>
        <v>-8.6999999999999993</v>
      </c>
      <c r="BU7" s="489">
        <f t="shared" si="4"/>
        <v>-6.96</v>
      </c>
      <c r="BV7" s="496">
        <f>BV9+BV29+BV77+BV107+BV491</f>
        <v>-0.59044363</v>
      </c>
      <c r="BW7" s="489">
        <f t="shared" si="4"/>
        <v>0.59044363</v>
      </c>
      <c r="BX7" s="1317" t="s">
        <v>2402</v>
      </c>
    </row>
    <row r="8" spans="1:76" s="3" customFormat="1" ht="21.6" customHeight="1" thickBot="1" x14ac:dyDescent="0.3">
      <c r="A8" s="1395" t="s">
        <v>1732</v>
      </c>
      <c r="B8" s="1396"/>
      <c r="C8" s="682"/>
      <c r="D8" s="520"/>
      <c r="E8" s="521"/>
      <c r="F8" s="538"/>
      <c r="G8" s="497"/>
      <c r="H8" s="498"/>
      <c r="I8" s="499"/>
      <c r="J8" s="500"/>
      <c r="K8" s="501"/>
      <c r="L8" s="501"/>
      <c r="M8" s="501"/>
      <c r="N8" s="501"/>
      <c r="O8" s="501"/>
      <c r="P8" s="501"/>
      <c r="Q8" s="501"/>
      <c r="R8" s="501"/>
      <c r="S8" s="525"/>
      <c r="T8" s="529">
        <v>28194</v>
      </c>
      <c r="U8" s="666">
        <v>30294.044999999998</v>
      </c>
      <c r="V8" s="666">
        <v>32672</v>
      </c>
      <c r="W8" s="666">
        <v>30628.898237094418</v>
      </c>
      <c r="X8" s="666">
        <v>31364.025095113328</v>
      </c>
      <c r="Y8" s="666">
        <v>31364.025095113328</v>
      </c>
      <c r="Z8" s="666">
        <v>33587.578999999998</v>
      </c>
      <c r="AA8" s="734">
        <v>39438.829281291255</v>
      </c>
      <c r="AB8" s="666">
        <v>34021.769488017118</v>
      </c>
      <c r="AC8" s="666">
        <v>34021.769488017097</v>
      </c>
      <c r="AD8" s="666">
        <v>34021.769488017097</v>
      </c>
      <c r="AE8" s="734">
        <v>38363.030035882148</v>
      </c>
      <c r="AF8" s="1066">
        <v>39438.829281291255</v>
      </c>
      <c r="AG8" s="1066">
        <v>39080.733</v>
      </c>
      <c r="AH8" s="734">
        <v>43985.756624586698</v>
      </c>
      <c r="AI8" s="666">
        <v>41331.698091639453</v>
      </c>
      <c r="AJ8" s="666">
        <v>42616.528905974155</v>
      </c>
      <c r="AK8" s="666">
        <v>43637.185087816455</v>
      </c>
      <c r="AL8" s="735">
        <v>46016.900361766449</v>
      </c>
      <c r="AM8" s="735">
        <v>48641.922186516502</v>
      </c>
      <c r="AN8" s="735">
        <v>51328.957506234896</v>
      </c>
      <c r="AO8" s="502"/>
      <c r="AP8" s="503"/>
      <c r="AQ8" s="504">
        <f>AQ7/$T$8</f>
        <v>9.5031308221607436E-2</v>
      </c>
      <c r="AR8" s="680">
        <f>AR7/$U$8</f>
        <v>4.2308177025880835E-2</v>
      </c>
      <c r="AS8" s="505">
        <f>AS7/$V$8</f>
        <v>0.11135964541625856</v>
      </c>
      <c r="AT8" s="505">
        <f>AT7/$Y$8</f>
        <v>0.10220053728178596</v>
      </c>
      <c r="AU8" s="510">
        <f>AU7/$Z$8</f>
        <v>6.8928081726369744E-2</v>
      </c>
      <c r="AV8" s="680">
        <f>AV7/$AA$8</f>
        <v>4.1151186917708207E-2</v>
      </c>
      <c r="AW8" s="680">
        <f>AW7/$AA$8</f>
        <v>3.8083080657835014E-2</v>
      </c>
      <c r="AX8" s="680">
        <f>AX7/$AA$8</f>
        <v>2.4490604139159586E-2</v>
      </c>
      <c r="AY8" s="680">
        <f>AY7/$AH$8</f>
        <v>2.2918433348865287E-3</v>
      </c>
      <c r="AZ8" s="506">
        <f>AZ7/$AN$8</f>
        <v>2.5326834269760685E-4</v>
      </c>
      <c r="BA8" s="507">
        <f>BA7/$T$8</f>
        <v>-4.3009424061857135E-2</v>
      </c>
      <c r="BB8" s="508">
        <f>BB7/$U$8</f>
        <v>-3.1715050162763013E-2</v>
      </c>
      <c r="BC8" s="508">
        <f>BC7/$V$8</f>
        <v>-8.8857244347208611E-2</v>
      </c>
      <c r="BD8" s="509">
        <f>BD7/$W$8</f>
        <v>-6.7557511157681577E-2</v>
      </c>
      <c r="BE8" s="509">
        <f>BE7/$X$8</f>
        <v>-7.5696113193708101E-2</v>
      </c>
      <c r="BF8" s="518">
        <f>BF7/$Y$8</f>
        <v>-7.2059105681309021E-2</v>
      </c>
      <c r="BG8" s="511">
        <f>BG7/$Z$8</f>
        <v>-6.260583702789195E-2</v>
      </c>
      <c r="BH8" s="508">
        <f>BH7/$AA$8</f>
        <v>-3.1448291866471759E-2</v>
      </c>
      <c r="BI8" s="509">
        <f>BI7/$AB$8</f>
        <v>-6.8354626461127636E-3</v>
      </c>
      <c r="BJ8" s="518">
        <f>BJ7/$AC$8</f>
        <v>-7.7351370096340639E-3</v>
      </c>
      <c r="BK8" s="518">
        <f>BK7/$AD$8</f>
        <v>-1.9391936022386241E-2</v>
      </c>
      <c r="BL8" s="518">
        <f>BL7/$AE$8</f>
        <v>-2.1755257113697683E-2</v>
      </c>
      <c r="BM8" s="936">
        <f>BM7/$AF$8</f>
        <v>-2.0989289772954958E-2</v>
      </c>
      <c r="BN8" s="511">
        <f>BN7/$AG$8</f>
        <v>-2.0378548757085058E-2</v>
      </c>
      <c r="BO8" s="511">
        <f>BO7/$AH$8</f>
        <v>-2.3342003384678968E-3</v>
      </c>
      <c r="BP8" s="985">
        <f>BP7/$AI$8</f>
        <v>-2.2398811535789148E-3</v>
      </c>
      <c r="BQ8" s="731">
        <f>BQ7/$AJ$8</f>
        <v>-2.0996663477285938E-3</v>
      </c>
      <c r="BR8" s="731">
        <f>BR7/$AK$8</f>
        <v>-3.0408775390492701E-3</v>
      </c>
      <c r="BS8" s="510">
        <f>BS7/$AL$8</f>
        <v>-2.4439014604607967E-4</v>
      </c>
      <c r="BT8" s="510">
        <f>BT7/$AM$8</f>
        <v>-1.7885806335202008E-4</v>
      </c>
      <c r="BU8" s="510">
        <f>BU7/$AN$8</f>
        <v>-1.3559597424425723E-4</v>
      </c>
      <c r="BV8" s="511">
        <f>BV7/$AA$8</f>
        <v>-1.4971124669770331E-5</v>
      </c>
      <c r="BW8" s="510">
        <f>BW7/AA8</f>
        <v>1.4971124669770331E-5</v>
      </c>
      <c r="BX8" s="1318"/>
    </row>
    <row r="9" spans="1:76" ht="18.75" x14ac:dyDescent="0.25">
      <c r="A9" s="305" t="s">
        <v>49</v>
      </c>
      <c r="B9" s="699"/>
      <c r="C9" s="6"/>
      <c r="D9" s="6"/>
      <c r="E9" s="458"/>
      <c r="F9" s="539"/>
      <c r="G9" s="390" t="s">
        <v>1730</v>
      </c>
      <c r="H9" s="391" t="s">
        <v>1730</v>
      </c>
      <c r="I9" s="330"/>
      <c r="J9" s="412">
        <f>J10+J21+J23+J25+J27</f>
        <v>8.3063772433851161E-3</v>
      </c>
      <c r="K9" s="592">
        <f t="shared" ref="K9" si="7">K10+K21+K23+K25+K27</f>
        <v>8.3512452694910842E-3</v>
      </c>
      <c r="L9" s="592">
        <f t="shared" ref="L9:N9" si="8">L10+L21+L23+L25+L27</f>
        <v>3.3667972575905972E-3</v>
      </c>
      <c r="M9" s="668">
        <f t="shared" ref="M9" si="9">M10+M21+M23+M25+M27</f>
        <v>3.5072029073570199E-3</v>
      </c>
      <c r="N9" s="592">
        <f t="shared" si="8"/>
        <v>2.7852558232911041E-3</v>
      </c>
      <c r="O9" s="592">
        <f t="shared" ref="O9" si="10">O10+O21+O23+O25+O27</f>
        <v>9.001281388654269E-4</v>
      </c>
      <c r="P9" s="592">
        <f t="shared" ref="P9:Q9" si="11">P10+P21+P23+P25+P27</f>
        <v>9.2537007548141356E-4</v>
      </c>
      <c r="Q9" s="592">
        <f t="shared" si="11"/>
        <v>9.4624632552311647E-4</v>
      </c>
      <c r="R9" s="592">
        <f t="shared" ref="R9" si="12">R10+R21+R23+R25+R27</f>
        <v>1.2504047723770807E-4</v>
      </c>
      <c r="S9" s="593">
        <f t="shared" ref="S9" si="13">S10+S21+S23+S25+S27</f>
        <v>0</v>
      </c>
      <c r="T9" s="412">
        <f>T10+T21+T23+T25+T27</f>
        <v>-4.9631127190182308E-3</v>
      </c>
      <c r="U9" s="592">
        <f t="shared" ref="U9" si="14">U10+U21+U23+U25+U27</f>
        <v>-4.1963511970752009E-3</v>
      </c>
      <c r="V9" s="592">
        <f t="shared" ref="V9" si="15">V10+V21+V23+V25+V27</f>
        <v>-6.9429977473065615E-4</v>
      </c>
      <c r="W9" s="594">
        <f>W10+W21+W23+W25+W27</f>
        <v>-7.8461549005034536E-4</v>
      </c>
      <c r="X9" s="594">
        <f t="shared" ref="X9" si="16">X10+X21+X23+X25+X27</f>
        <v>-9.5752722773707758E-4</v>
      </c>
      <c r="Y9" s="594">
        <f t="shared" ref="Y9:Z9" si="17">Y10+Y21+Y23+Y25+Y27</f>
        <v>-9.1455615639298576E-4</v>
      </c>
      <c r="Z9" s="592">
        <f t="shared" si="17"/>
        <v>-3.7988293267579668E-4</v>
      </c>
      <c r="AA9" s="592">
        <f t="shared" ref="AA9" si="18">AA10+AA21+AA23+AA25+AA27</f>
        <v>-9.7927973785776393E-5</v>
      </c>
      <c r="AB9" s="594">
        <f t="shared" ref="AB9" si="19">AB10+AB21+AB23+AB25+AB27</f>
        <v>1.0717384941674631E-3</v>
      </c>
      <c r="AC9" s="594">
        <f t="shared" ref="AC9:AE9" si="20">AC10+AC21+AC23+AC25+AC27</f>
        <v>1.047500935321783E-3</v>
      </c>
      <c r="AD9" s="594">
        <f t="shared" ref="AD9" si="21">AD10+AD21+AD23+AD25+AD27</f>
        <v>4.0513871581120261E-6</v>
      </c>
      <c r="AE9" s="594">
        <f t="shared" si="20"/>
        <v>-1.1273816346305023E-4</v>
      </c>
      <c r="AF9" s="594">
        <f t="shared" ref="AF9:AG9" si="22">AF10+AF21+AF23+AF25+AF27</f>
        <v>-1.0966292940076805E-4</v>
      </c>
      <c r="AG9" s="592">
        <f t="shared" si="22"/>
        <v>-1.4523377448225414E-4</v>
      </c>
      <c r="AH9" s="592">
        <f t="shared" ref="AH9:AI9" si="23">AH10+AH21+AH23+AH25+AH27</f>
        <v>5.7009066169175628E-4</v>
      </c>
      <c r="AI9" s="594">
        <f t="shared" si="23"/>
        <v>6.0612319976736462E-4</v>
      </c>
      <c r="AJ9" s="594">
        <f t="shared" ref="AJ9:AK9" si="24">AJ10+AJ21+AJ23+AJ25+AJ27</f>
        <v>5.8784940355879802E-4</v>
      </c>
      <c r="AK9" s="594">
        <f t="shared" si="24"/>
        <v>-1.1338721530546826E-4</v>
      </c>
      <c r="AL9" s="593">
        <f t="shared" ref="AL9:AN9" si="25">AL10+AL21+AL23+AL25+AL27</f>
        <v>1.3891200732222935E-6</v>
      </c>
      <c r="AM9" s="593">
        <f t="shared" ref="AM9" si="26">AM10+AM21+AM23+AM25+AM27</f>
        <v>0</v>
      </c>
      <c r="AN9" s="593">
        <f t="shared" si="25"/>
        <v>0</v>
      </c>
      <c r="AO9" s="576"/>
      <c r="AP9" s="320">
        <f t="shared" ref="AP9:BU9" si="27">AP10+AP21+AP23+AP25+AP27</f>
        <v>387.54300000000001</v>
      </c>
      <c r="AQ9" s="595">
        <f>AQ10+AQ21+AQ23+AQ25+AQ27</f>
        <v>234.19</v>
      </c>
      <c r="AR9" s="596">
        <f t="shared" si="27"/>
        <v>252.99299999999999</v>
      </c>
      <c r="AS9" s="596">
        <f t="shared" si="27"/>
        <v>110</v>
      </c>
      <c r="AT9" s="597">
        <f t="shared" si="27"/>
        <v>110</v>
      </c>
      <c r="AU9" s="596">
        <f t="shared" ref="AU9" si="28">AU10+AU21+AU23+AU25+AU27</f>
        <v>93.55</v>
      </c>
      <c r="AV9" s="596">
        <f>AV10+AV21+AV23+AV25+AV27</f>
        <v>35.5</v>
      </c>
      <c r="AW9" s="596">
        <f>AW10+AW21+AW23+AW25+AW27</f>
        <v>35.5</v>
      </c>
      <c r="AX9" s="596">
        <f>AX10+AX21+AX23+AX25+AX27</f>
        <v>36.980000000000004</v>
      </c>
      <c r="AY9" s="596">
        <f t="shared" si="27"/>
        <v>5.5</v>
      </c>
      <c r="AZ9" s="598">
        <f t="shared" si="27"/>
        <v>0</v>
      </c>
      <c r="BA9" s="652">
        <f t="shared" si="27"/>
        <v>-139.93</v>
      </c>
      <c r="BB9" s="660">
        <f t="shared" si="27"/>
        <v>-127.12445199999999</v>
      </c>
      <c r="BC9" s="661">
        <f t="shared" si="27"/>
        <v>-22.684162239999996</v>
      </c>
      <c r="BD9" s="662">
        <f t="shared" si="27"/>
        <v>-24.031907999999998</v>
      </c>
      <c r="BE9" s="662">
        <f t="shared" si="27"/>
        <v>-30.031907999999998</v>
      </c>
      <c r="BF9" s="662">
        <f t="shared" si="27"/>
        <v>-28.684162239999996</v>
      </c>
      <c r="BG9" s="660">
        <f>BG10+BG21+BG23+BG25+BG27</f>
        <v>-12.759348012</v>
      </c>
      <c r="BH9" s="661">
        <f t="shared" si="27"/>
        <v>-3.86216464</v>
      </c>
      <c r="BI9" s="662">
        <f t="shared" si="27"/>
        <v>36.462440000000001</v>
      </c>
      <c r="BJ9" s="662">
        <f t="shared" ref="BJ9" si="29">BJ10+BJ21+BJ23+BJ25+BJ27</f>
        <v>35.637835359999997</v>
      </c>
      <c r="BK9" s="662">
        <f t="shared" si="27"/>
        <v>0.13783536000000041</v>
      </c>
      <c r="BL9" s="662">
        <f>BL10+BL21+BL23+BL25+BL27</f>
        <v>-4.3249775511231867</v>
      </c>
      <c r="BM9" s="662">
        <f>BM10+BM21+BM23+BM25+BM27</f>
        <v>-4.3249775511231867</v>
      </c>
      <c r="BN9" s="320">
        <f>BN10+BN21+BN23+BN25+BN27</f>
        <v>-5.6758423631231869</v>
      </c>
      <c r="BO9" s="596">
        <f t="shared" si="27"/>
        <v>25.075869099123185</v>
      </c>
      <c r="BP9" s="934">
        <f t="shared" ref="BP9:BQ9" si="30">BP10+BP21+BP23+BP25+BP27</f>
        <v>25.052101099123188</v>
      </c>
      <c r="BQ9" s="934">
        <f t="shared" si="30"/>
        <v>25.052101099123188</v>
      </c>
      <c r="BR9" s="934">
        <f t="shared" ref="BR9:BT9" si="31">BR10+BR21+BR23+BR25+BR27</f>
        <v>-4.9478989008768135</v>
      </c>
      <c r="BS9" s="598">
        <f t="shared" si="31"/>
        <v>6.3922999999999994E-2</v>
      </c>
      <c r="BT9" s="598">
        <f t="shared" si="31"/>
        <v>0</v>
      </c>
      <c r="BU9" s="598">
        <f t="shared" si="27"/>
        <v>0</v>
      </c>
      <c r="BV9" s="320">
        <f>BV10+BV21+BV23+BV25+BV27</f>
        <v>0</v>
      </c>
      <c r="BW9" s="598">
        <f>BW10+BW21+BW23+BW25+BW27</f>
        <v>0</v>
      </c>
      <c r="BX9" s="321"/>
    </row>
    <row r="10" spans="1:76" ht="18.75" x14ac:dyDescent="0.25">
      <c r="A10" s="459">
        <v>1</v>
      </c>
      <c r="B10" s="700" t="s">
        <v>537</v>
      </c>
      <c r="C10" s="683"/>
      <c r="D10" s="348"/>
      <c r="E10" s="460"/>
      <c r="F10" s="540"/>
      <c r="G10" s="392" t="s">
        <v>1730</v>
      </c>
      <c r="H10" s="393" t="s">
        <v>1730</v>
      </c>
      <c r="I10" s="336"/>
      <c r="J10" s="343">
        <f>SUM(J11:J20)</f>
        <v>4.9368659998581255E-3</v>
      </c>
      <c r="K10" s="344">
        <f t="shared" ref="K10" si="32">SUM(K11:K20)</f>
        <v>5.3473545708405731E-3</v>
      </c>
      <c r="L10" s="344">
        <f t="shared" ref="L10:N10" si="33">SUM(L11:L20)</f>
        <v>2.2955435847208617E-3</v>
      </c>
      <c r="M10" s="344">
        <f t="shared" ref="M10" si="34">SUM(M11:M20)</f>
        <v>2.3912747095616044E-3</v>
      </c>
      <c r="N10" s="344">
        <f t="shared" si="33"/>
        <v>1.8622955825425822E-3</v>
      </c>
      <c r="O10" s="344">
        <f t="shared" ref="O10" si="35">SUM(O11:O20)</f>
        <v>0</v>
      </c>
      <c r="P10" s="344">
        <f t="shared" ref="P10:Q10" si="36">SUM(P11:P20)</f>
        <v>0</v>
      </c>
      <c r="Q10" s="344">
        <f t="shared" si="36"/>
        <v>3.7870323466041436E-5</v>
      </c>
      <c r="R10" s="344">
        <f t="shared" ref="R10" si="37">SUM(R11:R20)</f>
        <v>0</v>
      </c>
      <c r="S10" s="526">
        <f t="shared" ref="S10" si="38">SUM(S11:S20)</f>
        <v>0</v>
      </c>
      <c r="T10" s="530">
        <f t="shared" ref="T10" si="39">SUM(T11:T20)</f>
        <v>-1.5936014754912395E-3</v>
      </c>
      <c r="U10" s="356">
        <f t="shared" ref="U10" si="40">SUM(U11:U20)</f>
        <v>-1.1924604984246904E-3</v>
      </c>
      <c r="V10" s="356">
        <f t="shared" ref="V10" si="41">SUM(V11:V20)</f>
        <v>-6.9429977473065615E-4</v>
      </c>
      <c r="W10" s="369">
        <f t="shared" ref="W10" si="42">SUM(W11:W20)</f>
        <v>-7.8461549005034536E-4</v>
      </c>
      <c r="X10" s="369">
        <f t="shared" ref="X10" si="43">SUM(X11:X20)</f>
        <v>-7.6622525097214925E-4</v>
      </c>
      <c r="Y10" s="369">
        <f t="shared" ref="Y10:Z10" si="44">SUM(Y11:Y20)</f>
        <v>-7.2325417962805743E-4</v>
      </c>
      <c r="Z10" s="356">
        <f t="shared" si="44"/>
        <v>-3.7988293267579668E-4</v>
      </c>
      <c r="AA10" s="356">
        <f t="shared" ref="AA10" si="45">SUM(AA11:AA20)</f>
        <v>1.6172776211249566E-5</v>
      </c>
      <c r="AB10" s="369">
        <f t="shared" ref="AB10" si="46">SUM(AB11:AB20)</f>
        <v>4.2985418513140223E-5</v>
      </c>
      <c r="AC10" s="369">
        <f t="shared" ref="AC10:AE10" si="47">SUM(AC11:AC20)</f>
        <v>1.8747859667459501E-5</v>
      </c>
      <c r="AD10" s="369">
        <f t="shared" ref="AD10" si="48">SUM(AD11:AD20)</f>
        <v>1.8747859667459501E-5</v>
      </c>
      <c r="AE10" s="369">
        <f t="shared" si="47"/>
        <v>4.5622686402275657E-6</v>
      </c>
      <c r="AF10" s="369">
        <f t="shared" ref="AF10:AG10" si="49">SUM(AF11:AF20)</f>
        <v>4.4378205962578968E-6</v>
      </c>
      <c r="AG10" s="356">
        <f t="shared" si="49"/>
        <v>-4.499464304397438E-6</v>
      </c>
      <c r="AH10" s="356">
        <f t="shared" ref="AH10:AI10" si="50">SUM(AH11:AH20)</f>
        <v>1.3092172178329509E-5</v>
      </c>
      <c r="AI10" s="369">
        <f t="shared" si="50"/>
        <v>1.3357813122003459E-5</v>
      </c>
      <c r="AJ10" s="369">
        <f t="shared" ref="AJ10:AK10" si="51">SUM(AJ11:AJ20)</f>
        <v>1.2955093089380893E-5</v>
      </c>
      <c r="AK10" s="369">
        <f t="shared" si="51"/>
        <v>1.2652078680421895E-5</v>
      </c>
      <c r="AL10" s="357">
        <f t="shared" ref="AL10:AN10" si="52">SUM(AL11:AL20)</f>
        <v>1.3891200732222935E-6</v>
      </c>
      <c r="AM10" s="357">
        <f t="shared" ref="AM10" si="53">SUM(AM11:AM20)</f>
        <v>0</v>
      </c>
      <c r="AN10" s="357">
        <f t="shared" si="52"/>
        <v>0</v>
      </c>
      <c r="AO10" s="337"/>
      <c r="AP10" s="430">
        <f t="shared" ref="AP10:BU10" si="54">SUM(AP11:AP20)</f>
        <v>224.54300000000001</v>
      </c>
      <c r="AQ10" s="360">
        <f t="shared" si="54"/>
        <v>139.19</v>
      </c>
      <c r="AR10" s="360">
        <f t="shared" si="54"/>
        <v>161.99299999999999</v>
      </c>
      <c r="AS10" s="360">
        <f t="shared" si="54"/>
        <v>75</v>
      </c>
      <c r="AT10" s="360">
        <f t="shared" si="54"/>
        <v>75</v>
      </c>
      <c r="AU10" s="360">
        <f t="shared" ref="AU10:AV10" si="55">SUM(AU11:AU20)</f>
        <v>62.55</v>
      </c>
      <c r="AV10" s="360">
        <f t="shared" si="55"/>
        <v>0</v>
      </c>
      <c r="AW10" s="360">
        <f t="shared" si="54"/>
        <v>0</v>
      </c>
      <c r="AX10" s="360">
        <f t="shared" ref="AX10" si="56">SUM(AX11:AX20)</f>
        <v>1.48</v>
      </c>
      <c r="AY10" s="360">
        <f t="shared" si="54"/>
        <v>0</v>
      </c>
      <c r="AZ10" s="431">
        <f t="shared" si="54"/>
        <v>0</v>
      </c>
      <c r="BA10" s="653">
        <f t="shared" si="54"/>
        <v>-44.930000000000007</v>
      </c>
      <c r="BB10" s="436">
        <f t="shared" si="54"/>
        <v>-36.124451999999998</v>
      </c>
      <c r="BC10" s="361">
        <f t="shared" si="54"/>
        <v>-22.684162239999996</v>
      </c>
      <c r="BD10" s="371">
        <f t="shared" si="54"/>
        <v>-24.031907999999998</v>
      </c>
      <c r="BE10" s="371">
        <f t="shared" si="54"/>
        <v>-24.031907999999998</v>
      </c>
      <c r="BF10" s="651">
        <f t="shared" si="54"/>
        <v>-22.684162239999996</v>
      </c>
      <c r="BG10" s="360">
        <f>SUM(BG11:BG20)</f>
        <v>-12.759348012</v>
      </c>
      <c r="BH10" s="361">
        <f t="shared" si="54"/>
        <v>0.63783535999999996</v>
      </c>
      <c r="BI10" s="674">
        <f t="shared" si="54"/>
        <v>1.46244</v>
      </c>
      <c r="BJ10" s="512">
        <f t="shared" ref="BJ10" si="57">SUM(BJ11:BJ20)</f>
        <v>0.63783535999999996</v>
      </c>
      <c r="BK10" s="512">
        <f t="shared" si="54"/>
        <v>0.63783535999999996</v>
      </c>
      <c r="BL10" s="512">
        <f t="shared" ref="BL10:BR10" si="58">SUM(BL11:BL20)</f>
        <v>0.17502244887681331</v>
      </c>
      <c r="BM10" s="512">
        <f t="shared" si="58"/>
        <v>0.17502244887681331</v>
      </c>
      <c r="BN10" s="338">
        <f t="shared" si="58"/>
        <v>-0.17584236312318702</v>
      </c>
      <c r="BO10" s="361">
        <f t="shared" si="58"/>
        <v>0.57586909912318685</v>
      </c>
      <c r="BP10" s="674">
        <f t="shared" si="58"/>
        <v>0.55210109912318683</v>
      </c>
      <c r="BQ10" s="674">
        <f t="shared" si="58"/>
        <v>0.55210109912318683</v>
      </c>
      <c r="BR10" s="674">
        <f t="shared" si="58"/>
        <v>0.55210109912318683</v>
      </c>
      <c r="BS10" s="362">
        <f t="shared" ref="BS10:BT10" si="59">SUM(BS11:BS20)</f>
        <v>6.3922999999999994E-2</v>
      </c>
      <c r="BT10" s="362">
        <f t="shared" si="59"/>
        <v>0</v>
      </c>
      <c r="BU10" s="362">
        <f t="shared" si="54"/>
        <v>0</v>
      </c>
      <c r="BV10" s="338">
        <f>SUM(BV11:BV20)</f>
        <v>0</v>
      </c>
      <c r="BW10" s="986">
        <f>SUM(BW11:BW20)</f>
        <v>0</v>
      </c>
      <c r="BX10" s="339"/>
    </row>
    <row r="11" spans="1:76" ht="14.45" hidden="1" customHeight="1" outlineLevel="1" x14ac:dyDescent="0.25">
      <c r="A11" s="1387">
        <v>1</v>
      </c>
      <c r="B11" s="701" t="s">
        <v>537</v>
      </c>
      <c r="C11" s="1388" t="s">
        <v>537</v>
      </c>
      <c r="D11" s="1389" t="s">
        <v>420</v>
      </c>
      <c r="E11" s="1391" t="s">
        <v>567</v>
      </c>
      <c r="F11" s="1392" t="s">
        <v>132</v>
      </c>
      <c r="G11" s="73" t="s">
        <v>427</v>
      </c>
      <c r="H11" s="306" t="s">
        <v>123</v>
      </c>
      <c r="I11" s="331"/>
      <c r="J11" s="1393">
        <f>AQ11/$T$8</f>
        <v>4.9368659998581255E-3</v>
      </c>
      <c r="K11" s="1287">
        <f>AR11/$U$8</f>
        <v>5.3473545708405731E-3</v>
      </c>
      <c r="L11" s="1287">
        <f>AS11/$V$8</f>
        <v>0</v>
      </c>
      <c r="M11" s="1287">
        <f>AT11/$Y$8</f>
        <v>0</v>
      </c>
      <c r="N11" s="1287">
        <f>AU11/$Z$8</f>
        <v>0</v>
      </c>
      <c r="O11" s="1287">
        <f>AV11/$AA$8</f>
        <v>0</v>
      </c>
      <c r="P11" s="1287">
        <f>AW11/$AE$8</f>
        <v>0</v>
      </c>
      <c r="Q11" s="1287">
        <f>AX11/$AG$8</f>
        <v>0</v>
      </c>
      <c r="R11" s="1287">
        <f>AY11/$AH$8</f>
        <v>0</v>
      </c>
      <c r="S11" s="1319">
        <f>AZ11/$AN$8</f>
        <v>0</v>
      </c>
      <c r="T11" s="531">
        <f t="shared" ref="T11:AF11" si="60">BA11/T$8</f>
        <v>-1.7521458466340355E-4</v>
      </c>
      <c r="U11" s="353">
        <f t="shared" si="60"/>
        <v>-1.977616392924748E-4</v>
      </c>
      <c r="V11" s="353">
        <f t="shared" si="60"/>
        <v>0</v>
      </c>
      <c r="W11" s="354">
        <f t="shared" si="60"/>
        <v>0</v>
      </c>
      <c r="X11" s="354">
        <f t="shared" si="60"/>
        <v>0</v>
      </c>
      <c r="Y11" s="354">
        <f t="shared" si="60"/>
        <v>0</v>
      </c>
      <c r="Z11" s="1324">
        <f t="shared" si="60"/>
        <v>1.6742405875695896E-5</v>
      </c>
      <c r="AA11" s="353">
        <f t="shared" si="60"/>
        <v>0</v>
      </c>
      <c r="AB11" s="354">
        <f t="shared" si="60"/>
        <v>0</v>
      </c>
      <c r="AC11" s="354">
        <f t="shared" si="60"/>
        <v>0</v>
      </c>
      <c r="AD11" s="354">
        <f t="shared" si="60"/>
        <v>0</v>
      </c>
      <c r="AE11" s="354">
        <f t="shared" si="60"/>
        <v>0</v>
      </c>
      <c r="AF11" s="354">
        <f t="shared" si="60"/>
        <v>0</v>
      </c>
      <c r="AG11" s="353">
        <f t="shared" ref="AG11:AM11" si="61">BN11/AG$8</f>
        <v>6.8616327354149931E-6</v>
      </c>
      <c r="AH11" s="353">
        <f t="shared" si="61"/>
        <v>0</v>
      </c>
      <c r="AI11" s="354">
        <f t="shared" si="61"/>
        <v>0</v>
      </c>
      <c r="AJ11" s="354">
        <f t="shared" si="61"/>
        <v>0</v>
      </c>
      <c r="AK11" s="354">
        <f t="shared" si="61"/>
        <v>0</v>
      </c>
      <c r="AL11" s="355">
        <f t="shared" si="61"/>
        <v>0</v>
      </c>
      <c r="AM11" s="355">
        <f t="shared" si="61"/>
        <v>0</v>
      </c>
      <c r="AN11" s="355">
        <f t="shared" ref="AN11:AN20" si="62">BU11/AN$8</f>
        <v>0</v>
      </c>
      <c r="AO11" s="282"/>
      <c r="AP11" s="1320">
        <f>AR11+AU11+AW11+AY11+AZ11</f>
        <v>161.99299999999999</v>
      </c>
      <c r="AQ11" s="1321">
        <v>139.19</v>
      </c>
      <c r="AR11" s="1173">
        <v>161.99299999999999</v>
      </c>
      <c r="AS11" s="1173">
        <v>0</v>
      </c>
      <c r="AT11" s="1173">
        <v>0</v>
      </c>
      <c r="AU11" s="1173">
        <v>0</v>
      </c>
      <c r="AV11" s="1173">
        <v>0</v>
      </c>
      <c r="AW11" s="1173">
        <v>0</v>
      </c>
      <c r="AX11" s="1173">
        <v>0</v>
      </c>
      <c r="AY11" s="1173">
        <v>0</v>
      </c>
      <c r="AZ11" s="1323">
        <v>0</v>
      </c>
      <c r="BA11" s="989">
        <f>-16.45+11.51</f>
        <v>-4.9399999999999995</v>
      </c>
      <c r="BB11" s="990">
        <f>-(24.23-4.26)*30%</f>
        <v>-5.9909999999999997</v>
      </c>
      <c r="BC11" s="991">
        <f>1.64-1.64</f>
        <v>0</v>
      </c>
      <c r="BD11" s="992">
        <f>1.64-1.64</f>
        <v>0</v>
      </c>
      <c r="BE11" s="992">
        <f>1.64-1.64</f>
        <v>0</v>
      </c>
      <c r="BF11" s="993">
        <f>1.64-1.64</f>
        <v>0</v>
      </c>
      <c r="BG11" s="1171">
        <v>0.56233688000000004</v>
      </c>
      <c r="BH11" s="991">
        <f t="shared" ref="BH11:BM11" si="63">3.29-3.29</f>
        <v>0</v>
      </c>
      <c r="BI11" s="992">
        <f t="shared" si="63"/>
        <v>0</v>
      </c>
      <c r="BJ11" s="993">
        <f t="shared" si="63"/>
        <v>0</v>
      </c>
      <c r="BK11" s="993">
        <f t="shared" si="63"/>
        <v>0</v>
      </c>
      <c r="BL11" s="993">
        <f t="shared" si="63"/>
        <v>0</v>
      </c>
      <c r="BM11" s="993">
        <f t="shared" si="63"/>
        <v>0</v>
      </c>
      <c r="BN11" s="1154">
        <v>0.26815763687681299</v>
      </c>
      <c r="BO11" s="991">
        <f>6.58-6.58</f>
        <v>0</v>
      </c>
      <c r="BP11" s="994">
        <f>6.58-6.58</f>
        <v>0</v>
      </c>
      <c r="BQ11" s="994">
        <f>6.58-6.58</f>
        <v>0</v>
      </c>
      <c r="BR11" s="994">
        <f>6.58-6.58</f>
        <v>0</v>
      </c>
      <c r="BS11" s="995">
        <v>0</v>
      </c>
      <c r="BT11" s="995">
        <v>0</v>
      </c>
      <c r="BU11" s="995">
        <v>0</v>
      </c>
      <c r="BV11" s="1154">
        <v>0</v>
      </c>
      <c r="BW11" s="1269">
        <f>-BV11</f>
        <v>0</v>
      </c>
      <c r="BX11" s="1274" t="s">
        <v>1363</v>
      </c>
    </row>
    <row r="12" spans="1:76" ht="14.45" hidden="1" customHeight="1" outlineLevel="1" x14ac:dyDescent="0.25">
      <c r="A12" s="1387"/>
      <c r="B12" s="701" t="s">
        <v>537</v>
      </c>
      <c r="C12" s="1388"/>
      <c r="D12" s="1390"/>
      <c r="E12" s="1391"/>
      <c r="F12" s="1392"/>
      <c r="G12" s="73" t="s">
        <v>427</v>
      </c>
      <c r="H12" s="306" t="s">
        <v>124</v>
      </c>
      <c r="I12" s="331"/>
      <c r="J12" s="1393"/>
      <c r="K12" s="1287"/>
      <c r="L12" s="1287"/>
      <c r="M12" s="1287"/>
      <c r="N12" s="1287"/>
      <c r="O12" s="1287"/>
      <c r="P12" s="1287"/>
      <c r="Q12" s="1287"/>
      <c r="R12" s="1287"/>
      <c r="S12" s="1319"/>
      <c r="T12" s="531">
        <f t="shared" ref="T12:T20" si="64">BA12/T$8</f>
        <v>-5.8842306873802951E-4</v>
      </c>
      <c r="U12" s="353">
        <f t="shared" ref="U12:U20" si="65">BB12/U$8</f>
        <v>-4.2077576632635222E-4</v>
      </c>
      <c r="V12" s="353">
        <f t="shared" ref="V12:V20" si="66">BC12/V$8</f>
        <v>0</v>
      </c>
      <c r="W12" s="354">
        <f t="shared" ref="W12:W20" si="67">BD12/W$8</f>
        <v>0</v>
      </c>
      <c r="X12" s="354">
        <f t="shared" ref="X12:X20" si="68">BE12/X$8</f>
        <v>0</v>
      </c>
      <c r="Y12" s="354">
        <f t="shared" ref="Y12:Y20" si="69">BF12/Y$8</f>
        <v>0</v>
      </c>
      <c r="Z12" s="1325">
        <f t="shared" ref="Z12:Z20" si="70">BG12/Z$8</f>
        <v>0</v>
      </c>
      <c r="AA12" s="353">
        <f t="shared" ref="AA12:AA20" si="71">BH12/AA$8</f>
        <v>0</v>
      </c>
      <c r="AB12" s="354">
        <f t="shared" ref="AB12:AB20" si="72">BI12/AB$8</f>
        <v>0</v>
      </c>
      <c r="AC12" s="354">
        <f t="shared" ref="AC12:AC20" si="73">BJ12/AC$8</f>
        <v>0</v>
      </c>
      <c r="AD12" s="354">
        <f t="shared" ref="AD12:AD20" si="74">BK12/AD$8</f>
        <v>0</v>
      </c>
      <c r="AE12" s="354">
        <f t="shared" ref="AE12:AE20" si="75">BL12/AE$8</f>
        <v>0</v>
      </c>
      <c r="AF12" s="354">
        <f t="shared" ref="AF12:AF20" si="76">BM12/AF$8</f>
        <v>0</v>
      </c>
      <c r="AG12" s="353">
        <f t="shared" ref="AG12:AG20" si="77">BN12/AG$8</f>
        <v>0</v>
      </c>
      <c r="AH12" s="353">
        <f t="shared" ref="AH12:AH20" si="78">BO12/AH$8</f>
        <v>0</v>
      </c>
      <c r="AI12" s="354">
        <f t="shared" ref="AI12:AI20" si="79">BP12/AI$8</f>
        <v>0</v>
      </c>
      <c r="AJ12" s="354">
        <f t="shared" ref="AJ12:AJ20" si="80">BQ12/AJ$8</f>
        <v>0</v>
      </c>
      <c r="AK12" s="354">
        <f t="shared" ref="AK12:AK20" si="81">BR12/AK$8</f>
        <v>0</v>
      </c>
      <c r="AL12" s="355">
        <f t="shared" ref="AL12:AL20" si="82">BS12/AL$8</f>
        <v>0</v>
      </c>
      <c r="AM12" s="355">
        <f t="shared" ref="AM12:AM20" si="83">BT12/AM$8</f>
        <v>0</v>
      </c>
      <c r="AN12" s="355">
        <f t="shared" si="62"/>
        <v>0</v>
      </c>
      <c r="AO12" s="282"/>
      <c r="AP12" s="1322"/>
      <c r="AQ12" s="1321"/>
      <c r="AR12" s="1328"/>
      <c r="AS12" s="1173"/>
      <c r="AT12" s="1173"/>
      <c r="AU12" s="1173"/>
      <c r="AV12" s="1173"/>
      <c r="AW12" s="1173"/>
      <c r="AX12" s="1173"/>
      <c r="AY12" s="1173"/>
      <c r="AZ12" s="1323"/>
      <c r="BA12" s="989">
        <f>-55.32+38.73</f>
        <v>-16.590000000000003</v>
      </c>
      <c r="BB12" s="990">
        <f>-(52.79-10.3)*30%</f>
        <v>-12.746999999999998</v>
      </c>
      <c r="BC12" s="991">
        <f>5.53-5.53</f>
        <v>0</v>
      </c>
      <c r="BD12" s="992">
        <f>5.53-5.53</f>
        <v>0</v>
      </c>
      <c r="BE12" s="992">
        <f>5.53-5.53</f>
        <v>0</v>
      </c>
      <c r="BF12" s="993">
        <f>5.53-5.53</f>
        <v>0</v>
      </c>
      <c r="BG12" s="1171"/>
      <c r="BH12" s="991">
        <f t="shared" ref="BH12:BM12" si="84">11.07-11.07</f>
        <v>0</v>
      </c>
      <c r="BI12" s="992">
        <f t="shared" si="84"/>
        <v>0</v>
      </c>
      <c r="BJ12" s="993">
        <f t="shared" si="84"/>
        <v>0</v>
      </c>
      <c r="BK12" s="993">
        <f t="shared" si="84"/>
        <v>0</v>
      </c>
      <c r="BL12" s="993">
        <f t="shared" si="84"/>
        <v>0</v>
      </c>
      <c r="BM12" s="993">
        <f t="shared" si="84"/>
        <v>0</v>
      </c>
      <c r="BN12" s="1155"/>
      <c r="BO12" s="991">
        <f>22.13-22.13</f>
        <v>0</v>
      </c>
      <c r="BP12" s="994">
        <f>22.13-22.13</f>
        <v>0</v>
      </c>
      <c r="BQ12" s="994">
        <f>22.13-22.13</f>
        <v>0</v>
      </c>
      <c r="BR12" s="994">
        <f>22.13-22.13</f>
        <v>0</v>
      </c>
      <c r="BS12" s="995">
        <v>0</v>
      </c>
      <c r="BT12" s="995">
        <v>0</v>
      </c>
      <c r="BU12" s="995">
        <v>0</v>
      </c>
      <c r="BV12" s="1155"/>
      <c r="BW12" s="1294"/>
      <c r="BX12" s="1327"/>
    </row>
    <row r="13" spans="1:76" ht="14.45" hidden="1" customHeight="1" outlineLevel="1" x14ac:dyDescent="0.25">
      <c r="A13" s="1387"/>
      <c r="B13" s="701" t="s">
        <v>537</v>
      </c>
      <c r="C13" s="1388"/>
      <c r="D13" s="1390"/>
      <c r="E13" s="1391"/>
      <c r="F13" s="1392"/>
      <c r="G13" s="73" t="s">
        <v>427</v>
      </c>
      <c r="H13" s="394" t="s">
        <v>125</v>
      </c>
      <c r="I13" s="332"/>
      <c r="J13" s="1393"/>
      <c r="K13" s="1287"/>
      <c r="L13" s="1287"/>
      <c r="M13" s="1287"/>
      <c r="N13" s="1287"/>
      <c r="O13" s="1287"/>
      <c r="P13" s="1287"/>
      <c r="Q13" s="1287"/>
      <c r="R13" s="1287"/>
      <c r="S13" s="1319"/>
      <c r="T13" s="531">
        <f t="shared" si="64"/>
        <v>-6.1254167553380162E-4</v>
      </c>
      <c r="U13" s="353">
        <f t="shared" si="65"/>
        <v>-5.5560266052288507E-4</v>
      </c>
      <c r="V13" s="353">
        <f t="shared" si="66"/>
        <v>5.2105093046033316E-6</v>
      </c>
      <c r="W13" s="354">
        <f t="shared" si="67"/>
        <v>6.6999471679157363E-6</v>
      </c>
      <c r="X13" s="354">
        <f t="shared" si="68"/>
        <v>6.5429102093140812E-6</v>
      </c>
      <c r="Y13" s="354">
        <f t="shared" si="69"/>
        <v>5.427803334672243E-6</v>
      </c>
      <c r="Z13" s="1325">
        <f t="shared" si="70"/>
        <v>0</v>
      </c>
      <c r="AA13" s="353">
        <f t="shared" si="71"/>
        <v>8.941324233660277E-6</v>
      </c>
      <c r="AB13" s="354">
        <f t="shared" si="72"/>
        <v>1.2081676120484368E-5</v>
      </c>
      <c r="AC13" s="354">
        <f t="shared" si="73"/>
        <v>1.03649917481277E-5</v>
      </c>
      <c r="AD13" s="354">
        <f t="shared" si="74"/>
        <v>1.03649917481277E-5</v>
      </c>
      <c r="AE13" s="354">
        <f t="shared" si="75"/>
        <v>6.9900014838764576E-6</v>
      </c>
      <c r="AF13" s="354">
        <f t="shared" si="76"/>
        <v>6.7993305522387872E-6</v>
      </c>
      <c r="AG13" s="353">
        <f t="shared" si="77"/>
        <v>0</v>
      </c>
      <c r="AH13" s="353">
        <f t="shared" si="78"/>
        <v>8.7634982026823054E-6</v>
      </c>
      <c r="AI13" s="354">
        <f t="shared" si="79"/>
        <v>9.3262342686365266E-6</v>
      </c>
      <c r="AJ13" s="354">
        <f t="shared" si="80"/>
        <v>9.0450608958241607E-6</v>
      </c>
      <c r="AK13" s="354">
        <f t="shared" si="81"/>
        <v>8.8335005648842864E-6</v>
      </c>
      <c r="AL13" s="355">
        <f t="shared" si="82"/>
        <v>0</v>
      </c>
      <c r="AM13" s="355">
        <f t="shared" si="83"/>
        <v>0</v>
      </c>
      <c r="AN13" s="355">
        <f t="shared" si="62"/>
        <v>0</v>
      </c>
      <c r="AO13" s="282"/>
      <c r="AP13" s="1322"/>
      <c r="AQ13" s="1321"/>
      <c r="AR13" s="1328"/>
      <c r="AS13" s="1173"/>
      <c r="AT13" s="1173"/>
      <c r="AU13" s="1173"/>
      <c r="AV13" s="1173"/>
      <c r="AW13" s="1173"/>
      <c r="AX13" s="1173"/>
      <c r="AY13" s="1173"/>
      <c r="AZ13" s="1323"/>
      <c r="BA13" s="989">
        <f>-53.96+36.69</f>
        <v>-17.270000000000003</v>
      </c>
      <c r="BB13" s="990">
        <f>-(73.4-11.36)*30%*0.811+-(73.4-11.36)*0.028</f>
        <v>-16.831452000000002</v>
      </c>
      <c r="BC13" s="991">
        <f t="shared" ref="BC13" si="85">(73.4-11.36)*0.028*70%*0.14</f>
        <v>0.17023776000000004</v>
      </c>
      <c r="BD13" s="992">
        <f>73.29*10%*0.028</f>
        <v>0.20521200000000003</v>
      </c>
      <c r="BE13" s="992">
        <f>73.29*10%*0.028</f>
        <v>0.20521200000000003</v>
      </c>
      <c r="BF13" s="993">
        <f>(73.4-11.36)*0.028*70%*0.14</f>
        <v>0.17023776000000004</v>
      </c>
      <c r="BG13" s="1171"/>
      <c r="BH13" s="991">
        <f>(73.4-11.36)*0.028*70%*0.29</f>
        <v>0.35263536000000001</v>
      </c>
      <c r="BI13" s="992">
        <f>73.4*20%*0.028</f>
        <v>0.41104000000000007</v>
      </c>
      <c r="BJ13" s="993">
        <f>(73.4-11.36)*0.028*70%*0.29</f>
        <v>0.35263536000000001</v>
      </c>
      <c r="BK13" s="993">
        <f>(73.4-11.36)*0.028*70%*0.29</f>
        <v>0.35263536000000001</v>
      </c>
      <c r="BL13" s="993">
        <v>0.26815763687681332</v>
      </c>
      <c r="BM13" s="993">
        <v>0.26815763687681332</v>
      </c>
      <c r="BN13" s="1155"/>
      <c r="BO13" s="991">
        <v>0.38546909912318683</v>
      </c>
      <c r="BP13" s="994">
        <v>0.38546909912318683</v>
      </c>
      <c r="BQ13" s="994">
        <v>0.38546909912318683</v>
      </c>
      <c r="BR13" s="994">
        <v>0.38546909912318683</v>
      </c>
      <c r="BS13" s="995">
        <v>0</v>
      </c>
      <c r="BT13" s="995">
        <v>0</v>
      </c>
      <c r="BU13" s="995">
        <v>0</v>
      </c>
      <c r="BV13" s="1155"/>
      <c r="BW13" s="1294"/>
      <c r="BX13" s="1327"/>
    </row>
    <row r="14" spans="1:76" ht="14.45" hidden="1" customHeight="1" outlineLevel="1" x14ac:dyDescent="0.25">
      <c r="A14" s="1387"/>
      <c r="B14" s="701" t="s">
        <v>537</v>
      </c>
      <c r="C14" s="1388"/>
      <c r="D14" s="1390"/>
      <c r="E14" s="1391"/>
      <c r="F14" s="1392"/>
      <c r="G14" s="73" t="s">
        <v>427</v>
      </c>
      <c r="H14" s="394" t="s">
        <v>124</v>
      </c>
      <c r="I14" s="332"/>
      <c r="J14" s="1393"/>
      <c r="K14" s="1287"/>
      <c r="L14" s="1287"/>
      <c r="M14" s="1287"/>
      <c r="N14" s="1287"/>
      <c r="O14" s="1287"/>
      <c r="P14" s="1287"/>
      <c r="Q14" s="1287"/>
      <c r="R14" s="1287"/>
      <c r="S14" s="1319"/>
      <c r="T14" s="531">
        <f t="shared" si="64"/>
        <v>-1.0605093282258638E-4</v>
      </c>
      <c r="U14" s="353">
        <f t="shared" si="65"/>
        <v>0</v>
      </c>
      <c r="V14" s="353">
        <f t="shared" si="66"/>
        <v>0</v>
      </c>
      <c r="W14" s="354">
        <f t="shared" si="67"/>
        <v>1.2210690606789493E-5</v>
      </c>
      <c r="X14" s="354">
        <f t="shared" si="68"/>
        <v>1.192448988501387E-5</v>
      </c>
      <c r="Y14" s="354">
        <f t="shared" si="69"/>
        <v>0</v>
      </c>
      <c r="Z14" s="1325">
        <f t="shared" si="70"/>
        <v>0</v>
      </c>
      <c r="AA14" s="353">
        <f t="shared" si="71"/>
        <v>0</v>
      </c>
      <c r="AB14" s="354">
        <f t="shared" si="72"/>
        <v>2.1985922873983814E-5</v>
      </c>
      <c r="AC14" s="354">
        <f t="shared" si="73"/>
        <v>0</v>
      </c>
      <c r="AD14" s="354">
        <f t="shared" si="74"/>
        <v>0</v>
      </c>
      <c r="AE14" s="354">
        <f t="shared" si="75"/>
        <v>0</v>
      </c>
      <c r="AF14" s="354">
        <f t="shared" si="76"/>
        <v>0</v>
      </c>
      <c r="AG14" s="353">
        <f t="shared" si="77"/>
        <v>0</v>
      </c>
      <c r="AH14" s="353">
        <f t="shared" si="78"/>
        <v>0</v>
      </c>
      <c r="AI14" s="354">
        <f t="shared" si="79"/>
        <v>0</v>
      </c>
      <c r="AJ14" s="354">
        <f t="shared" si="80"/>
        <v>0</v>
      </c>
      <c r="AK14" s="354">
        <f t="shared" si="81"/>
        <v>0</v>
      </c>
      <c r="AL14" s="355">
        <f t="shared" si="82"/>
        <v>0</v>
      </c>
      <c r="AM14" s="355">
        <f t="shared" si="83"/>
        <v>0</v>
      </c>
      <c r="AN14" s="355">
        <f t="shared" si="62"/>
        <v>0</v>
      </c>
      <c r="AO14" s="282"/>
      <c r="AP14" s="1322"/>
      <c r="AQ14" s="1321"/>
      <c r="AR14" s="1328"/>
      <c r="AS14" s="1173"/>
      <c r="AT14" s="1173"/>
      <c r="AU14" s="1173"/>
      <c r="AV14" s="1173"/>
      <c r="AW14" s="1173"/>
      <c r="AX14" s="1173"/>
      <c r="AY14" s="1173"/>
      <c r="AZ14" s="1323"/>
      <c r="BA14" s="989">
        <f>-2.99</f>
        <v>-2.99</v>
      </c>
      <c r="BB14" s="990">
        <v>0</v>
      </c>
      <c r="BC14" s="991">
        <v>0</v>
      </c>
      <c r="BD14" s="992">
        <f>3.74*10%</f>
        <v>0.37400000000000005</v>
      </c>
      <c r="BE14" s="992">
        <f>3.74*10%</f>
        <v>0.37400000000000005</v>
      </c>
      <c r="BF14" s="993">
        <v>0</v>
      </c>
      <c r="BG14" s="1171"/>
      <c r="BH14" s="991">
        <v>0</v>
      </c>
      <c r="BI14" s="992">
        <f>3.74*20%</f>
        <v>0.74800000000000011</v>
      </c>
      <c r="BJ14" s="993">
        <v>0</v>
      </c>
      <c r="BK14" s="993">
        <v>0</v>
      </c>
      <c r="BL14" s="993">
        <v>0</v>
      </c>
      <c r="BM14" s="993">
        <v>0</v>
      </c>
      <c r="BN14" s="1155"/>
      <c r="BO14" s="991">
        <v>0</v>
      </c>
      <c r="BP14" s="994">
        <v>0</v>
      </c>
      <c r="BQ14" s="994">
        <v>0</v>
      </c>
      <c r="BR14" s="994">
        <v>0</v>
      </c>
      <c r="BS14" s="995">
        <v>0</v>
      </c>
      <c r="BT14" s="995">
        <v>0</v>
      </c>
      <c r="BU14" s="995">
        <v>0</v>
      </c>
      <c r="BV14" s="1155"/>
      <c r="BW14" s="1294"/>
      <c r="BX14" s="1327"/>
    </row>
    <row r="15" spans="1:76" ht="14.45" hidden="1" customHeight="1" outlineLevel="1" x14ac:dyDescent="0.25">
      <c r="A15" s="1387"/>
      <c r="B15" s="701" t="s">
        <v>537</v>
      </c>
      <c r="C15" s="1388"/>
      <c r="D15" s="1390"/>
      <c r="E15" s="1391"/>
      <c r="F15" s="1392"/>
      <c r="G15" s="73" t="s">
        <v>427</v>
      </c>
      <c r="H15" s="306" t="s">
        <v>124</v>
      </c>
      <c r="I15" s="331"/>
      <c r="J15" s="1393"/>
      <c r="K15" s="1287"/>
      <c r="L15" s="1287"/>
      <c r="M15" s="1287"/>
      <c r="N15" s="1287"/>
      <c r="O15" s="1287"/>
      <c r="P15" s="1287"/>
      <c r="Q15" s="1287"/>
      <c r="R15" s="1287"/>
      <c r="S15" s="1319"/>
      <c r="T15" s="531">
        <f t="shared" si="64"/>
        <v>-1.1137121373341848E-4</v>
      </c>
      <c r="U15" s="353">
        <f t="shared" si="65"/>
        <v>-1.8320432282978392E-5</v>
      </c>
      <c r="V15" s="353">
        <f t="shared" si="66"/>
        <v>0</v>
      </c>
      <c r="W15" s="354">
        <f t="shared" si="67"/>
        <v>0</v>
      </c>
      <c r="X15" s="354">
        <f t="shared" si="68"/>
        <v>0</v>
      </c>
      <c r="Y15" s="354">
        <f t="shared" si="69"/>
        <v>0</v>
      </c>
      <c r="Z15" s="1326">
        <f t="shared" si="70"/>
        <v>0</v>
      </c>
      <c r="AA15" s="353">
        <f t="shared" si="71"/>
        <v>0</v>
      </c>
      <c r="AB15" s="354">
        <f t="shared" si="72"/>
        <v>0</v>
      </c>
      <c r="AC15" s="354">
        <f t="shared" si="73"/>
        <v>0</v>
      </c>
      <c r="AD15" s="354">
        <f t="shared" si="74"/>
        <v>0</v>
      </c>
      <c r="AE15" s="354">
        <f t="shared" si="75"/>
        <v>0</v>
      </c>
      <c r="AF15" s="354">
        <f t="shared" si="76"/>
        <v>0</v>
      </c>
      <c r="AG15" s="353">
        <f t="shared" si="77"/>
        <v>0</v>
      </c>
      <c r="AH15" s="353">
        <f t="shared" si="78"/>
        <v>0</v>
      </c>
      <c r="AI15" s="354">
        <f t="shared" si="79"/>
        <v>0</v>
      </c>
      <c r="AJ15" s="354">
        <f t="shared" si="80"/>
        <v>0</v>
      </c>
      <c r="AK15" s="354">
        <f t="shared" si="81"/>
        <v>0</v>
      </c>
      <c r="AL15" s="355">
        <f t="shared" si="82"/>
        <v>0</v>
      </c>
      <c r="AM15" s="355">
        <f t="shared" si="83"/>
        <v>0</v>
      </c>
      <c r="AN15" s="355">
        <f t="shared" si="62"/>
        <v>0</v>
      </c>
      <c r="AO15" s="282"/>
      <c r="AP15" s="1322"/>
      <c r="AQ15" s="1321"/>
      <c r="AR15" s="1328"/>
      <c r="AS15" s="1173"/>
      <c r="AT15" s="1173"/>
      <c r="AU15" s="1173"/>
      <c r="AV15" s="1173"/>
      <c r="AW15" s="1173"/>
      <c r="AX15" s="1173"/>
      <c r="AY15" s="1173"/>
      <c r="AZ15" s="1323"/>
      <c r="BA15" s="989">
        <f>-10.47+7.33</f>
        <v>-3.1400000000000006</v>
      </c>
      <c r="BB15" s="990">
        <f>-(6.48-4.63)*30%</f>
        <v>-0.55500000000000016</v>
      </c>
      <c r="BC15" s="991">
        <f>1.05-1.05</f>
        <v>0</v>
      </c>
      <c r="BD15" s="992">
        <f>1.05-1.05</f>
        <v>0</v>
      </c>
      <c r="BE15" s="992">
        <f>1.05-1.05</f>
        <v>0</v>
      </c>
      <c r="BF15" s="993">
        <f>1.05-1.05</f>
        <v>0</v>
      </c>
      <c r="BG15" s="1171"/>
      <c r="BH15" s="991">
        <f t="shared" ref="BH15:BM15" si="86">2.09-2.09</f>
        <v>0</v>
      </c>
      <c r="BI15" s="992">
        <f t="shared" si="86"/>
        <v>0</v>
      </c>
      <c r="BJ15" s="993">
        <f t="shared" si="86"/>
        <v>0</v>
      </c>
      <c r="BK15" s="993">
        <f t="shared" si="86"/>
        <v>0</v>
      </c>
      <c r="BL15" s="993">
        <f t="shared" si="86"/>
        <v>0</v>
      </c>
      <c r="BM15" s="993">
        <f t="shared" si="86"/>
        <v>0</v>
      </c>
      <c r="BN15" s="1155"/>
      <c r="BO15" s="991">
        <f>4.19-4.19</f>
        <v>0</v>
      </c>
      <c r="BP15" s="994">
        <f>4.19-4.19</f>
        <v>0</v>
      </c>
      <c r="BQ15" s="994">
        <f>4.19-4.19</f>
        <v>0</v>
      </c>
      <c r="BR15" s="994">
        <f>4.19-4.19</f>
        <v>0</v>
      </c>
      <c r="BS15" s="995">
        <v>0</v>
      </c>
      <c r="BT15" s="995">
        <v>0</v>
      </c>
      <c r="BU15" s="995">
        <v>0</v>
      </c>
      <c r="BV15" s="1155"/>
      <c r="BW15" s="1294"/>
      <c r="BX15" s="1327"/>
    </row>
    <row r="16" spans="1:76" ht="14.45" hidden="1" customHeight="1" outlineLevel="1" x14ac:dyDescent="0.25">
      <c r="A16" s="1387"/>
      <c r="B16" s="701" t="s">
        <v>537</v>
      </c>
      <c r="C16" s="1388"/>
      <c r="D16" s="1390"/>
      <c r="E16" s="1391"/>
      <c r="F16" s="1392"/>
      <c r="G16" s="73" t="s">
        <v>427</v>
      </c>
      <c r="H16" s="306" t="s">
        <v>123</v>
      </c>
      <c r="I16" s="331"/>
      <c r="J16" s="1393">
        <f>AQ16/$T$8</f>
        <v>0</v>
      </c>
      <c r="K16" s="1287">
        <f>AR16/$U$8</f>
        <v>0</v>
      </c>
      <c r="L16" s="1287">
        <f>AS16/$V$8</f>
        <v>2.2955435847208617E-3</v>
      </c>
      <c r="M16" s="1287">
        <f>AT16/$Y$8</f>
        <v>2.3912747095616044E-3</v>
      </c>
      <c r="N16" s="1287">
        <f>AU16/$Z$8</f>
        <v>1.8622955825425822E-3</v>
      </c>
      <c r="O16" s="1287">
        <f>AV16/$AA$8</f>
        <v>0</v>
      </c>
      <c r="P16" s="1287">
        <f>AW16/$AE$8</f>
        <v>0</v>
      </c>
      <c r="Q16" s="1287">
        <f>AX16/$AG$8</f>
        <v>3.7870323466041436E-5</v>
      </c>
      <c r="R16" s="1287">
        <f>AY16/$AH$8</f>
        <v>0</v>
      </c>
      <c r="S16" s="1319">
        <f>AZ16/$AN$8</f>
        <v>0</v>
      </c>
      <c r="T16" s="531">
        <f t="shared" si="64"/>
        <v>0</v>
      </c>
      <c r="U16" s="353">
        <f t="shared" si="65"/>
        <v>0</v>
      </c>
      <c r="V16" s="353">
        <f t="shared" si="66"/>
        <v>-1.0804358472086188E-4</v>
      </c>
      <c r="W16" s="354">
        <f t="shared" si="67"/>
        <v>-1.1525063594108795E-4</v>
      </c>
      <c r="X16" s="354">
        <f t="shared" si="68"/>
        <v>-1.1254932966336617E-4</v>
      </c>
      <c r="Y16" s="354">
        <f t="shared" si="69"/>
        <v>-1.1254932966336617E-4</v>
      </c>
      <c r="Z16" s="1324">
        <f>BG16/Z$8</f>
        <v>-3.9662533855149256E-4</v>
      </c>
      <c r="AA16" s="353">
        <f t="shared" si="71"/>
        <v>0</v>
      </c>
      <c r="AB16" s="354">
        <f t="shared" si="72"/>
        <v>0</v>
      </c>
      <c r="AC16" s="354">
        <f t="shared" si="73"/>
        <v>0</v>
      </c>
      <c r="AD16" s="354">
        <f t="shared" si="74"/>
        <v>0</v>
      </c>
      <c r="AE16" s="354">
        <f t="shared" si="75"/>
        <v>-1.9559977387035016E-6</v>
      </c>
      <c r="AF16" s="354">
        <f t="shared" si="76"/>
        <v>-1.9026426840615184E-6</v>
      </c>
      <c r="AG16" s="353">
        <f t="shared" si="77"/>
        <v>-1.1361097039812431E-5</v>
      </c>
      <c r="AH16" s="353">
        <f t="shared" si="78"/>
        <v>0</v>
      </c>
      <c r="AI16" s="354">
        <f t="shared" si="79"/>
        <v>0</v>
      </c>
      <c r="AJ16" s="354">
        <f t="shared" si="80"/>
        <v>0</v>
      </c>
      <c r="AK16" s="354">
        <f t="shared" si="81"/>
        <v>0</v>
      </c>
      <c r="AL16" s="355">
        <f t="shared" si="82"/>
        <v>0</v>
      </c>
      <c r="AM16" s="355">
        <f t="shared" si="83"/>
        <v>0</v>
      </c>
      <c r="AN16" s="355">
        <f t="shared" si="62"/>
        <v>0</v>
      </c>
      <c r="AO16" s="282"/>
      <c r="AP16" s="1320">
        <f>AR16+AU16+AZ16+AW16+AY16</f>
        <v>62.55</v>
      </c>
      <c r="AQ16" s="1321">
        <v>0</v>
      </c>
      <c r="AR16" s="1173">
        <v>0</v>
      </c>
      <c r="AS16" s="1173">
        <v>75</v>
      </c>
      <c r="AT16" s="1173">
        <v>75</v>
      </c>
      <c r="AU16" s="1173">
        <v>62.55</v>
      </c>
      <c r="AV16" s="1174">
        <v>0</v>
      </c>
      <c r="AW16" s="1174">
        <v>0</v>
      </c>
      <c r="AX16" s="1174">
        <v>1.48</v>
      </c>
      <c r="AY16" s="1173">
        <v>0</v>
      </c>
      <c r="AZ16" s="1323">
        <v>0</v>
      </c>
      <c r="BA16" s="989">
        <v>0</v>
      </c>
      <c r="BB16" s="990">
        <v>0</v>
      </c>
      <c r="BC16" s="991">
        <f>-11.76+8.23</f>
        <v>-3.5299999999999994</v>
      </c>
      <c r="BD16" s="992">
        <f>-11.76+8.23</f>
        <v>-3.5299999999999994</v>
      </c>
      <c r="BE16" s="992">
        <f>-11.76+8.23</f>
        <v>-3.5299999999999994</v>
      </c>
      <c r="BF16" s="993">
        <f>-11.76+8.23</f>
        <v>-3.5299999999999994</v>
      </c>
      <c r="BG16" s="1171">
        <f>-13.267510952-0.05417394</f>
        <v>-13.321684892</v>
      </c>
      <c r="BH16" s="991">
        <f>1.18-1.18</f>
        <v>0</v>
      </c>
      <c r="BI16" s="992">
        <f>1.18-1.18</f>
        <v>0</v>
      </c>
      <c r="BJ16" s="993">
        <f>1.18-1.18</f>
        <v>0</v>
      </c>
      <c r="BK16" s="993">
        <f>1.18-1.18</f>
        <v>0</v>
      </c>
      <c r="BL16" s="996">
        <f>-0.075038</f>
        <v>-7.5037999999999994E-2</v>
      </c>
      <c r="BM16" s="996">
        <f>-0.075038</f>
        <v>-7.5037999999999994E-2</v>
      </c>
      <c r="BN16" s="1161">
        <v>-0.44400000000000001</v>
      </c>
      <c r="BO16" s="991">
        <f>2.35-2.35</f>
        <v>0</v>
      </c>
      <c r="BP16" s="997">
        <v>0</v>
      </c>
      <c r="BQ16" s="997">
        <v>0</v>
      </c>
      <c r="BR16" s="997">
        <v>0</v>
      </c>
      <c r="BS16" s="995">
        <v>0</v>
      </c>
      <c r="BT16" s="995">
        <v>0</v>
      </c>
      <c r="BU16" s="995">
        <v>0</v>
      </c>
      <c r="BV16" s="1161">
        <v>0</v>
      </c>
      <c r="BW16" s="1316">
        <v>0</v>
      </c>
      <c r="BX16" s="1279" t="s">
        <v>1641</v>
      </c>
    </row>
    <row r="17" spans="1:76" ht="14.45" hidden="1" customHeight="1" outlineLevel="1" x14ac:dyDescent="0.25">
      <c r="A17" s="1387"/>
      <c r="B17" s="701" t="s">
        <v>537</v>
      </c>
      <c r="C17" s="1388"/>
      <c r="D17" s="1390"/>
      <c r="E17" s="1391"/>
      <c r="F17" s="1392"/>
      <c r="G17" s="73" t="s">
        <v>427</v>
      </c>
      <c r="H17" s="306" t="s">
        <v>124</v>
      </c>
      <c r="I17" s="331"/>
      <c r="J17" s="1393"/>
      <c r="K17" s="1287"/>
      <c r="L17" s="1287"/>
      <c r="M17" s="1287"/>
      <c r="N17" s="1287"/>
      <c r="O17" s="1287"/>
      <c r="P17" s="1287"/>
      <c r="Q17" s="1287"/>
      <c r="R17" s="1287"/>
      <c r="S17" s="1319"/>
      <c r="T17" s="531">
        <f t="shared" si="64"/>
        <v>0</v>
      </c>
      <c r="U17" s="353">
        <f t="shared" si="65"/>
        <v>0</v>
      </c>
      <c r="V17" s="353">
        <f t="shared" si="66"/>
        <v>-2.237389813907933E-4</v>
      </c>
      <c r="W17" s="354">
        <f t="shared" si="67"/>
        <v>-2.3866349822361274E-4</v>
      </c>
      <c r="X17" s="354">
        <f t="shared" si="68"/>
        <v>-2.3306957502527103E-4</v>
      </c>
      <c r="Y17" s="354">
        <f t="shared" si="69"/>
        <v>-2.3306957502527103E-4</v>
      </c>
      <c r="Z17" s="1325">
        <f t="shared" si="70"/>
        <v>0</v>
      </c>
      <c r="AA17" s="353">
        <f t="shared" si="71"/>
        <v>0</v>
      </c>
      <c r="AB17" s="354">
        <f t="shared" si="72"/>
        <v>0</v>
      </c>
      <c r="AC17" s="354">
        <f t="shared" si="73"/>
        <v>0</v>
      </c>
      <c r="AD17" s="354">
        <f t="shared" si="74"/>
        <v>0</v>
      </c>
      <c r="AE17" s="354">
        <f t="shared" si="75"/>
        <v>-4.5616834706830254E-7</v>
      </c>
      <c r="AF17" s="354">
        <f t="shared" si="76"/>
        <v>-4.4372513887732317E-7</v>
      </c>
      <c r="AG17" s="353">
        <f t="shared" si="77"/>
        <v>0</v>
      </c>
      <c r="AH17" s="353">
        <f t="shared" si="78"/>
        <v>0</v>
      </c>
      <c r="AI17" s="354">
        <f t="shared" si="79"/>
        <v>0</v>
      </c>
      <c r="AJ17" s="354">
        <f t="shared" si="80"/>
        <v>0</v>
      </c>
      <c r="AK17" s="354">
        <f t="shared" si="81"/>
        <v>0</v>
      </c>
      <c r="AL17" s="355">
        <f t="shared" si="82"/>
        <v>0</v>
      </c>
      <c r="AM17" s="355">
        <f t="shared" si="83"/>
        <v>0</v>
      </c>
      <c r="AN17" s="355">
        <f t="shared" si="62"/>
        <v>0</v>
      </c>
      <c r="AO17" s="282"/>
      <c r="AP17" s="1320"/>
      <c r="AQ17" s="1321"/>
      <c r="AR17" s="1173"/>
      <c r="AS17" s="1173"/>
      <c r="AT17" s="1173"/>
      <c r="AU17" s="1173"/>
      <c r="AV17" s="1174"/>
      <c r="AW17" s="1174"/>
      <c r="AX17" s="1174"/>
      <c r="AY17" s="1173"/>
      <c r="AZ17" s="1323"/>
      <c r="BA17" s="989">
        <v>0</v>
      </c>
      <c r="BB17" s="990">
        <v>0</v>
      </c>
      <c r="BC17" s="991">
        <f>-24.38+17.07</f>
        <v>-7.3099999999999987</v>
      </c>
      <c r="BD17" s="992">
        <f>-24.38+17.07</f>
        <v>-7.3099999999999987</v>
      </c>
      <c r="BE17" s="992">
        <f>-24.38+17.07</f>
        <v>-7.3099999999999987</v>
      </c>
      <c r="BF17" s="993">
        <f>-24.38+17.07</f>
        <v>-7.3099999999999987</v>
      </c>
      <c r="BG17" s="1171"/>
      <c r="BH17" s="991">
        <f>2.44-2.44</f>
        <v>0</v>
      </c>
      <c r="BI17" s="992">
        <f>2.44-2.44</f>
        <v>0</v>
      </c>
      <c r="BJ17" s="993">
        <f>2.44-2.44</f>
        <v>0</v>
      </c>
      <c r="BK17" s="993">
        <f>2.44-2.44</f>
        <v>0</v>
      </c>
      <c r="BL17" s="996">
        <f>-0.0175</f>
        <v>-1.7500000000000002E-2</v>
      </c>
      <c r="BM17" s="996">
        <f>-0.0175</f>
        <v>-1.7500000000000002E-2</v>
      </c>
      <c r="BN17" s="1161"/>
      <c r="BO17" s="991">
        <f>4.88-4.88</f>
        <v>0</v>
      </c>
      <c r="BP17" s="997">
        <v>0</v>
      </c>
      <c r="BQ17" s="997">
        <v>0</v>
      </c>
      <c r="BR17" s="997">
        <v>0</v>
      </c>
      <c r="BS17" s="995">
        <v>0</v>
      </c>
      <c r="BT17" s="995">
        <v>0</v>
      </c>
      <c r="BU17" s="995">
        <v>0</v>
      </c>
      <c r="BV17" s="1161"/>
      <c r="BW17" s="1316"/>
      <c r="BX17" s="1279"/>
    </row>
    <row r="18" spans="1:76" ht="14.45" hidden="1" customHeight="1" outlineLevel="1" x14ac:dyDescent="0.25">
      <c r="A18" s="1387"/>
      <c r="B18" s="701" t="s">
        <v>537</v>
      </c>
      <c r="C18" s="1388"/>
      <c r="D18" s="1390"/>
      <c r="E18" s="1391"/>
      <c r="F18" s="1392"/>
      <c r="G18" s="73" t="s">
        <v>427</v>
      </c>
      <c r="H18" s="394" t="s">
        <v>125</v>
      </c>
      <c r="I18" s="332"/>
      <c r="J18" s="1393"/>
      <c r="K18" s="1287"/>
      <c r="L18" s="1287"/>
      <c r="M18" s="1287"/>
      <c r="N18" s="1287"/>
      <c r="O18" s="1287"/>
      <c r="P18" s="1287"/>
      <c r="Q18" s="1287"/>
      <c r="R18" s="1287"/>
      <c r="S18" s="1319"/>
      <c r="T18" s="531">
        <f t="shared" si="64"/>
        <v>0</v>
      </c>
      <c r="U18" s="353">
        <f t="shared" si="65"/>
        <v>0</v>
      </c>
      <c r="V18" s="353">
        <f t="shared" si="66"/>
        <v>-2.8263956904995093E-4</v>
      </c>
      <c r="W18" s="354">
        <f t="shared" si="67"/>
        <v>-3.5884803674357242E-4</v>
      </c>
      <c r="X18" s="354">
        <f t="shared" si="68"/>
        <v>-3.5043716381008989E-4</v>
      </c>
      <c r="Y18" s="354">
        <f t="shared" si="69"/>
        <v>-2.9442649570634232E-4</v>
      </c>
      <c r="Z18" s="1325">
        <f t="shared" si="70"/>
        <v>0</v>
      </c>
      <c r="AA18" s="353">
        <f t="shared" si="71"/>
        <v>2.4138647554926378E-6</v>
      </c>
      <c r="AB18" s="354">
        <f t="shared" si="72"/>
        <v>3.3331599651200051E-6</v>
      </c>
      <c r="AC18" s="354">
        <f t="shared" si="73"/>
        <v>2.798208365779759E-6</v>
      </c>
      <c r="AD18" s="354">
        <f t="shared" si="74"/>
        <v>2.798208365779759E-6</v>
      </c>
      <c r="AE18" s="354">
        <f t="shared" si="75"/>
        <v>-1.5566757877087127E-8</v>
      </c>
      <c r="AF18" s="354">
        <f t="shared" si="76"/>
        <v>-1.5142133042049723E-8</v>
      </c>
      <c r="AG18" s="353">
        <f t="shared" si="77"/>
        <v>0</v>
      </c>
      <c r="AH18" s="353">
        <f t="shared" si="78"/>
        <v>4.3286739756472025E-6</v>
      </c>
      <c r="AI18" s="354">
        <f t="shared" si="79"/>
        <v>4.031578853366932E-6</v>
      </c>
      <c r="AJ18" s="354">
        <f t="shared" si="80"/>
        <v>3.9100321935567319E-6</v>
      </c>
      <c r="AK18" s="354">
        <f t="shared" si="81"/>
        <v>3.8185781155376089E-6</v>
      </c>
      <c r="AL18" s="355">
        <f t="shared" si="82"/>
        <v>1.3891200732222935E-6</v>
      </c>
      <c r="AM18" s="355">
        <f t="shared" si="83"/>
        <v>0</v>
      </c>
      <c r="AN18" s="355">
        <f t="shared" si="62"/>
        <v>0</v>
      </c>
      <c r="AO18" s="282"/>
      <c r="AP18" s="1320"/>
      <c r="AQ18" s="1321"/>
      <c r="AR18" s="1173"/>
      <c r="AS18" s="1173"/>
      <c r="AT18" s="1173"/>
      <c r="AU18" s="1173"/>
      <c r="AV18" s="1174"/>
      <c r="AW18" s="1174"/>
      <c r="AX18" s="1174"/>
      <c r="AY18" s="1173"/>
      <c r="AZ18" s="1323"/>
      <c r="BA18" s="989">
        <v>0</v>
      </c>
      <c r="BB18" s="990">
        <v>0</v>
      </c>
      <c r="BC18" s="991">
        <f t="shared" ref="BC18" si="87">-28.56+19.3256</f>
        <v>-9.2343999999999973</v>
      </c>
      <c r="BD18" s="992">
        <f>-34.0032+23.01208</f>
        <v>-10.991119999999999</v>
      </c>
      <c r="BE18" s="992">
        <f>-34.0032+23.01208</f>
        <v>-10.991119999999999</v>
      </c>
      <c r="BF18" s="993">
        <f t="shared" ref="BF18" si="88">-28.56+19.3256</f>
        <v>-9.2343999999999973</v>
      </c>
      <c r="BG18" s="1171"/>
      <c r="BH18" s="991">
        <v>9.5199999999999993E-2</v>
      </c>
      <c r="BI18" s="992">
        <v>0.1134</v>
      </c>
      <c r="BJ18" s="993">
        <v>9.5199999999999993E-2</v>
      </c>
      <c r="BK18" s="993">
        <v>9.5199999999999993E-2</v>
      </c>
      <c r="BL18" s="996">
        <f>0.108899-0.109496188</f>
        <v>-5.971879999999985E-4</v>
      </c>
      <c r="BM18" s="996">
        <f>0.108899-0.109496188</f>
        <v>-5.971879999999985E-4</v>
      </c>
      <c r="BN18" s="1161"/>
      <c r="BO18" s="991">
        <v>0.19039999999999999</v>
      </c>
      <c r="BP18" s="997">
        <f>0.160166+0.006466</f>
        <v>0.166632</v>
      </c>
      <c r="BQ18" s="997">
        <f>0.160166+0.006466</f>
        <v>0.166632</v>
      </c>
      <c r="BR18" s="997">
        <f>0.160166+0.006466</f>
        <v>0.166632</v>
      </c>
      <c r="BS18" s="995">
        <v>6.3922999999999994E-2</v>
      </c>
      <c r="BT18" s="995">
        <v>0</v>
      </c>
      <c r="BU18" s="995">
        <v>0</v>
      </c>
      <c r="BV18" s="1161"/>
      <c r="BW18" s="1316"/>
      <c r="BX18" s="1279"/>
    </row>
    <row r="19" spans="1:76" ht="14.45" hidden="1" customHeight="1" outlineLevel="1" x14ac:dyDescent="0.25">
      <c r="A19" s="1387"/>
      <c r="B19" s="701" t="s">
        <v>537</v>
      </c>
      <c r="C19" s="1388"/>
      <c r="D19" s="1390"/>
      <c r="E19" s="1391"/>
      <c r="F19" s="1392"/>
      <c r="G19" s="73" t="s">
        <v>427</v>
      </c>
      <c r="H19" s="394" t="s">
        <v>124</v>
      </c>
      <c r="I19" s="332"/>
      <c r="J19" s="1393"/>
      <c r="K19" s="1287"/>
      <c r="L19" s="1287"/>
      <c r="M19" s="1287"/>
      <c r="N19" s="1287"/>
      <c r="O19" s="1287"/>
      <c r="P19" s="1287"/>
      <c r="Q19" s="1287"/>
      <c r="R19" s="1287"/>
      <c r="S19" s="1319"/>
      <c r="T19" s="531">
        <f t="shared" si="64"/>
        <v>0</v>
      </c>
      <c r="U19" s="353">
        <f t="shared" si="65"/>
        <v>0</v>
      </c>
      <c r="V19" s="353">
        <f t="shared" si="66"/>
        <v>-5.7847698334965718E-5</v>
      </c>
      <c r="W19" s="354">
        <f t="shared" si="67"/>
        <v>-6.1706431141262403E-5</v>
      </c>
      <c r="X19" s="354">
        <f t="shared" si="68"/>
        <v>-6.0260122680952435E-5</v>
      </c>
      <c r="Y19" s="354">
        <f t="shared" si="69"/>
        <v>-6.0260122680952435E-5</v>
      </c>
      <c r="Z19" s="1325">
        <f t="shared" si="70"/>
        <v>0</v>
      </c>
      <c r="AA19" s="353">
        <f t="shared" si="71"/>
        <v>4.8175872220966514E-6</v>
      </c>
      <c r="AB19" s="354">
        <f t="shared" si="72"/>
        <v>5.584659553552037E-6</v>
      </c>
      <c r="AC19" s="354">
        <f t="shared" si="73"/>
        <v>5.5846595535520404E-6</v>
      </c>
      <c r="AD19" s="354">
        <f t="shared" si="74"/>
        <v>5.5846595535520404E-6</v>
      </c>
      <c r="AE19" s="354">
        <f t="shared" si="75"/>
        <v>0</v>
      </c>
      <c r="AF19" s="354">
        <f t="shared" si="76"/>
        <v>0</v>
      </c>
      <c r="AG19" s="353">
        <f t="shared" si="77"/>
        <v>0</v>
      </c>
      <c r="AH19" s="353">
        <f t="shared" si="78"/>
        <v>0</v>
      </c>
      <c r="AI19" s="354">
        <f t="shared" si="79"/>
        <v>0</v>
      </c>
      <c r="AJ19" s="354">
        <f t="shared" si="80"/>
        <v>0</v>
      </c>
      <c r="AK19" s="354">
        <f t="shared" si="81"/>
        <v>0</v>
      </c>
      <c r="AL19" s="355">
        <f t="shared" si="82"/>
        <v>0</v>
      </c>
      <c r="AM19" s="355">
        <f t="shared" si="83"/>
        <v>0</v>
      </c>
      <c r="AN19" s="355">
        <f t="shared" si="62"/>
        <v>0</v>
      </c>
      <c r="AO19" s="282"/>
      <c r="AP19" s="1320"/>
      <c r="AQ19" s="1321"/>
      <c r="AR19" s="1173"/>
      <c r="AS19" s="1173"/>
      <c r="AT19" s="1173"/>
      <c r="AU19" s="1173"/>
      <c r="AV19" s="1174"/>
      <c r="AW19" s="1174"/>
      <c r="AX19" s="1174"/>
      <c r="AY19" s="1173"/>
      <c r="AZ19" s="1323"/>
      <c r="BA19" s="989">
        <v>0</v>
      </c>
      <c r="BB19" s="990">
        <v>0</v>
      </c>
      <c r="BC19" s="991">
        <v>-1.89</v>
      </c>
      <c r="BD19" s="992">
        <v>-1.89</v>
      </c>
      <c r="BE19" s="992">
        <v>-1.89</v>
      </c>
      <c r="BF19" s="993">
        <v>-1.89</v>
      </c>
      <c r="BG19" s="1171"/>
      <c r="BH19" s="991">
        <v>0.19</v>
      </c>
      <c r="BI19" s="992">
        <v>0.19</v>
      </c>
      <c r="BJ19" s="993">
        <v>0.19</v>
      </c>
      <c r="BK19" s="993">
        <v>0.19</v>
      </c>
      <c r="BL19" s="993"/>
      <c r="BM19" s="993"/>
      <c r="BN19" s="1161"/>
      <c r="BO19" s="991">
        <v>0</v>
      </c>
      <c r="BP19" s="994">
        <v>0</v>
      </c>
      <c r="BQ19" s="994">
        <v>0</v>
      </c>
      <c r="BR19" s="994">
        <v>0</v>
      </c>
      <c r="BS19" s="995">
        <v>0</v>
      </c>
      <c r="BT19" s="995">
        <v>0</v>
      </c>
      <c r="BU19" s="995">
        <v>0</v>
      </c>
      <c r="BV19" s="1161"/>
      <c r="BW19" s="1316"/>
      <c r="BX19" s="1279"/>
    </row>
    <row r="20" spans="1:76" ht="14.45" hidden="1" customHeight="1" outlineLevel="1" x14ac:dyDescent="0.25">
      <c r="A20" s="1387"/>
      <c r="B20" s="701" t="s">
        <v>537</v>
      </c>
      <c r="C20" s="1388"/>
      <c r="D20" s="1390"/>
      <c r="E20" s="1391"/>
      <c r="F20" s="1392"/>
      <c r="G20" s="73" t="s">
        <v>427</v>
      </c>
      <c r="H20" s="306" t="s">
        <v>124</v>
      </c>
      <c r="I20" s="331"/>
      <c r="J20" s="1393"/>
      <c r="K20" s="1287"/>
      <c r="L20" s="1287"/>
      <c r="M20" s="1287"/>
      <c r="N20" s="1287"/>
      <c r="O20" s="1287"/>
      <c r="P20" s="1287"/>
      <c r="Q20" s="1287"/>
      <c r="R20" s="1287"/>
      <c r="S20" s="1319"/>
      <c r="T20" s="531">
        <f t="shared" si="64"/>
        <v>0</v>
      </c>
      <c r="U20" s="353">
        <f t="shared" si="65"/>
        <v>0</v>
      </c>
      <c r="V20" s="353">
        <f t="shared" si="66"/>
        <v>-2.7240450538687565E-5</v>
      </c>
      <c r="W20" s="354">
        <f t="shared" si="67"/>
        <v>-2.9057525775515102E-5</v>
      </c>
      <c r="X20" s="354">
        <f t="shared" si="68"/>
        <v>-2.8376459886797712E-5</v>
      </c>
      <c r="Y20" s="354">
        <f t="shared" si="69"/>
        <v>-2.8376459886797712E-5</v>
      </c>
      <c r="Z20" s="1326">
        <f t="shared" si="70"/>
        <v>0</v>
      </c>
      <c r="AA20" s="353">
        <f t="shared" si="71"/>
        <v>0</v>
      </c>
      <c r="AB20" s="354">
        <f t="shared" si="72"/>
        <v>0</v>
      </c>
      <c r="AC20" s="354">
        <f t="shared" si="73"/>
        <v>0</v>
      </c>
      <c r="AD20" s="354">
        <f t="shared" si="74"/>
        <v>0</v>
      </c>
      <c r="AE20" s="354">
        <f t="shared" si="75"/>
        <v>0</v>
      </c>
      <c r="AF20" s="354">
        <f t="shared" si="76"/>
        <v>0</v>
      </c>
      <c r="AG20" s="353">
        <f t="shared" si="77"/>
        <v>0</v>
      </c>
      <c r="AH20" s="353">
        <f t="shared" si="78"/>
        <v>0</v>
      </c>
      <c r="AI20" s="354">
        <f t="shared" si="79"/>
        <v>0</v>
      </c>
      <c r="AJ20" s="354">
        <f t="shared" si="80"/>
        <v>0</v>
      </c>
      <c r="AK20" s="354">
        <f t="shared" si="81"/>
        <v>0</v>
      </c>
      <c r="AL20" s="355">
        <f t="shared" si="82"/>
        <v>0</v>
      </c>
      <c r="AM20" s="355">
        <f t="shared" si="83"/>
        <v>0</v>
      </c>
      <c r="AN20" s="355">
        <f t="shared" si="62"/>
        <v>0</v>
      </c>
      <c r="AO20" s="282"/>
      <c r="AP20" s="1320"/>
      <c r="AQ20" s="1321"/>
      <c r="AR20" s="1173"/>
      <c r="AS20" s="1173"/>
      <c r="AT20" s="1173"/>
      <c r="AU20" s="1173"/>
      <c r="AV20" s="1174"/>
      <c r="AW20" s="1174"/>
      <c r="AX20" s="1174"/>
      <c r="AY20" s="1173"/>
      <c r="AZ20" s="1323"/>
      <c r="BA20" s="998">
        <v>0</v>
      </c>
      <c r="BB20" s="322">
        <v>0</v>
      </c>
      <c r="BC20" s="991">
        <f>-2.97+2.08</f>
        <v>-0.89000000000000012</v>
      </c>
      <c r="BD20" s="992">
        <f>-2.97+2.08</f>
        <v>-0.89000000000000012</v>
      </c>
      <c r="BE20" s="992">
        <f>-2.97+2.08</f>
        <v>-0.89000000000000012</v>
      </c>
      <c r="BF20" s="993">
        <f>-2.97+2.08</f>
        <v>-0.89000000000000012</v>
      </c>
      <c r="BG20" s="1171"/>
      <c r="BH20" s="991">
        <f>0.3-0.3</f>
        <v>0</v>
      </c>
      <c r="BI20" s="992">
        <f>0.3-0.3</f>
        <v>0</v>
      </c>
      <c r="BJ20" s="993">
        <f>0.3-0.3</f>
        <v>0</v>
      </c>
      <c r="BK20" s="993">
        <f>0.3-0.3</f>
        <v>0</v>
      </c>
      <c r="BL20" s="996">
        <v>0</v>
      </c>
      <c r="BM20" s="996">
        <v>0</v>
      </c>
      <c r="BN20" s="1161"/>
      <c r="BO20" s="991">
        <f>0.59-0.59</f>
        <v>0</v>
      </c>
      <c r="BP20" s="997">
        <v>0</v>
      </c>
      <c r="BQ20" s="997">
        <v>0</v>
      </c>
      <c r="BR20" s="997">
        <v>0</v>
      </c>
      <c r="BS20" s="995">
        <v>0</v>
      </c>
      <c r="BT20" s="995">
        <v>0</v>
      </c>
      <c r="BU20" s="995">
        <v>0</v>
      </c>
      <c r="BV20" s="1161"/>
      <c r="BW20" s="1316"/>
      <c r="BX20" s="1279"/>
    </row>
    <row r="21" spans="1:76" ht="18.75" collapsed="1" x14ac:dyDescent="0.25">
      <c r="A21" s="461">
        <v>2</v>
      </c>
      <c r="B21" s="700" t="s">
        <v>536</v>
      </c>
      <c r="C21" s="684"/>
      <c r="D21" s="346"/>
      <c r="E21" s="462"/>
      <c r="F21" s="541"/>
      <c r="G21" s="395" t="s">
        <v>1730</v>
      </c>
      <c r="H21" s="396" t="s">
        <v>1730</v>
      </c>
      <c r="I21" s="340"/>
      <c r="J21" s="343">
        <f t="shared" ref="J21" si="89">J22</f>
        <v>1.2413988791941549E-3</v>
      </c>
      <c r="K21" s="344">
        <f t="shared" ref="K21" si="90">K22</f>
        <v>1.0233034248150091E-3</v>
      </c>
      <c r="L21" s="344">
        <f t="shared" ref="L21:N21" si="91">L22</f>
        <v>1.0712536728697355E-3</v>
      </c>
      <c r="M21" s="344">
        <f t="shared" ref="M21" si="92">M22</f>
        <v>1.1159281977954154E-3</v>
      </c>
      <c r="N21" s="344">
        <f t="shared" si="91"/>
        <v>9.2296024074852204E-4</v>
      </c>
      <c r="O21" s="344">
        <f t="shared" ref="O21:Q21" si="93">O22</f>
        <v>7.606716666468396E-4</v>
      </c>
      <c r="P21" s="344">
        <f t="shared" si="93"/>
        <v>7.8200288068851849E-4</v>
      </c>
      <c r="Q21" s="344">
        <f t="shared" si="93"/>
        <v>7.6764169187921831E-4</v>
      </c>
      <c r="R21" s="344">
        <f t="shared" ref="R21" si="94">R22</f>
        <v>0</v>
      </c>
      <c r="S21" s="526">
        <f t="shared" ref="S21" si="95">S22</f>
        <v>0</v>
      </c>
      <c r="T21" s="532">
        <f t="shared" ref="T21" si="96">T22</f>
        <v>-1.2413988791941549E-3</v>
      </c>
      <c r="U21" s="358">
        <f t="shared" ref="U21" si="97">U22</f>
        <v>-1.0233034248150091E-3</v>
      </c>
      <c r="V21" s="358">
        <f t="shared" ref="V21" si="98">V22</f>
        <v>0</v>
      </c>
      <c r="W21" s="370">
        <f t="shared" ref="W21" si="99">W22</f>
        <v>0</v>
      </c>
      <c r="X21" s="370">
        <f t="shared" ref="X21" si="100">X22</f>
        <v>-1.9130197676492836E-4</v>
      </c>
      <c r="Y21" s="370">
        <f t="shared" ref="Y21" si="101">Y22</f>
        <v>-1.9130197676492836E-4</v>
      </c>
      <c r="Z21" s="358">
        <f>Z22</f>
        <v>0</v>
      </c>
      <c r="AA21" s="358">
        <f t="shared" ref="AA21" si="102">AA22</f>
        <v>2.535572222156132E-5</v>
      </c>
      <c r="AB21" s="370">
        <f t="shared" ref="AB21" si="103">AB22</f>
        <v>1.0287530756543227E-3</v>
      </c>
      <c r="AC21" s="370">
        <f t="shared" ref="AC21:AK21" si="104">AC22</f>
        <v>1.0287530756543234E-3</v>
      </c>
      <c r="AD21" s="370">
        <f t="shared" si="104"/>
        <v>1.4696472509347476E-4</v>
      </c>
      <c r="AE21" s="370">
        <f t="shared" si="104"/>
        <v>2.6066762689617283E-5</v>
      </c>
      <c r="AF21" s="370">
        <f t="shared" si="104"/>
        <v>2.535572222156132E-5</v>
      </c>
      <c r="AG21" s="358">
        <f t="shared" si="104"/>
        <v>0</v>
      </c>
      <c r="AH21" s="358">
        <f t="shared" ref="AH21" si="105">AH22</f>
        <v>6.8203896675113492E-4</v>
      </c>
      <c r="AI21" s="370">
        <f t="shared" si="104"/>
        <v>7.2583516732085051E-4</v>
      </c>
      <c r="AJ21" s="370">
        <f t="shared" si="104"/>
        <v>7.0395221690132718E-4</v>
      </c>
      <c r="AK21" s="370">
        <f t="shared" si="104"/>
        <v>0</v>
      </c>
      <c r="AL21" s="359">
        <f t="shared" ref="AL21:AN21" si="106">AL22</f>
        <v>0</v>
      </c>
      <c r="AM21" s="359">
        <f t="shared" si="106"/>
        <v>0</v>
      </c>
      <c r="AN21" s="359">
        <f t="shared" si="106"/>
        <v>0</v>
      </c>
      <c r="AO21" s="341"/>
      <c r="AP21" s="366">
        <f t="shared" ref="AP21:BU21" si="107">AP22</f>
        <v>92</v>
      </c>
      <c r="AQ21" s="363">
        <f t="shared" si="107"/>
        <v>35</v>
      </c>
      <c r="AR21" s="363">
        <f t="shared" si="107"/>
        <v>31</v>
      </c>
      <c r="AS21" s="363">
        <f t="shared" si="107"/>
        <v>35</v>
      </c>
      <c r="AT21" s="363">
        <f t="shared" si="107"/>
        <v>35</v>
      </c>
      <c r="AU21" s="363">
        <f t="shared" si="107"/>
        <v>31</v>
      </c>
      <c r="AV21" s="363">
        <f t="shared" si="107"/>
        <v>30</v>
      </c>
      <c r="AW21" s="363">
        <f t="shared" si="107"/>
        <v>30</v>
      </c>
      <c r="AX21" s="363">
        <f t="shared" si="107"/>
        <v>30</v>
      </c>
      <c r="AY21" s="363">
        <f t="shared" si="107"/>
        <v>0</v>
      </c>
      <c r="AZ21" s="367">
        <f t="shared" si="107"/>
        <v>0</v>
      </c>
      <c r="BA21" s="654">
        <f t="shared" si="107"/>
        <v>-35</v>
      </c>
      <c r="BB21" s="365">
        <f t="shared" si="107"/>
        <v>-31</v>
      </c>
      <c r="BC21" s="364">
        <f t="shared" si="107"/>
        <v>0</v>
      </c>
      <c r="BD21" s="372">
        <f t="shared" si="107"/>
        <v>0</v>
      </c>
      <c r="BE21" s="372">
        <f t="shared" si="107"/>
        <v>-6</v>
      </c>
      <c r="BF21" s="513">
        <f t="shared" si="107"/>
        <v>-6</v>
      </c>
      <c r="BG21" s="364">
        <f>BG22</f>
        <v>0</v>
      </c>
      <c r="BH21" s="364">
        <f t="shared" si="107"/>
        <v>1</v>
      </c>
      <c r="BI21" s="675">
        <f t="shared" si="107"/>
        <v>35</v>
      </c>
      <c r="BJ21" s="513">
        <f t="shared" si="107"/>
        <v>35</v>
      </c>
      <c r="BK21" s="513">
        <f t="shared" si="107"/>
        <v>5</v>
      </c>
      <c r="BL21" s="513">
        <f t="shared" si="107"/>
        <v>1</v>
      </c>
      <c r="BM21" s="513">
        <f t="shared" si="107"/>
        <v>1</v>
      </c>
      <c r="BN21" s="365">
        <f>BN22</f>
        <v>0</v>
      </c>
      <c r="BO21" s="364">
        <f t="shared" si="107"/>
        <v>30</v>
      </c>
      <c r="BP21" s="675">
        <f t="shared" si="107"/>
        <v>30</v>
      </c>
      <c r="BQ21" s="675">
        <f t="shared" si="107"/>
        <v>30</v>
      </c>
      <c r="BR21" s="675">
        <f t="shared" si="107"/>
        <v>0</v>
      </c>
      <c r="BS21" s="368">
        <f t="shared" si="107"/>
        <v>0</v>
      </c>
      <c r="BT21" s="368">
        <f t="shared" si="107"/>
        <v>0</v>
      </c>
      <c r="BU21" s="368">
        <f t="shared" si="107"/>
        <v>0</v>
      </c>
      <c r="BV21" s="365">
        <f>BV22</f>
        <v>0</v>
      </c>
      <c r="BW21" s="368">
        <f>BW22</f>
        <v>0</v>
      </c>
      <c r="BX21" s="437"/>
    </row>
    <row r="22" spans="1:76" ht="87" hidden="1" customHeight="1" outlineLevel="1" x14ac:dyDescent="0.25">
      <c r="A22" s="678">
        <v>1</v>
      </c>
      <c r="B22" s="702" t="s">
        <v>536</v>
      </c>
      <c r="C22" s="685" t="s">
        <v>536</v>
      </c>
      <c r="D22" s="277" t="s">
        <v>1709</v>
      </c>
      <c r="E22" s="463" t="s">
        <v>567</v>
      </c>
      <c r="F22" s="542" t="s">
        <v>421</v>
      </c>
      <c r="G22" s="73" t="s">
        <v>271</v>
      </c>
      <c r="H22" s="306" t="s">
        <v>123</v>
      </c>
      <c r="I22" s="331"/>
      <c r="J22" s="294">
        <f>AQ22/$T$8</f>
        <v>1.2413988791941549E-3</v>
      </c>
      <c r="K22" s="52">
        <f>AR22/$U$8</f>
        <v>1.0233034248150091E-3</v>
      </c>
      <c r="L22" s="52">
        <f>AS22/$V$8</f>
        <v>1.0712536728697355E-3</v>
      </c>
      <c r="M22" s="52">
        <f>AT22/$Y$8</f>
        <v>1.1159281977954154E-3</v>
      </c>
      <c r="N22" s="52">
        <f>AU22/$Z$8</f>
        <v>9.2296024074852204E-4</v>
      </c>
      <c r="O22" s="52">
        <f>AV22/$AA$8</f>
        <v>7.606716666468396E-4</v>
      </c>
      <c r="P22" s="52">
        <f>AW22/$AE$8</f>
        <v>7.8200288068851849E-4</v>
      </c>
      <c r="Q22" s="52">
        <f>AX22/$AG$8</f>
        <v>7.6764169187921831E-4</v>
      </c>
      <c r="R22" s="52">
        <f>AY22/$AH$8</f>
        <v>0</v>
      </c>
      <c r="S22" s="527">
        <f>AZ22/$AN$8</f>
        <v>0</v>
      </c>
      <c r="T22" s="531">
        <f t="shared" ref="T22:AE22" si="108">BA22/T$8</f>
        <v>-1.2413988791941549E-3</v>
      </c>
      <c r="U22" s="353">
        <f t="shared" si="108"/>
        <v>-1.0233034248150091E-3</v>
      </c>
      <c r="V22" s="353">
        <f t="shared" si="108"/>
        <v>0</v>
      </c>
      <c r="W22" s="354">
        <f t="shared" si="108"/>
        <v>0</v>
      </c>
      <c r="X22" s="354">
        <f t="shared" si="108"/>
        <v>-1.9130197676492836E-4</v>
      </c>
      <c r="Y22" s="354">
        <f t="shared" si="108"/>
        <v>-1.9130197676492836E-4</v>
      </c>
      <c r="Z22" s="353">
        <f t="shared" si="108"/>
        <v>0</v>
      </c>
      <c r="AA22" s="353">
        <f t="shared" si="108"/>
        <v>2.535572222156132E-5</v>
      </c>
      <c r="AB22" s="354">
        <f t="shared" si="108"/>
        <v>1.0287530756543227E-3</v>
      </c>
      <c r="AC22" s="354">
        <f t="shared" si="108"/>
        <v>1.0287530756543234E-3</v>
      </c>
      <c r="AD22" s="354">
        <f t="shared" si="108"/>
        <v>1.4696472509347476E-4</v>
      </c>
      <c r="AE22" s="354">
        <f t="shared" si="108"/>
        <v>2.6066762689617283E-5</v>
      </c>
      <c r="AF22" s="354">
        <f t="shared" ref="AF22:AN22" si="109">BM22/AF$8</f>
        <v>2.535572222156132E-5</v>
      </c>
      <c r="AG22" s="353">
        <f t="shared" si="109"/>
        <v>0</v>
      </c>
      <c r="AH22" s="353">
        <f t="shared" si="109"/>
        <v>6.8203896675113492E-4</v>
      </c>
      <c r="AI22" s="354">
        <f t="shared" si="109"/>
        <v>7.2583516732085051E-4</v>
      </c>
      <c r="AJ22" s="354">
        <f t="shared" si="109"/>
        <v>7.0395221690132718E-4</v>
      </c>
      <c r="AK22" s="354">
        <f t="shared" si="109"/>
        <v>0</v>
      </c>
      <c r="AL22" s="355">
        <f t="shared" si="109"/>
        <v>0</v>
      </c>
      <c r="AM22" s="355">
        <f t="shared" si="109"/>
        <v>0</v>
      </c>
      <c r="AN22" s="355">
        <f t="shared" si="109"/>
        <v>0</v>
      </c>
      <c r="AO22" s="282"/>
      <c r="AP22" s="295">
        <f>AR22+AU22+AZ22+AW22+AY22</f>
        <v>92</v>
      </c>
      <c r="AQ22" s="408">
        <v>35</v>
      </c>
      <c r="AR22" s="987">
        <v>31</v>
      </c>
      <c r="AS22" s="987">
        <v>35</v>
      </c>
      <c r="AT22" s="987">
        <v>35</v>
      </c>
      <c r="AU22" s="987">
        <v>31</v>
      </c>
      <c r="AV22" s="987">
        <v>30</v>
      </c>
      <c r="AW22" s="987">
        <v>30</v>
      </c>
      <c r="AX22" s="987">
        <v>30</v>
      </c>
      <c r="AY22" s="987">
        <v>0</v>
      </c>
      <c r="AZ22" s="988">
        <v>0</v>
      </c>
      <c r="BA22" s="999">
        <v>-35</v>
      </c>
      <c r="BB22" s="1000">
        <v>-31</v>
      </c>
      <c r="BC22" s="1001">
        <v>0</v>
      </c>
      <c r="BD22" s="1002">
        <v>0</v>
      </c>
      <c r="BE22" s="1002">
        <v>-6</v>
      </c>
      <c r="BF22" s="1003">
        <v>-6</v>
      </c>
      <c r="BG22" s="60">
        <v>0</v>
      </c>
      <c r="BH22" s="1001">
        <f>31-30</f>
        <v>1</v>
      </c>
      <c r="BI22" s="1002">
        <v>35</v>
      </c>
      <c r="BJ22" s="1003">
        <v>35</v>
      </c>
      <c r="BK22" s="1003">
        <v>5</v>
      </c>
      <c r="BL22" s="1003">
        <v>1</v>
      </c>
      <c r="BM22" s="1003">
        <v>1</v>
      </c>
      <c r="BN22" s="322">
        <v>0</v>
      </c>
      <c r="BO22" s="1001">
        <v>30</v>
      </c>
      <c r="BP22" s="1004">
        <v>30</v>
      </c>
      <c r="BQ22" s="1004">
        <v>30</v>
      </c>
      <c r="BR22" s="1004">
        <v>0</v>
      </c>
      <c r="BS22" s="1005">
        <v>0</v>
      </c>
      <c r="BT22" s="1005">
        <v>0</v>
      </c>
      <c r="BU22" s="1005">
        <v>0</v>
      </c>
      <c r="BV22" s="322">
        <v>0</v>
      </c>
      <c r="BW22" s="1006">
        <v>0</v>
      </c>
      <c r="BX22" s="438" t="s">
        <v>1710</v>
      </c>
    </row>
    <row r="23" spans="1:76" ht="18.75" collapsed="1" x14ac:dyDescent="0.25">
      <c r="A23" s="464">
        <v>3</v>
      </c>
      <c r="B23" s="700" t="s">
        <v>534</v>
      </c>
      <c r="C23" s="684"/>
      <c r="D23" s="342"/>
      <c r="E23" s="465"/>
      <c r="F23" s="543"/>
      <c r="G23" s="397" t="s">
        <v>1730</v>
      </c>
      <c r="H23" s="396" t="s">
        <v>1730</v>
      </c>
      <c r="I23" s="340"/>
      <c r="J23" s="343">
        <f t="shared" ref="J23" si="110">J24</f>
        <v>2.1281123643328366E-3</v>
      </c>
      <c r="K23" s="344">
        <f t="shared" ref="K23" si="111">K24</f>
        <v>1.9805872738355014E-3</v>
      </c>
      <c r="L23" s="344">
        <f t="shared" ref="L23:N23" si="112">L24</f>
        <v>0</v>
      </c>
      <c r="M23" s="344">
        <f t="shared" ref="M23" si="113">M24</f>
        <v>0</v>
      </c>
      <c r="N23" s="344">
        <f t="shared" si="112"/>
        <v>0</v>
      </c>
      <c r="O23" s="344">
        <f t="shared" ref="O23:Q23" si="114">O24</f>
        <v>0</v>
      </c>
      <c r="P23" s="344">
        <f t="shared" si="114"/>
        <v>0</v>
      </c>
      <c r="Q23" s="344">
        <f t="shared" si="114"/>
        <v>0</v>
      </c>
      <c r="R23" s="344">
        <f t="shared" ref="R23" si="115">R24</f>
        <v>0</v>
      </c>
      <c r="S23" s="526">
        <f t="shared" ref="S23" si="116">S24</f>
        <v>0</v>
      </c>
      <c r="T23" s="532">
        <f t="shared" ref="T23" si="117">T24</f>
        <v>-2.1281123643328366E-3</v>
      </c>
      <c r="U23" s="358">
        <f t="shared" ref="U23" si="118">U24</f>
        <v>-1.9805872738355014E-3</v>
      </c>
      <c r="V23" s="358">
        <f t="shared" ref="V23" si="119">V24</f>
        <v>0</v>
      </c>
      <c r="W23" s="370">
        <f t="shared" ref="W23" si="120">W24</f>
        <v>0</v>
      </c>
      <c r="X23" s="370">
        <f t="shared" ref="X23" si="121">X24</f>
        <v>0</v>
      </c>
      <c r="Y23" s="370">
        <f t="shared" ref="Y23" si="122">Y24</f>
        <v>0</v>
      </c>
      <c r="Z23" s="358">
        <f>Z24</f>
        <v>0</v>
      </c>
      <c r="AA23" s="358">
        <f t="shared" ref="AA23" si="123">AA24</f>
        <v>0</v>
      </c>
      <c r="AB23" s="370">
        <f t="shared" ref="AB23" si="124">AB24</f>
        <v>0</v>
      </c>
      <c r="AC23" s="370">
        <f t="shared" ref="AC23:AK23" si="125">AC24</f>
        <v>0</v>
      </c>
      <c r="AD23" s="370">
        <f t="shared" si="125"/>
        <v>0</v>
      </c>
      <c r="AE23" s="370">
        <f t="shared" si="125"/>
        <v>0</v>
      </c>
      <c r="AF23" s="370">
        <f t="shared" si="125"/>
        <v>0</v>
      </c>
      <c r="AG23" s="358">
        <f t="shared" si="125"/>
        <v>0</v>
      </c>
      <c r="AH23" s="358">
        <f t="shared" ref="AH23" si="126">AH24</f>
        <v>0</v>
      </c>
      <c r="AI23" s="370">
        <f t="shared" si="125"/>
        <v>0</v>
      </c>
      <c r="AJ23" s="370">
        <f t="shared" si="125"/>
        <v>0</v>
      </c>
      <c r="AK23" s="370">
        <f t="shared" si="125"/>
        <v>0</v>
      </c>
      <c r="AL23" s="359">
        <f t="shared" ref="AL23:AN23" si="127">AL24</f>
        <v>0</v>
      </c>
      <c r="AM23" s="359">
        <f t="shared" si="127"/>
        <v>0</v>
      </c>
      <c r="AN23" s="359">
        <f t="shared" si="127"/>
        <v>0</v>
      </c>
      <c r="AO23" s="341"/>
      <c r="AP23" s="366">
        <f t="shared" ref="AP23:BU23" si="128">AP24</f>
        <v>60</v>
      </c>
      <c r="AQ23" s="363">
        <f t="shared" si="128"/>
        <v>60</v>
      </c>
      <c r="AR23" s="363">
        <f t="shared" si="128"/>
        <v>60</v>
      </c>
      <c r="AS23" s="363">
        <f t="shared" si="128"/>
        <v>0</v>
      </c>
      <c r="AT23" s="363">
        <f t="shared" si="128"/>
        <v>0</v>
      </c>
      <c r="AU23" s="363">
        <f t="shared" si="128"/>
        <v>0</v>
      </c>
      <c r="AV23" s="363">
        <f t="shared" si="128"/>
        <v>0</v>
      </c>
      <c r="AW23" s="363">
        <f t="shared" si="128"/>
        <v>0</v>
      </c>
      <c r="AX23" s="363">
        <f t="shared" si="128"/>
        <v>0</v>
      </c>
      <c r="AY23" s="363">
        <f t="shared" si="128"/>
        <v>0</v>
      </c>
      <c r="AZ23" s="367">
        <f t="shared" si="128"/>
        <v>0</v>
      </c>
      <c r="BA23" s="655">
        <f t="shared" si="128"/>
        <v>-60</v>
      </c>
      <c r="BB23" s="366">
        <f t="shared" si="128"/>
        <v>-60</v>
      </c>
      <c r="BC23" s="363">
        <f t="shared" si="128"/>
        <v>0</v>
      </c>
      <c r="BD23" s="373">
        <f t="shared" si="128"/>
        <v>0</v>
      </c>
      <c r="BE23" s="373">
        <f t="shared" si="128"/>
        <v>0</v>
      </c>
      <c r="BF23" s="514">
        <f t="shared" si="128"/>
        <v>0</v>
      </c>
      <c r="BG23" s="364">
        <f>BG24</f>
        <v>0</v>
      </c>
      <c r="BH23" s="363">
        <f t="shared" si="128"/>
        <v>0</v>
      </c>
      <c r="BI23" s="676">
        <f t="shared" si="128"/>
        <v>0</v>
      </c>
      <c r="BJ23" s="514">
        <f t="shared" si="128"/>
        <v>0</v>
      </c>
      <c r="BK23" s="514">
        <f t="shared" si="128"/>
        <v>0</v>
      </c>
      <c r="BL23" s="514">
        <f>BL24</f>
        <v>0</v>
      </c>
      <c r="BM23" s="514">
        <f>BM24</f>
        <v>0</v>
      </c>
      <c r="BN23" s="365">
        <f>BN24</f>
        <v>0</v>
      </c>
      <c r="BO23" s="363">
        <f t="shared" si="128"/>
        <v>0</v>
      </c>
      <c r="BP23" s="676">
        <f t="shared" si="128"/>
        <v>0</v>
      </c>
      <c r="BQ23" s="676">
        <f t="shared" si="128"/>
        <v>0</v>
      </c>
      <c r="BR23" s="676">
        <f t="shared" si="128"/>
        <v>0</v>
      </c>
      <c r="BS23" s="367">
        <f t="shared" si="128"/>
        <v>0</v>
      </c>
      <c r="BT23" s="367">
        <f t="shared" si="128"/>
        <v>0</v>
      </c>
      <c r="BU23" s="367">
        <f t="shared" si="128"/>
        <v>0</v>
      </c>
      <c r="BV23" s="365">
        <f>BV24</f>
        <v>0</v>
      </c>
      <c r="BW23" s="368">
        <f>BW24</f>
        <v>0</v>
      </c>
      <c r="BX23" s="437"/>
    </row>
    <row r="24" spans="1:76" ht="57.95" hidden="1" customHeight="1" outlineLevel="1" x14ac:dyDescent="0.25">
      <c r="A24" s="678">
        <v>1</v>
      </c>
      <c r="B24" s="702" t="s">
        <v>534</v>
      </c>
      <c r="C24" s="685" t="s">
        <v>534</v>
      </c>
      <c r="D24" s="50" t="s">
        <v>324</v>
      </c>
      <c r="E24" s="463" t="s">
        <v>567</v>
      </c>
      <c r="F24" s="542" t="s">
        <v>2</v>
      </c>
      <c r="G24" s="73" t="s">
        <v>271</v>
      </c>
      <c r="H24" s="306" t="s">
        <v>124</v>
      </c>
      <c r="I24" s="331"/>
      <c r="J24" s="294">
        <f>AQ24/$T$8</f>
        <v>2.1281123643328366E-3</v>
      </c>
      <c r="K24" s="52">
        <f>AR24/$U$8</f>
        <v>1.9805872738355014E-3</v>
      </c>
      <c r="L24" s="52">
        <f>AS24/$V$8</f>
        <v>0</v>
      </c>
      <c r="M24" s="52">
        <f>AT24/$Y$8</f>
        <v>0</v>
      </c>
      <c r="N24" s="52">
        <f>AU24/$Z$8</f>
        <v>0</v>
      </c>
      <c r="O24" s="52">
        <f>AV24/$AA$8</f>
        <v>0</v>
      </c>
      <c r="P24" s="52">
        <f>AW24/$AE$8</f>
        <v>0</v>
      </c>
      <c r="Q24" s="52">
        <f>AX24/$AG$8</f>
        <v>0</v>
      </c>
      <c r="R24" s="52">
        <f>AY24/$AH$8</f>
        <v>0</v>
      </c>
      <c r="S24" s="527">
        <f>AZ24/$AN$8</f>
        <v>0</v>
      </c>
      <c r="T24" s="531">
        <f t="shared" ref="T24:AF24" si="129">BA24/T$8</f>
        <v>-2.1281123643328366E-3</v>
      </c>
      <c r="U24" s="353">
        <f t="shared" si="129"/>
        <v>-1.9805872738355014E-3</v>
      </c>
      <c r="V24" s="353">
        <f t="shared" si="129"/>
        <v>0</v>
      </c>
      <c r="W24" s="354">
        <f t="shared" si="129"/>
        <v>0</v>
      </c>
      <c r="X24" s="354">
        <f t="shared" si="129"/>
        <v>0</v>
      </c>
      <c r="Y24" s="354">
        <f t="shared" si="129"/>
        <v>0</v>
      </c>
      <c r="Z24" s="353">
        <f t="shared" si="129"/>
        <v>0</v>
      </c>
      <c r="AA24" s="353">
        <f t="shared" si="129"/>
        <v>0</v>
      </c>
      <c r="AB24" s="354">
        <f t="shared" si="129"/>
        <v>0</v>
      </c>
      <c r="AC24" s="354">
        <f t="shared" si="129"/>
        <v>0</v>
      </c>
      <c r="AD24" s="354">
        <f t="shared" si="129"/>
        <v>0</v>
      </c>
      <c r="AE24" s="354">
        <f t="shared" si="129"/>
        <v>0</v>
      </c>
      <c r="AF24" s="354">
        <f t="shared" si="129"/>
        <v>0</v>
      </c>
      <c r="AG24" s="353">
        <f t="shared" ref="AG24:AN24" si="130">BN24/AG$8</f>
        <v>0</v>
      </c>
      <c r="AH24" s="353">
        <f t="shared" si="130"/>
        <v>0</v>
      </c>
      <c r="AI24" s="354">
        <f t="shared" si="130"/>
        <v>0</v>
      </c>
      <c r="AJ24" s="354">
        <f t="shared" si="130"/>
        <v>0</v>
      </c>
      <c r="AK24" s="354">
        <f t="shared" si="130"/>
        <v>0</v>
      </c>
      <c r="AL24" s="355">
        <f t="shared" si="130"/>
        <v>0</v>
      </c>
      <c r="AM24" s="355">
        <f t="shared" si="130"/>
        <v>0</v>
      </c>
      <c r="AN24" s="355">
        <f t="shared" si="130"/>
        <v>0</v>
      </c>
      <c r="AO24" s="282"/>
      <c r="AP24" s="295">
        <f>AR24+AU24+AZ24+AW24+AY24</f>
        <v>60</v>
      </c>
      <c r="AQ24" s="408">
        <v>60</v>
      </c>
      <c r="AR24" s="987">
        <v>60</v>
      </c>
      <c r="AS24" s="987">
        <v>0</v>
      </c>
      <c r="AT24" s="987">
        <v>0</v>
      </c>
      <c r="AU24" s="987">
        <v>0</v>
      </c>
      <c r="AV24" s="987">
        <v>0</v>
      </c>
      <c r="AW24" s="987">
        <v>0</v>
      </c>
      <c r="AX24" s="987">
        <v>0</v>
      </c>
      <c r="AY24" s="987">
        <v>0</v>
      </c>
      <c r="AZ24" s="988">
        <v>0</v>
      </c>
      <c r="BA24" s="999">
        <v>-60</v>
      </c>
      <c r="BB24" s="1000">
        <v>-60</v>
      </c>
      <c r="BC24" s="1001">
        <v>0</v>
      </c>
      <c r="BD24" s="1002">
        <v>0</v>
      </c>
      <c r="BE24" s="1002">
        <v>0</v>
      </c>
      <c r="BF24" s="1003">
        <v>0</v>
      </c>
      <c r="BG24" s="207">
        <v>0</v>
      </c>
      <c r="BH24" s="1001">
        <v>0</v>
      </c>
      <c r="BI24" s="1002">
        <v>0</v>
      </c>
      <c r="BJ24" s="1003">
        <v>0</v>
      </c>
      <c r="BK24" s="1003">
        <v>0</v>
      </c>
      <c r="BL24" s="1003">
        <v>0</v>
      </c>
      <c r="BM24" s="1003">
        <v>0</v>
      </c>
      <c r="BN24" s="409">
        <v>0</v>
      </c>
      <c r="BO24" s="1001">
        <v>0</v>
      </c>
      <c r="BP24" s="1004">
        <v>0</v>
      </c>
      <c r="BQ24" s="1004">
        <v>0</v>
      </c>
      <c r="BR24" s="1004">
        <v>0</v>
      </c>
      <c r="BS24" s="1005">
        <v>0</v>
      </c>
      <c r="BT24" s="1005">
        <v>0</v>
      </c>
      <c r="BU24" s="1005">
        <v>0</v>
      </c>
      <c r="BV24" s="409">
        <v>0</v>
      </c>
      <c r="BW24" s="296">
        <v>0</v>
      </c>
      <c r="BX24" s="439" t="s">
        <v>594</v>
      </c>
    </row>
    <row r="25" spans="1:76" ht="18.75" collapsed="1" x14ac:dyDescent="0.25">
      <c r="A25" s="464">
        <v>4</v>
      </c>
      <c r="B25" s="700" t="s">
        <v>535</v>
      </c>
      <c r="C25" s="684"/>
      <c r="D25" s="345"/>
      <c r="E25" s="465"/>
      <c r="F25" s="543"/>
      <c r="G25" s="397" t="s">
        <v>1730</v>
      </c>
      <c r="H25" s="396" t="s">
        <v>1730</v>
      </c>
      <c r="I25" s="340"/>
      <c r="J25" s="343">
        <f t="shared" ref="J25" si="131">J26</f>
        <v>0</v>
      </c>
      <c r="K25" s="344">
        <f t="shared" ref="K25" si="132">K26</f>
        <v>0</v>
      </c>
      <c r="L25" s="344">
        <f t="shared" ref="L25" si="133">L26</f>
        <v>0</v>
      </c>
      <c r="M25" s="344">
        <f t="shared" ref="M25" si="134">M26</f>
        <v>0</v>
      </c>
      <c r="N25" s="344">
        <f>N26</f>
        <v>0</v>
      </c>
      <c r="O25" s="344">
        <f t="shared" ref="O25:Q25" si="135">O26</f>
        <v>0</v>
      </c>
      <c r="P25" s="344">
        <f t="shared" si="135"/>
        <v>0</v>
      </c>
      <c r="Q25" s="344">
        <f t="shared" si="135"/>
        <v>0</v>
      </c>
      <c r="R25" s="344">
        <f t="shared" ref="R25" si="136">R26</f>
        <v>0</v>
      </c>
      <c r="S25" s="526">
        <f t="shared" ref="S25" si="137">S26</f>
        <v>0</v>
      </c>
      <c r="T25" s="532">
        <f t="shared" ref="T25" si="138">T26</f>
        <v>0</v>
      </c>
      <c r="U25" s="358">
        <f t="shared" ref="U25" si="139">U26</f>
        <v>0</v>
      </c>
      <c r="V25" s="358">
        <f t="shared" ref="V25" si="140">V26</f>
        <v>0</v>
      </c>
      <c r="W25" s="370">
        <f t="shared" ref="W25" si="141">W26</f>
        <v>0</v>
      </c>
      <c r="X25" s="370">
        <f t="shared" ref="X25" si="142">X26</f>
        <v>0</v>
      </c>
      <c r="Y25" s="370">
        <f>Y26</f>
        <v>0</v>
      </c>
      <c r="Z25" s="358">
        <f t="shared" ref="Z25" si="143">Z26</f>
        <v>0</v>
      </c>
      <c r="AA25" s="358">
        <f t="shared" ref="AA25" si="144">AA26</f>
        <v>0</v>
      </c>
      <c r="AB25" s="370">
        <f t="shared" ref="AB25" si="145">AB26</f>
        <v>0</v>
      </c>
      <c r="AC25" s="370">
        <f t="shared" ref="AC25:AK25" si="146">AC26</f>
        <v>0</v>
      </c>
      <c r="AD25" s="370">
        <f t="shared" si="146"/>
        <v>0</v>
      </c>
      <c r="AE25" s="370">
        <f t="shared" si="146"/>
        <v>0</v>
      </c>
      <c r="AF25" s="370">
        <f t="shared" si="146"/>
        <v>0</v>
      </c>
      <c r="AG25" s="358">
        <f t="shared" si="146"/>
        <v>0</v>
      </c>
      <c r="AH25" s="358">
        <f t="shared" ref="AH25" si="147">AH26</f>
        <v>0</v>
      </c>
      <c r="AI25" s="370">
        <f t="shared" si="146"/>
        <v>0</v>
      </c>
      <c r="AJ25" s="370">
        <f t="shared" si="146"/>
        <v>0</v>
      </c>
      <c r="AK25" s="370">
        <f t="shared" si="146"/>
        <v>0</v>
      </c>
      <c r="AL25" s="359">
        <f>AL26</f>
        <v>0</v>
      </c>
      <c r="AM25" s="359">
        <f>AM26</f>
        <v>0</v>
      </c>
      <c r="AN25" s="359">
        <f>AN26</f>
        <v>0</v>
      </c>
      <c r="AO25" s="341"/>
      <c r="AP25" s="366">
        <f t="shared" ref="AP25:BU25" si="148">AP26</f>
        <v>0</v>
      </c>
      <c r="AQ25" s="363">
        <f t="shared" si="148"/>
        <v>0</v>
      </c>
      <c r="AR25" s="363">
        <f t="shared" si="148"/>
        <v>0</v>
      </c>
      <c r="AS25" s="363">
        <f t="shared" si="148"/>
        <v>0</v>
      </c>
      <c r="AT25" s="363">
        <f t="shared" si="148"/>
        <v>0</v>
      </c>
      <c r="AU25" s="363">
        <f t="shared" si="148"/>
        <v>0</v>
      </c>
      <c r="AV25" s="363">
        <f t="shared" si="148"/>
        <v>0</v>
      </c>
      <c r="AW25" s="363">
        <f t="shared" si="148"/>
        <v>0</v>
      </c>
      <c r="AX25" s="363">
        <f t="shared" si="148"/>
        <v>0</v>
      </c>
      <c r="AY25" s="363">
        <f t="shared" si="148"/>
        <v>0</v>
      </c>
      <c r="AZ25" s="367">
        <f t="shared" si="148"/>
        <v>0</v>
      </c>
      <c r="BA25" s="655">
        <f t="shared" si="148"/>
        <v>0</v>
      </c>
      <c r="BB25" s="366">
        <f t="shared" si="148"/>
        <v>0</v>
      </c>
      <c r="BC25" s="363">
        <f t="shared" si="148"/>
        <v>0</v>
      </c>
      <c r="BD25" s="373">
        <f t="shared" si="148"/>
        <v>0</v>
      </c>
      <c r="BE25" s="373">
        <f t="shared" si="148"/>
        <v>0</v>
      </c>
      <c r="BF25" s="514">
        <f t="shared" si="148"/>
        <v>0</v>
      </c>
      <c r="BG25" s="364">
        <f>BG26</f>
        <v>0</v>
      </c>
      <c r="BH25" s="363">
        <f t="shared" si="148"/>
        <v>0</v>
      </c>
      <c r="BI25" s="676">
        <f t="shared" si="148"/>
        <v>0</v>
      </c>
      <c r="BJ25" s="514">
        <f t="shared" si="148"/>
        <v>0</v>
      </c>
      <c r="BK25" s="514">
        <f t="shared" si="148"/>
        <v>0</v>
      </c>
      <c r="BL25" s="514">
        <f t="shared" si="148"/>
        <v>0</v>
      </c>
      <c r="BM25" s="514">
        <f t="shared" si="148"/>
        <v>0</v>
      </c>
      <c r="BN25" s="365">
        <f>BN26</f>
        <v>0</v>
      </c>
      <c r="BO25" s="363">
        <f t="shared" si="148"/>
        <v>0</v>
      </c>
      <c r="BP25" s="676">
        <f t="shared" si="148"/>
        <v>0</v>
      </c>
      <c r="BQ25" s="676">
        <f t="shared" si="148"/>
        <v>0</v>
      </c>
      <c r="BR25" s="676">
        <f t="shared" si="148"/>
        <v>0</v>
      </c>
      <c r="BS25" s="367">
        <f t="shared" si="148"/>
        <v>0</v>
      </c>
      <c r="BT25" s="367">
        <f t="shared" si="148"/>
        <v>0</v>
      </c>
      <c r="BU25" s="367">
        <f t="shared" si="148"/>
        <v>0</v>
      </c>
      <c r="BV25" s="365">
        <f>BV26</f>
        <v>0</v>
      </c>
      <c r="BW25" s="368">
        <f>BW26</f>
        <v>0</v>
      </c>
      <c r="BX25" s="440"/>
    </row>
    <row r="26" spans="1:76" ht="57.95" hidden="1" customHeight="1" outlineLevel="1" x14ac:dyDescent="0.25">
      <c r="A26" s="678">
        <v>1</v>
      </c>
      <c r="B26" s="702" t="s">
        <v>535</v>
      </c>
      <c r="C26" s="686" t="s">
        <v>535</v>
      </c>
      <c r="D26" s="407" t="s">
        <v>420</v>
      </c>
      <c r="E26" s="463" t="s">
        <v>567</v>
      </c>
      <c r="F26" s="544" t="s">
        <v>444</v>
      </c>
      <c r="G26" s="73" t="s">
        <v>53</v>
      </c>
      <c r="H26" s="306" t="s">
        <v>123</v>
      </c>
      <c r="I26" s="331"/>
      <c r="J26" s="294">
        <f>AQ26/$T$8</f>
        <v>0</v>
      </c>
      <c r="K26" s="52">
        <f>AR26/$U$8</f>
        <v>0</v>
      </c>
      <c r="L26" s="52">
        <f>AS26/$V$8</f>
        <v>0</v>
      </c>
      <c r="M26" s="52">
        <f>AT26/$Y$8</f>
        <v>0</v>
      </c>
      <c r="N26" s="52">
        <f>AU26/$Z$8</f>
        <v>0</v>
      </c>
      <c r="O26" s="52">
        <f>AV26/$AA$8</f>
        <v>0</v>
      </c>
      <c r="P26" s="52">
        <f>AW26/$AE$8</f>
        <v>0</v>
      </c>
      <c r="Q26" s="52">
        <f>AX26/$AG$8</f>
        <v>0</v>
      </c>
      <c r="R26" s="52">
        <f>AY26/$AH$8</f>
        <v>0</v>
      </c>
      <c r="S26" s="527">
        <f>AZ26/$AN$8</f>
        <v>0</v>
      </c>
      <c r="T26" s="531">
        <f t="shared" ref="T26:AF26" si="149">BA26/T$8</f>
        <v>0</v>
      </c>
      <c r="U26" s="353">
        <f t="shared" si="149"/>
        <v>0</v>
      </c>
      <c r="V26" s="353">
        <f t="shared" si="149"/>
        <v>0</v>
      </c>
      <c r="W26" s="384">
        <f t="shared" si="149"/>
        <v>0</v>
      </c>
      <c r="X26" s="354">
        <f t="shared" si="149"/>
        <v>0</v>
      </c>
      <c r="Y26" s="354">
        <f t="shared" si="149"/>
        <v>0</v>
      </c>
      <c r="Z26" s="353">
        <f t="shared" si="149"/>
        <v>0</v>
      </c>
      <c r="AA26" s="353">
        <f t="shared" si="149"/>
        <v>0</v>
      </c>
      <c r="AB26" s="354">
        <f t="shared" si="149"/>
        <v>0</v>
      </c>
      <c r="AC26" s="354">
        <f t="shared" si="149"/>
        <v>0</v>
      </c>
      <c r="AD26" s="354">
        <f t="shared" si="149"/>
        <v>0</v>
      </c>
      <c r="AE26" s="354">
        <f t="shared" si="149"/>
        <v>0</v>
      </c>
      <c r="AF26" s="354">
        <f t="shared" si="149"/>
        <v>0</v>
      </c>
      <c r="AG26" s="353">
        <f t="shared" ref="AG26:AN26" si="150">BN26/AG$8</f>
        <v>0</v>
      </c>
      <c r="AH26" s="353">
        <f t="shared" si="150"/>
        <v>0</v>
      </c>
      <c r="AI26" s="354">
        <f t="shared" si="150"/>
        <v>0</v>
      </c>
      <c r="AJ26" s="354">
        <f t="shared" si="150"/>
        <v>0</v>
      </c>
      <c r="AK26" s="354">
        <f t="shared" si="150"/>
        <v>0</v>
      </c>
      <c r="AL26" s="355">
        <f t="shared" si="150"/>
        <v>0</v>
      </c>
      <c r="AM26" s="355">
        <f t="shared" si="150"/>
        <v>0</v>
      </c>
      <c r="AN26" s="355">
        <f t="shared" si="150"/>
        <v>0</v>
      </c>
      <c r="AO26" s="282"/>
      <c r="AP26" s="295">
        <f>AR26+AU26+AZ26+AW26+AY26</f>
        <v>0</v>
      </c>
      <c r="AQ26" s="408">
        <v>0</v>
      </c>
      <c r="AR26" s="987">
        <v>0</v>
      </c>
      <c r="AS26" s="987">
        <v>0</v>
      </c>
      <c r="AT26" s="987">
        <v>0</v>
      </c>
      <c r="AU26" s="987">
        <v>0</v>
      </c>
      <c r="AV26" s="987">
        <v>0</v>
      </c>
      <c r="AW26" s="987">
        <v>0</v>
      </c>
      <c r="AX26" s="987">
        <v>0</v>
      </c>
      <c r="AY26" s="987">
        <v>0</v>
      </c>
      <c r="AZ26" s="988">
        <v>0</v>
      </c>
      <c r="BA26" s="999">
        <v>0</v>
      </c>
      <c r="BB26" s="1000">
        <v>0</v>
      </c>
      <c r="BC26" s="1001">
        <v>0</v>
      </c>
      <c r="BD26" s="1002">
        <v>0</v>
      </c>
      <c r="BE26" s="1002">
        <v>0</v>
      </c>
      <c r="BF26" s="1003">
        <v>0</v>
      </c>
      <c r="BG26" s="60">
        <v>0</v>
      </c>
      <c r="BH26" s="1001">
        <v>0</v>
      </c>
      <c r="BI26" s="1002">
        <v>0</v>
      </c>
      <c r="BJ26" s="1003">
        <v>0</v>
      </c>
      <c r="BK26" s="1003">
        <v>0</v>
      </c>
      <c r="BL26" s="1003">
        <v>0</v>
      </c>
      <c r="BM26" s="1003">
        <v>0</v>
      </c>
      <c r="BN26" s="322">
        <v>0</v>
      </c>
      <c r="BO26" s="1001">
        <v>0</v>
      </c>
      <c r="BP26" s="1004">
        <v>0</v>
      </c>
      <c r="BQ26" s="1004">
        <v>0</v>
      </c>
      <c r="BR26" s="1004">
        <v>0</v>
      </c>
      <c r="BS26" s="1005">
        <v>0</v>
      </c>
      <c r="BT26" s="1005">
        <v>0</v>
      </c>
      <c r="BU26" s="1005">
        <v>0</v>
      </c>
      <c r="BV26" s="322">
        <v>0</v>
      </c>
      <c r="BW26" s="1006">
        <v>0</v>
      </c>
      <c r="BX26" s="439" t="s">
        <v>136</v>
      </c>
    </row>
    <row r="27" spans="1:76" ht="18.75" collapsed="1" x14ac:dyDescent="0.25">
      <c r="A27" s="464">
        <v>5</v>
      </c>
      <c r="B27" s="700" t="s">
        <v>1705</v>
      </c>
      <c r="C27" s="687"/>
      <c r="D27" s="346"/>
      <c r="E27" s="465"/>
      <c r="F27" s="545"/>
      <c r="G27" s="397" t="s">
        <v>1730</v>
      </c>
      <c r="H27" s="396" t="s">
        <v>1730</v>
      </c>
      <c r="I27" s="340"/>
      <c r="J27" s="343">
        <f t="shared" ref="J27" si="151">J28</f>
        <v>0</v>
      </c>
      <c r="K27" s="344">
        <f t="shared" ref="K27" si="152">K28</f>
        <v>0</v>
      </c>
      <c r="L27" s="344">
        <f t="shared" ref="L27" si="153">L28</f>
        <v>0</v>
      </c>
      <c r="M27" s="344">
        <f t="shared" ref="M27" si="154">M28</f>
        <v>0</v>
      </c>
      <c r="N27" s="344">
        <f>N28</f>
        <v>0</v>
      </c>
      <c r="O27" s="344">
        <f t="shared" ref="O27:Q27" si="155">O28</f>
        <v>1.3945647221858727E-4</v>
      </c>
      <c r="P27" s="344">
        <f t="shared" si="155"/>
        <v>1.4336719479289507E-4</v>
      </c>
      <c r="Q27" s="344">
        <f t="shared" si="155"/>
        <v>1.407343101778567E-4</v>
      </c>
      <c r="R27" s="344">
        <f t="shared" ref="R27" si="156">R28</f>
        <v>1.2504047723770807E-4</v>
      </c>
      <c r="S27" s="526">
        <f t="shared" ref="S27" si="157">S28</f>
        <v>0</v>
      </c>
      <c r="T27" s="532">
        <f t="shared" ref="T27" si="158">T28</f>
        <v>0</v>
      </c>
      <c r="U27" s="358">
        <f t="shared" ref="U27" si="159">U28</f>
        <v>0</v>
      </c>
      <c r="V27" s="358">
        <f t="shared" ref="V27" si="160">V28</f>
        <v>0</v>
      </c>
      <c r="W27" s="370">
        <f t="shared" ref="W27" si="161">W28</f>
        <v>0</v>
      </c>
      <c r="X27" s="370">
        <f t="shared" ref="X27" si="162">X28</f>
        <v>0</v>
      </c>
      <c r="Y27" s="370">
        <f t="shared" ref="Y27" si="163">Y28</f>
        <v>0</v>
      </c>
      <c r="Z27" s="358">
        <f>Z28</f>
        <v>0</v>
      </c>
      <c r="AA27" s="358">
        <f t="shared" ref="AA27" si="164">AA28</f>
        <v>-1.3945647221858727E-4</v>
      </c>
      <c r="AB27" s="370">
        <f t="shared" ref="AB27" si="165">AB28</f>
        <v>0</v>
      </c>
      <c r="AC27" s="370">
        <f t="shared" ref="AC27:AK27" si="166">AC28</f>
        <v>0</v>
      </c>
      <c r="AD27" s="370">
        <f t="shared" si="166"/>
        <v>-1.6166119760282224E-4</v>
      </c>
      <c r="AE27" s="370">
        <f t="shared" si="166"/>
        <v>-1.4336719479289507E-4</v>
      </c>
      <c r="AF27" s="370">
        <f t="shared" si="166"/>
        <v>-1.3945647221858727E-4</v>
      </c>
      <c r="AG27" s="358">
        <f t="shared" si="166"/>
        <v>-1.407343101778567E-4</v>
      </c>
      <c r="AH27" s="358">
        <f t="shared" ref="AH27" si="167">AH28</f>
        <v>-1.2504047723770807E-4</v>
      </c>
      <c r="AI27" s="370">
        <f t="shared" si="166"/>
        <v>-1.3306978067548927E-4</v>
      </c>
      <c r="AJ27" s="370">
        <f t="shared" si="166"/>
        <v>-1.2905790643190999E-4</v>
      </c>
      <c r="AK27" s="370">
        <f t="shared" si="166"/>
        <v>-1.2603929398589015E-4</v>
      </c>
      <c r="AL27" s="359">
        <f>AL28</f>
        <v>0</v>
      </c>
      <c r="AM27" s="359">
        <f>AM28</f>
        <v>0</v>
      </c>
      <c r="AN27" s="359">
        <f>AN28</f>
        <v>0</v>
      </c>
      <c r="AO27" s="341"/>
      <c r="AP27" s="366">
        <f t="shared" ref="AP27:BU27" si="168">AP28</f>
        <v>11</v>
      </c>
      <c r="AQ27" s="363">
        <f t="shared" si="168"/>
        <v>0</v>
      </c>
      <c r="AR27" s="363">
        <f t="shared" si="168"/>
        <v>0</v>
      </c>
      <c r="AS27" s="363">
        <f t="shared" si="168"/>
        <v>0</v>
      </c>
      <c r="AT27" s="363">
        <f t="shared" si="168"/>
        <v>0</v>
      </c>
      <c r="AU27" s="363">
        <f t="shared" si="168"/>
        <v>0</v>
      </c>
      <c r="AV27" s="363">
        <f t="shared" si="168"/>
        <v>5.5</v>
      </c>
      <c r="AW27" s="363">
        <f t="shared" si="168"/>
        <v>5.5</v>
      </c>
      <c r="AX27" s="363">
        <f t="shared" si="168"/>
        <v>5.5</v>
      </c>
      <c r="AY27" s="363">
        <f>AY28</f>
        <v>5.5</v>
      </c>
      <c r="AZ27" s="367">
        <f t="shared" si="168"/>
        <v>0</v>
      </c>
      <c r="BA27" s="655">
        <f t="shared" si="168"/>
        <v>0</v>
      </c>
      <c r="BB27" s="366">
        <f t="shared" si="168"/>
        <v>0</v>
      </c>
      <c r="BC27" s="363">
        <f t="shared" si="168"/>
        <v>0</v>
      </c>
      <c r="BD27" s="373">
        <f t="shared" si="168"/>
        <v>0</v>
      </c>
      <c r="BE27" s="373">
        <f t="shared" si="168"/>
        <v>0</v>
      </c>
      <c r="BF27" s="514">
        <f t="shared" si="168"/>
        <v>0</v>
      </c>
      <c r="BG27" s="364">
        <f>BG28</f>
        <v>0</v>
      </c>
      <c r="BH27" s="363">
        <f t="shared" si="168"/>
        <v>-5.5</v>
      </c>
      <c r="BI27" s="676">
        <f t="shared" si="168"/>
        <v>0</v>
      </c>
      <c r="BJ27" s="514">
        <f t="shared" si="168"/>
        <v>0</v>
      </c>
      <c r="BK27" s="514">
        <f t="shared" si="168"/>
        <v>-5.5</v>
      </c>
      <c r="BL27" s="514">
        <f t="shared" si="168"/>
        <v>-5.5</v>
      </c>
      <c r="BM27" s="514">
        <f t="shared" si="168"/>
        <v>-5.5</v>
      </c>
      <c r="BN27" s="365">
        <f>BN28</f>
        <v>-5.5</v>
      </c>
      <c r="BO27" s="363">
        <f t="shared" si="168"/>
        <v>-5.5</v>
      </c>
      <c r="BP27" s="676">
        <f t="shared" si="168"/>
        <v>-5.5</v>
      </c>
      <c r="BQ27" s="676">
        <f t="shared" si="168"/>
        <v>-5.5</v>
      </c>
      <c r="BR27" s="676">
        <f t="shared" si="168"/>
        <v>-5.5</v>
      </c>
      <c r="BS27" s="367">
        <f t="shared" si="168"/>
        <v>0</v>
      </c>
      <c r="BT27" s="367">
        <f t="shared" si="168"/>
        <v>0</v>
      </c>
      <c r="BU27" s="367">
        <f t="shared" si="168"/>
        <v>0</v>
      </c>
      <c r="BV27" s="365">
        <f>BV28</f>
        <v>0</v>
      </c>
      <c r="BW27" s="368">
        <f>BW28</f>
        <v>0</v>
      </c>
      <c r="BX27" s="440"/>
    </row>
    <row r="28" spans="1:76" ht="104.1" hidden="1" customHeight="1" outlineLevel="1" x14ac:dyDescent="0.25">
      <c r="A28" s="419">
        <v>1</v>
      </c>
      <c r="B28" s="703" t="s">
        <v>1705</v>
      </c>
      <c r="C28" s="688" t="s">
        <v>1705</v>
      </c>
      <c r="D28" s="278">
        <v>44502</v>
      </c>
      <c r="E28" s="466" t="s">
        <v>1706</v>
      </c>
      <c r="F28" s="546" t="s">
        <v>1707</v>
      </c>
      <c r="G28" s="73" t="s">
        <v>271</v>
      </c>
      <c r="H28" s="306" t="s">
        <v>123</v>
      </c>
      <c r="I28" s="331"/>
      <c r="J28" s="294">
        <f>AQ28/$T$8</f>
        <v>0</v>
      </c>
      <c r="K28" s="52">
        <f>AR28/$U$8</f>
        <v>0</v>
      </c>
      <c r="L28" s="52">
        <f>AS28/$V$8</f>
        <v>0</v>
      </c>
      <c r="M28" s="52">
        <f>AT28/$Y$8</f>
        <v>0</v>
      </c>
      <c r="N28" s="52">
        <f>AU28/$Z$8</f>
        <v>0</v>
      </c>
      <c r="O28" s="52">
        <f>AV28/$AA$8</f>
        <v>1.3945647221858727E-4</v>
      </c>
      <c r="P28" s="52">
        <f>AW28/$AE$8</f>
        <v>1.4336719479289507E-4</v>
      </c>
      <c r="Q28" s="52">
        <f>AX28/$AG$8</f>
        <v>1.407343101778567E-4</v>
      </c>
      <c r="R28" s="52">
        <f>AY28/$AH$8</f>
        <v>1.2504047723770807E-4</v>
      </c>
      <c r="S28" s="527">
        <f>AZ28/$AN$8</f>
        <v>0</v>
      </c>
      <c r="T28" s="531">
        <f t="shared" ref="T28:AF28" si="169">BA28/T$8</f>
        <v>0</v>
      </c>
      <c r="U28" s="353">
        <f t="shared" si="169"/>
        <v>0</v>
      </c>
      <c r="V28" s="353">
        <f t="shared" si="169"/>
        <v>0</v>
      </c>
      <c r="W28" s="354">
        <f t="shared" si="169"/>
        <v>0</v>
      </c>
      <c r="X28" s="354">
        <f t="shared" si="169"/>
        <v>0</v>
      </c>
      <c r="Y28" s="384">
        <f t="shared" si="169"/>
        <v>0</v>
      </c>
      <c r="Z28" s="353">
        <f t="shared" si="169"/>
        <v>0</v>
      </c>
      <c r="AA28" s="353">
        <f t="shared" si="169"/>
        <v>-1.3945647221858727E-4</v>
      </c>
      <c r="AB28" s="354">
        <f t="shared" si="169"/>
        <v>0</v>
      </c>
      <c r="AC28" s="354">
        <f t="shared" si="169"/>
        <v>0</v>
      </c>
      <c r="AD28" s="354">
        <f t="shared" si="169"/>
        <v>-1.6166119760282224E-4</v>
      </c>
      <c r="AE28" s="354">
        <f t="shared" si="169"/>
        <v>-1.4336719479289507E-4</v>
      </c>
      <c r="AF28" s="354">
        <f t="shared" si="169"/>
        <v>-1.3945647221858727E-4</v>
      </c>
      <c r="AG28" s="353">
        <f t="shared" ref="AG28:AN28" si="170">BN28/AG$8</f>
        <v>-1.407343101778567E-4</v>
      </c>
      <c r="AH28" s="353">
        <f t="shared" si="170"/>
        <v>-1.2504047723770807E-4</v>
      </c>
      <c r="AI28" s="354">
        <f t="shared" si="170"/>
        <v>-1.3306978067548927E-4</v>
      </c>
      <c r="AJ28" s="354">
        <f t="shared" si="170"/>
        <v>-1.2905790643190999E-4</v>
      </c>
      <c r="AK28" s="354">
        <f t="shared" si="170"/>
        <v>-1.2603929398589015E-4</v>
      </c>
      <c r="AL28" s="355">
        <f t="shared" si="170"/>
        <v>0</v>
      </c>
      <c r="AM28" s="355">
        <f t="shared" si="170"/>
        <v>0</v>
      </c>
      <c r="AN28" s="355">
        <f t="shared" si="170"/>
        <v>0</v>
      </c>
      <c r="AO28" s="282"/>
      <c r="AP28" s="295">
        <f>AR28+AU28+AZ28+AW28+AY28</f>
        <v>11</v>
      </c>
      <c r="AQ28" s="408">
        <v>0</v>
      </c>
      <c r="AR28" s="987">
        <v>0</v>
      </c>
      <c r="AS28" s="987">
        <v>0</v>
      </c>
      <c r="AT28" s="987">
        <v>0</v>
      </c>
      <c r="AU28" s="987">
        <v>0</v>
      </c>
      <c r="AV28" s="987">
        <v>5.5</v>
      </c>
      <c r="AW28" s="987">
        <v>5.5</v>
      </c>
      <c r="AX28" s="987">
        <v>5.5</v>
      </c>
      <c r="AY28" s="987">
        <v>5.5</v>
      </c>
      <c r="AZ28" s="988">
        <v>0</v>
      </c>
      <c r="BA28" s="999">
        <v>0</v>
      </c>
      <c r="BB28" s="1000">
        <v>0</v>
      </c>
      <c r="BC28" s="1001">
        <v>0</v>
      </c>
      <c r="BD28" s="1002">
        <v>0</v>
      </c>
      <c r="BE28" s="1002">
        <v>0</v>
      </c>
      <c r="BF28" s="1002">
        <v>0</v>
      </c>
      <c r="BG28" s="60">
        <v>0</v>
      </c>
      <c r="BH28" s="1001">
        <v>-5.5</v>
      </c>
      <c r="BI28" s="1002">
        <v>0</v>
      </c>
      <c r="BJ28" s="1002">
        <v>0</v>
      </c>
      <c r="BK28" s="1002">
        <v>-5.5</v>
      </c>
      <c r="BL28" s="1002">
        <v>-5.5</v>
      </c>
      <c r="BM28" s="1002">
        <v>-5.5</v>
      </c>
      <c r="BN28" s="322">
        <v>-5.5</v>
      </c>
      <c r="BO28" s="1001">
        <v>-5.5</v>
      </c>
      <c r="BP28" s="1004">
        <v>-5.5</v>
      </c>
      <c r="BQ28" s="1004">
        <v>-5.5</v>
      </c>
      <c r="BR28" s="1004">
        <v>-5.5</v>
      </c>
      <c r="BS28" s="1005">
        <v>0</v>
      </c>
      <c r="BT28" s="1005">
        <v>0</v>
      </c>
      <c r="BU28" s="1005">
        <v>0</v>
      </c>
      <c r="BV28" s="322">
        <v>0</v>
      </c>
      <c r="BW28" s="322">
        <v>0</v>
      </c>
      <c r="BX28" s="439" t="s">
        <v>1708</v>
      </c>
    </row>
    <row r="29" spans="1:76" ht="18.75" collapsed="1" x14ac:dyDescent="0.25">
      <c r="A29" s="305" t="s">
        <v>50</v>
      </c>
      <c r="B29" s="699"/>
      <c r="C29" s="6"/>
      <c r="D29" s="6"/>
      <c r="E29" s="458"/>
      <c r="F29" s="539"/>
      <c r="G29" s="398" t="s">
        <v>1730</v>
      </c>
      <c r="H29" s="399" t="s">
        <v>1730</v>
      </c>
      <c r="I29" s="333"/>
      <c r="J29" s="585">
        <f>J30+J38+J43+J45+J47+J50+J52+J56+J59</f>
        <v>7.2541205575654393E-3</v>
      </c>
      <c r="K29" s="586">
        <f>K30+K38+K43+K45+K47+K50+K52+K56+K59</f>
        <v>4.2776651978961551E-3</v>
      </c>
      <c r="L29" s="586">
        <f>L30+L38+L43+L45+L47+L50+L52+L56+L59</f>
        <v>1.8019328079089129E-2</v>
      </c>
      <c r="M29" s="669">
        <f t="shared" ref="M29:AE29" si="171">M30+M38+M43+M45+M47+M50+M52+M56+M59</f>
        <v>1.8770788673158113E-2</v>
      </c>
      <c r="N29" s="586">
        <f>N30+N38+N43+N45+N47+N50+N52+N56+N59</f>
        <v>1.5882542055204396E-2</v>
      </c>
      <c r="O29" s="586">
        <f t="shared" ref="O29:P29" si="172">O30+O38+O43+O45+O47+O50+O52+O56+O59</f>
        <v>3.6305726769613684E-3</v>
      </c>
      <c r="P29" s="586">
        <f t="shared" si="172"/>
        <v>3.7323833874976522E-3</v>
      </c>
      <c r="Q29" s="586">
        <f t="shared" ref="Q29" si="173">Q30+Q38+Q43+Q45+Q47+Q50+Q52+Q56+Q59</f>
        <v>2.2077141889529557E-3</v>
      </c>
      <c r="R29" s="586">
        <f t="shared" si="171"/>
        <v>0</v>
      </c>
      <c r="S29" s="587">
        <f t="shared" si="171"/>
        <v>0</v>
      </c>
      <c r="T29" s="585">
        <f t="shared" si="171"/>
        <v>-7.2541205575654393E-3</v>
      </c>
      <c r="U29" s="586">
        <f t="shared" si="171"/>
        <v>-4.2776651978961551E-3</v>
      </c>
      <c r="V29" s="586">
        <f t="shared" si="171"/>
        <v>-1.8019328079089129E-2</v>
      </c>
      <c r="W29" s="588">
        <f t="shared" si="171"/>
        <v>-1.4886056673361188E-2</v>
      </c>
      <c r="X29" s="588">
        <f t="shared" si="171"/>
        <v>-1.7081953970361857E-2</v>
      </c>
      <c r="Y29" s="588">
        <f t="shared" si="171"/>
        <v>-1.6147693622363176E-2</v>
      </c>
      <c r="Z29" s="586">
        <f t="shared" ref="Z29" si="174">Z30+Z38+Z43+Z45+Z47+Z50+Z52+Z56+Z59</f>
        <v>-1.5882542055204396E-2</v>
      </c>
      <c r="AA29" s="586">
        <f t="shared" si="171"/>
        <v>-3.6305726769613684E-3</v>
      </c>
      <c r="AB29" s="588">
        <f t="shared" si="171"/>
        <v>0</v>
      </c>
      <c r="AC29" s="588">
        <f t="shared" ref="AC29:AD29" si="175">AC30+AC38+AC43+AC45+AC47+AC50+AC52+AC56+AC59</f>
        <v>-6.7512655413440431E-7</v>
      </c>
      <c r="AD29" s="588">
        <f t="shared" si="175"/>
        <v>-1.9824659920688634E-3</v>
      </c>
      <c r="AE29" s="588">
        <f t="shared" si="171"/>
        <v>-2.0327425630108161E-3</v>
      </c>
      <c r="AF29" s="588">
        <f t="shared" ref="AF29:AG29" si="176">AF30+AF38+AF43+AF45+AF47+AF50+AF52+AF56+AF59</f>
        <v>-2.1952375254980032E-3</v>
      </c>
      <c r="AG29" s="586">
        <f t="shared" si="176"/>
        <v>-2.2279434472224462E-3</v>
      </c>
      <c r="AH29" s="586">
        <f t="shared" ref="AH29:AI29" si="177">AH30+AH38+AH43+AH45+AH47+AH50+AH52+AH56+AH59</f>
        <v>0</v>
      </c>
      <c r="AI29" s="588">
        <f t="shared" si="177"/>
        <v>0</v>
      </c>
      <c r="AJ29" s="588">
        <f t="shared" ref="AJ29:AK29" si="178">AJ30+AJ38+AJ43+AJ45+AJ47+AJ50+AJ52+AJ56+AJ59</f>
        <v>0</v>
      </c>
      <c r="AK29" s="588">
        <f t="shared" si="178"/>
        <v>0</v>
      </c>
      <c r="AL29" s="587">
        <f>AL30+AL38+AL43+AL45+AL47+AL50+AL52+AL56+AL59</f>
        <v>0</v>
      </c>
      <c r="AM29" s="587">
        <f>AM30+AM38+AM43+AM45+AM47+AM50+AM52+AM56+AM59</f>
        <v>0</v>
      </c>
      <c r="AN29" s="587">
        <f>AN30+AN38+AN43+AN45+AN47+AN50+AN52+AN56+AN59</f>
        <v>0</v>
      </c>
      <c r="AO29" s="589"/>
      <c r="AP29" s="590">
        <f t="shared" ref="AP29:BW29" si="179">AP30+AP38+AP43+AP45+AP47+AP50+AP52+AP56+AP59</f>
        <v>806.22945399999992</v>
      </c>
      <c r="AQ29" s="591">
        <f t="shared" si="179"/>
        <v>204.52267500000002</v>
      </c>
      <c r="AR29" s="580">
        <f t="shared" si="179"/>
        <v>129.587782</v>
      </c>
      <c r="AS29" s="580">
        <f t="shared" si="179"/>
        <v>588.72748699999988</v>
      </c>
      <c r="AT29" s="581">
        <f t="shared" si="179"/>
        <v>588.72748699999988</v>
      </c>
      <c r="AU29" s="580">
        <f t="shared" ref="AU29:AV29" si="180">AU30+AU38+AU43+AU45+AU47+AU50+AU52+AU56+AU59</f>
        <v>533.45613600000001</v>
      </c>
      <c r="AV29" s="580">
        <f t="shared" si="180"/>
        <v>143.18553600000004</v>
      </c>
      <c r="AW29" s="580">
        <f t="shared" si="179"/>
        <v>143.18553600000004</v>
      </c>
      <c r="AX29" s="580">
        <f t="shared" ref="AX29" si="181">AX30+AX38+AX43+AX45+AX47+AX50+AX52+AX56+AX59</f>
        <v>87.069663000000006</v>
      </c>
      <c r="AY29" s="580">
        <f t="shared" si="179"/>
        <v>0</v>
      </c>
      <c r="AZ29" s="582">
        <f t="shared" si="179"/>
        <v>0</v>
      </c>
      <c r="BA29" s="658">
        <f t="shared" si="179"/>
        <v>-204.52267500000002</v>
      </c>
      <c r="BB29" s="324">
        <f t="shared" si="179"/>
        <v>-129.587782</v>
      </c>
      <c r="BC29" s="580">
        <f t="shared" si="179"/>
        <v>-588.72748699999988</v>
      </c>
      <c r="BD29" s="583">
        <f t="shared" si="179"/>
        <v>-455.94351499999999</v>
      </c>
      <c r="BE29" s="583">
        <f t="shared" si="179"/>
        <v>-535.75883299999987</v>
      </c>
      <c r="BF29" s="583">
        <f t="shared" si="179"/>
        <v>-506.45666800000004</v>
      </c>
      <c r="BG29" s="580">
        <f t="shared" ref="BG29" si="182">BG30+BG38+BG43+BG45+BG47+BG50+BG52+BG56+BG59</f>
        <v>-533.45613600000001</v>
      </c>
      <c r="BH29" s="580">
        <f t="shared" si="179"/>
        <v>-143.18553600000004</v>
      </c>
      <c r="BI29" s="1007">
        <f t="shared" si="179"/>
        <v>0</v>
      </c>
      <c r="BJ29" s="583">
        <f t="shared" ref="BJ29" si="183">BJ30+BJ38+BJ43+BJ45+BJ47+BJ50+BJ52+BJ56+BJ59</f>
        <v>-2.2969E-2</v>
      </c>
      <c r="BK29" s="583">
        <f t="shared" si="179"/>
        <v>-67.447001</v>
      </c>
      <c r="BL29" s="583">
        <f t="shared" ref="BL29:BN29" si="184">BL30+BL38+BL43+BL45+BL47+BL50+BL52+BL56+BL59</f>
        <v>-77.982163999999983</v>
      </c>
      <c r="BM29" s="583">
        <f t="shared" si="184"/>
        <v>-86.577597999999995</v>
      </c>
      <c r="BN29" s="324">
        <f t="shared" si="184"/>
        <v>-87.069663000000006</v>
      </c>
      <c r="BO29" s="580">
        <f t="shared" si="179"/>
        <v>0</v>
      </c>
      <c r="BP29" s="732">
        <f t="shared" ref="BP29:BQ29" si="185">BP30+BP38+BP43+BP45+BP47+BP50+BP52+BP56+BP59</f>
        <v>0</v>
      </c>
      <c r="BQ29" s="732">
        <f t="shared" si="185"/>
        <v>0</v>
      </c>
      <c r="BR29" s="732">
        <f t="shared" ref="BR29:BT29" si="186">BR30+BR38+BR43+BR45+BR47+BR50+BR52+BR56+BR59</f>
        <v>0</v>
      </c>
      <c r="BS29" s="582">
        <f t="shared" si="186"/>
        <v>0</v>
      </c>
      <c r="BT29" s="582">
        <f t="shared" si="186"/>
        <v>0</v>
      </c>
      <c r="BU29" s="582">
        <f t="shared" si="179"/>
        <v>0</v>
      </c>
      <c r="BV29" s="324">
        <f t="shared" si="179"/>
        <v>0</v>
      </c>
      <c r="BW29" s="582">
        <f t="shared" si="179"/>
        <v>0</v>
      </c>
      <c r="BX29" s="321"/>
    </row>
    <row r="30" spans="1:76" ht="18.75" x14ac:dyDescent="0.25">
      <c r="A30" s="467">
        <v>1</v>
      </c>
      <c r="B30" s="704" t="s">
        <v>1715</v>
      </c>
      <c r="C30" s="689"/>
      <c r="D30" s="348"/>
      <c r="E30" s="460"/>
      <c r="F30" s="540"/>
      <c r="G30" s="400" t="s">
        <v>1730</v>
      </c>
      <c r="H30" s="401" t="s">
        <v>1730</v>
      </c>
      <c r="I30" s="349"/>
      <c r="J30" s="379">
        <f>SUM(J31:J37)</f>
        <v>2.6196312690643401E-3</v>
      </c>
      <c r="K30" s="380">
        <f t="shared" ref="K30:AN30" si="187">SUM(K31:K37)</f>
        <v>1.9971890845213972E-3</v>
      </c>
      <c r="L30" s="380">
        <f t="shared" si="187"/>
        <v>2.9860315560724781E-3</v>
      </c>
      <c r="M30" s="380">
        <f t="shared" si="187"/>
        <v>3.1105581220568618E-3</v>
      </c>
      <c r="N30" s="380">
        <f t="shared" ref="N30:O30" si="188">SUM(N31:N37)</f>
        <v>4.0456122187312159E-3</v>
      </c>
      <c r="O30" s="380">
        <f t="shared" si="188"/>
        <v>0</v>
      </c>
      <c r="P30" s="380">
        <f t="shared" ref="P30:Q30" si="189">SUM(P31:P37)</f>
        <v>0</v>
      </c>
      <c r="Q30" s="380">
        <f t="shared" si="189"/>
        <v>0</v>
      </c>
      <c r="R30" s="380">
        <f t="shared" si="187"/>
        <v>0</v>
      </c>
      <c r="S30" s="381">
        <f t="shared" si="187"/>
        <v>0</v>
      </c>
      <c r="T30" s="379">
        <f t="shared" si="187"/>
        <v>-2.6196312690643401E-3</v>
      </c>
      <c r="U30" s="380">
        <f t="shared" si="187"/>
        <v>-1.9971890845213972E-3</v>
      </c>
      <c r="V30" s="380">
        <f t="shared" si="187"/>
        <v>-2.9860315560724781E-3</v>
      </c>
      <c r="W30" s="385">
        <f t="shared" si="187"/>
        <v>-3.1852148988449841E-3</v>
      </c>
      <c r="X30" s="385">
        <f t="shared" si="187"/>
        <v>-4.5453229477938244E-3</v>
      </c>
      <c r="Y30" s="385">
        <f t="shared" si="187"/>
        <v>-4.3336274469815105E-3</v>
      </c>
      <c r="Z30" s="380">
        <f>SUM(Z31:Z37)</f>
        <v>-4.0456122187312159E-3</v>
      </c>
      <c r="AA30" s="380">
        <f t="shared" si="187"/>
        <v>0</v>
      </c>
      <c r="AB30" s="385">
        <f t="shared" si="187"/>
        <v>0</v>
      </c>
      <c r="AC30" s="385">
        <f t="shared" ref="AC30:AD30" si="190">SUM(AC31:AC37)</f>
        <v>0</v>
      </c>
      <c r="AD30" s="385">
        <f t="shared" si="190"/>
        <v>0</v>
      </c>
      <c r="AE30" s="385">
        <f t="shared" si="187"/>
        <v>0</v>
      </c>
      <c r="AF30" s="385">
        <f t="shared" ref="AF30:AG30" si="191">SUM(AF31:AF37)</f>
        <v>0</v>
      </c>
      <c r="AG30" s="380">
        <f t="shared" si="191"/>
        <v>0</v>
      </c>
      <c r="AH30" s="380">
        <f t="shared" ref="AH30:AI30" si="192">SUM(AH31:AH37)</f>
        <v>0</v>
      </c>
      <c r="AI30" s="385">
        <f t="shared" si="192"/>
        <v>0</v>
      </c>
      <c r="AJ30" s="385">
        <f t="shared" ref="AJ30:AM30" si="193">SUM(AJ31:AJ37)</f>
        <v>0</v>
      </c>
      <c r="AK30" s="385">
        <f t="shared" si="193"/>
        <v>0</v>
      </c>
      <c r="AL30" s="381">
        <f t="shared" si="193"/>
        <v>0</v>
      </c>
      <c r="AM30" s="381">
        <f t="shared" si="193"/>
        <v>0</v>
      </c>
      <c r="AN30" s="381">
        <f t="shared" si="187"/>
        <v>0</v>
      </c>
      <c r="AO30" s="337"/>
      <c r="AP30" s="350">
        <f t="shared" ref="AP30:BW30" si="194">SUM(AP31:AP37)</f>
        <v>196.385256</v>
      </c>
      <c r="AQ30" s="382">
        <f t="shared" si="194"/>
        <v>73.857883999999999</v>
      </c>
      <c r="AR30" s="382">
        <f t="shared" si="194"/>
        <v>60.502936000000005</v>
      </c>
      <c r="AS30" s="382">
        <f t="shared" si="194"/>
        <v>97.559623000000002</v>
      </c>
      <c r="AT30" s="382">
        <f t="shared" si="194"/>
        <v>97.559623000000002</v>
      </c>
      <c r="AU30" s="382">
        <f t="shared" ref="AU30:AV30" si="195">SUM(AU31:AU37)</f>
        <v>135.88231999999999</v>
      </c>
      <c r="AV30" s="382">
        <f t="shared" si="195"/>
        <v>0</v>
      </c>
      <c r="AW30" s="382">
        <f t="shared" si="194"/>
        <v>0</v>
      </c>
      <c r="AX30" s="382">
        <f t="shared" ref="AX30" si="196">SUM(AX31:AX37)</f>
        <v>0</v>
      </c>
      <c r="AY30" s="382">
        <f t="shared" si="194"/>
        <v>0</v>
      </c>
      <c r="AZ30" s="383">
        <f t="shared" si="194"/>
        <v>0</v>
      </c>
      <c r="BA30" s="656">
        <f t="shared" si="194"/>
        <v>-73.857883999999999</v>
      </c>
      <c r="BB30" s="350">
        <f t="shared" si="194"/>
        <v>-60.502936000000005</v>
      </c>
      <c r="BC30" s="382">
        <f t="shared" si="194"/>
        <v>-97.559623000000002</v>
      </c>
      <c r="BD30" s="387">
        <f t="shared" si="194"/>
        <v>-97.559623000000002</v>
      </c>
      <c r="BE30" s="387">
        <f t="shared" si="194"/>
        <v>-142.55962299999999</v>
      </c>
      <c r="BF30" s="651">
        <f t="shared" si="194"/>
        <v>-135.91999999999999</v>
      </c>
      <c r="BG30" s="360">
        <f t="shared" ref="BG30" si="197">SUM(BG31:BG37)</f>
        <v>-135.88231999999999</v>
      </c>
      <c r="BH30" s="382">
        <f t="shared" si="194"/>
        <v>0</v>
      </c>
      <c r="BI30" s="387">
        <f t="shared" si="194"/>
        <v>0</v>
      </c>
      <c r="BJ30" s="515">
        <f t="shared" ref="BJ30" si="198">SUM(BJ31:BJ37)</f>
        <v>0</v>
      </c>
      <c r="BK30" s="515">
        <f t="shared" si="194"/>
        <v>0</v>
      </c>
      <c r="BL30" s="515">
        <f t="shared" ref="BL30:BN30" si="199">SUM(BL31:BL37)</f>
        <v>0</v>
      </c>
      <c r="BM30" s="515">
        <f t="shared" si="199"/>
        <v>0</v>
      </c>
      <c r="BN30" s="350">
        <f t="shared" si="199"/>
        <v>0</v>
      </c>
      <c r="BO30" s="382">
        <f t="shared" si="194"/>
        <v>0</v>
      </c>
      <c r="BP30" s="387">
        <f t="shared" ref="BP30:BQ30" si="200">SUM(BP31:BP37)</f>
        <v>0</v>
      </c>
      <c r="BQ30" s="387">
        <f t="shared" si="200"/>
        <v>0</v>
      </c>
      <c r="BR30" s="387">
        <f t="shared" ref="BR30:BT30" si="201">SUM(BR31:BR37)</f>
        <v>0</v>
      </c>
      <c r="BS30" s="383">
        <f t="shared" si="201"/>
        <v>0</v>
      </c>
      <c r="BT30" s="383">
        <f t="shared" si="201"/>
        <v>0</v>
      </c>
      <c r="BU30" s="383">
        <f t="shared" si="194"/>
        <v>0</v>
      </c>
      <c r="BV30" s="350">
        <f t="shared" si="194"/>
        <v>0</v>
      </c>
      <c r="BW30" s="383">
        <f t="shared" si="194"/>
        <v>0</v>
      </c>
      <c r="BX30" s="351"/>
    </row>
    <row r="31" spans="1:76" ht="87" hidden="1" customHeight="1" outlineLevel="1" x14ac:dyDescent="0.25">
      <c r="A31" s="677">
        <v>1</v>
      </c>
      <c r="B31" s="701" t="s">
        <v>1715</v>
      </c>
      <c r="C31" s="690" t="s">
        <v>540</v>
      </c>
      <c r="D31" s="64">
        <v>43916</v>
      </c>
      <c r="E31" s="463" t="s">
        <v>571</v>
      </c>
      <c r="F31" s="544" t="s">
        <v>54</v>
      </c>
      <c r="G31" s="73" t="s">
        <v>38</v>
      </c>
      <c r="H31" s="313" t="s">
        <v>127</v>
      </c>
      <c r="I31" s="1205"/>
      <c r="J31" s="1199">
        <f>AQ31/T$8</f>
        <v>1.8994684684684685E-3</v>
      </c>
      <c r="K31" s="1201">
        <f>AR31/$U$8</f>
        <v>1.7665924441585799E-3</v>
      </c>
      <c r="L31" s="1201">
        <f>AS31/$V$8</f>
        <v>0</v>
      </c>
      <c r="M31" s="1201">
        <f>AT31/$Y$8</f>
        <v>0</v>
      </c>
      <c r="N31" s="1201">
        <f>AU31/$Z$8</f>
        <v>0</v>
      </c>
      <c r="O31" s="1201">
        <f>AV31/$AA$8</f>
        <v>0</v>
      </c>
      <c r="P31" s="1201">
        <f>AW31/$AE$8</f>
        <v>0</v>
      </c>
      <c r="Q31" s="1201">
        <f>AX31/$AG$8</f>
        <v>0</v>
      </c>
      <c r="R31" s="1201">
        <f>AY31/$AH$8</f>
        <v>0</v>
      </c>
      <c r="S31" s="1210">
        <f>AZ31/$AN$8</f>
        <v>0</v>
      </c>
      <c r="T31" s="1206">
        <f>BA31/$T$8</f>
        <v>-1.8994684684684685E-3</v>
      </c>
      <c r="U31" s="1220">
        <f t="shared" ref="U31:AF31" si="202">BB31/U$8</f>
        <v>-1.7665924441585799E-3</v>
      </c>
      <c r="V31" s="1220">
        <f t="shared" si="202"/>
        <v>0</v>
      </c>
      <c r="W31" s="1385">
        <f t="shared" si="202"/>
        <v>0</v>
      </c>
      <c r="X31" s="1385">
        <f t="shared" si="202"/>
        <v>0</v>
      </c>
      <c r="Y31" s="1385">
        <f t="shared" si="202"/>
        <v>0</v>
      </c>
      <c r="Z31" s="1220">
        <f t="shared" si="202"/>
        <v>0</v>
      </c>
      <c r="AA31" s="1220">
        <f t="shared" si="202"/>
        <v>0</v>
      </c>
      <c r="AB31" s="1385">
        <f t="shared" si="202"/>
        <v>0</v>
      </c>
      <c r="AC31" s="1385">
        <f t="shared" si="202"/>
        <v>0</v>
      </c>
      <c r="AD31" s="1385">
        <f t="shared" si="202"/>
        <v>0</v>
      </c>
      <c r="AE31" s="1385">
        <f t="shared" si="202"/>
        <v>0</v>
      </c>
      <c r="AF31" s="1385">
        <f t="shared" si="202"/>
        <v>0</v>
      </c>
      <c r="AG31" s="1220">
        <f t="shared" ref="AG31:AN31" si="203">BN31/AG$8</f>
        <v>0</v>
      </c>
      <c r="AH31" s="1220">
        <f t="shared" si="203"/>
        <v>0</v>
      </c>
      <c r="AI31" s="1385">
        <f t="shared" si="203"/>
        <v>0</v>
      </c>
      <c r="AJ31" s="1385">
        <f t="shared" si="203"/>
        <v>0</v>
      </c>
      <c r="AK31" s="1385">
        <f t="shared" si="203"/>
        <v>0</v>
      </c>
      <c r="AL31" s="1150">
        <f t="shared" si="203"/>
        <v>0</v>
      </c>
      <c r="AM31" s="1150">
        <f t="shared" si="203"/>
        <v>0</v>
      </c>
      <c r="AN31" s="1150">
        <f t="shared" si="203"/>
        <v>0</v>
      </c>
      <c r="AO31" s="283"/>
      <c r="AP31" s="1152">
        <f>AR31+AU31+AZ31+AW31+AY31</f>
        <v>53.517231000000002</v>
      </c>
      <c r="AQ31" s="1162">
        <f>-BA31</f>
        <v>53.553614000000003</v>
      </c>
      <c r="AR31" s="1165">
        <f>-BB31</f>
        <v>53.517231000000002</v>
      </c>
      <c r="AS31" s="1165">
        <f>-BC31</f>
        <v>0</v>
      </c>
      <c r="AT31" s="1165">
        <f>-BC31</f>
        <v>0</v>
      </c>
      <c r="AU31" s="1165">
        <f>-BG31</f>
        <v>0</v>
      </c>
      <c r="AV31" s="1165">
        <f>-BH31</f>
        <v>0</v>
      </c>
      <c r="AW31" s="1165">
        <f>-BH31</f>
        <v>0</v>
      </c>
      <c r="AX31" s="1165">
        <f>-BI31</f>
        <v>0</v>
      </c>
      <c r="AY31" s="1165">
        <f>-BO31</f>
        <v>0</v>
      </c>
      <c r="AZ31" s="1218">
        <f>-BU31</f>
        <v>0</v>
      </c>
      <c r="BA31" s="1175">
        <v>-53.553614000000003</v>
      </c>
      <c r="BB31" s="1154">
        <v>-53.517231000000002</v>
      </c>
      <c r="BC31" s="1169">
        <v>0</v>
      </c>
      <c r="BD31" s="1242">
        <v>0</v>
      </c>
      <c r="BE31" s="1242">
        <v>0</v>
      </c>
      <c r="BF31" s="1172">
        <v>0</v>
      </c>
      <c r="BG31" s="1171">
        <v>0</v>
      </c>
      <c r="BH31" s="1169">
        <v>0</v>
      </c>
      <c r="BI31" s="1242">
        <v>0</v>
      </c>
      <c r="BJ31" s="1159">
        <v>0</v>
      </c>
      <c r="BK31" s="1159">
        <v>0</v>
      </c>
      <c r="BL31" s="1159">
        <v>0</v>
      </c>
      <c r="BM31" s="1159">
        <v>0</v>
      </c>
      <c r="BN31" s="1154">
        <v>0</v>
      </c>
      <c r="BO31" s="1169">
        <v>0</v>
      </c>
      <c r="BP31" s="1242">
        <v>0</v>
      </c>
      <c r="BQ31" s="1242">
        <v>0</v>
      </c>
      <c r="BR31" s="1242">
        <v>0</v>
      </c>
      <c r="BS31" s="1269">
        <v>0</v>
      </c>
      <c r="BT31" s="1269">
        <v>0</v>
      </c>
      <c r="BU31" s="1269">
        <v>0</v>
      </c>
      <c r="BV31" s="1154">
        <v>0</v>
      </c>
      <c r="BW31" s="1269">
        <f>-BV31</f>
        <v>0</v>
      </c>
      <c r="BX31" s="439" t="s">
        <v>343</v>
      </c>
    </row>
    <row r="32" spans="1:76" ht="72.599999999999994" hidden="1" customHeight="1" outlineLevel="1" x14ac:dyDescent="0.25">
      <c r="A32" s="677">
        <v>2</v>
      </c>
      <c r="B32" s="701" t="s">
        <v>1715</v>
      </c>
      <c r="C32" s="690" t="s">
        <v>540</v>
      </c>
      <c r="D32" s="64">
        <v>43921</v>
      </c>
      <c r="E32" s="463" t="s">
        <v>57</v>
      </c>
      <c r="F32" s="544" t="s">
        <v>55</v>
      </c>
      <c r="G32" s="73" t="s">
        <v>38</v>
      </c>
      <c r="H32" s="313" t="s">
        <v>127</v>
      </c>
      <c r="I32" s="1205"/>
      <c r="J32" s="1286"/>
      <c r="K32" s="1228"/>
      <c r="L32" s="1228"/>
      <c r="M32" s="1228"/>
      <c r="N32" s="1228"/>
      <c r="O32" s="1228"/>
      <c r="P32" s="1228"/>
      <c r="Q32" s="1228"/>
      <c r="R32" s="1228"/>
      <c r="S32" s="1288"/>
      <c r="T32" s="1384"/>
      <c r="U32" s="1254"/>
      <c r="V32" s="1254"/>
      <c r="W32" s="1386"/>
      <c r="X32" s="1386"/>
      <c r="Y32" s="1386"/>
      <c r="Z32" s="1254"/>
      <c r="AA32" s="1254"/>
      <c r="AB32" s="1386"/>
      <c r="AC32" s="1386"/>
      <c r="AD32" s="1386"/>
      <c r="AE32" s="1386"/>
      <c r="AF32" s="1386"/>
      <c r="AG32" s="1254"/>
      <c r="AH32" s="1254"/>
      <c r="AI32" s="1386"/>
      <c r="AJ32" s="1386"/>
      <c r="AK32" s="1386"/>
      <c r="AL32" s="1151"/>
      <c r="AM32" s="1151"/>
      <c r="AN32" s="1151"/>
      <c r="AO32" s="283"/>
      <c r="AP32" s="1153"/>
      <c r="AQ32" s="1163"/>
      <c r="AR32" s="1268"/>
      <c r="AS32" s="1268"/>
      <c r="AT32" s="1268"/>
      <c r="AU32" s="1268"/>
      <c r="AV32" s="1268"/>
      <c r="AW32" s="1268"/>
      <c r="AX32" s="1268"/>
      <c r="AY32" s="1268"/>
      <c r="AZ32" s="1402"/>
      <c r="BA32" s="1313"/>
      <c r="BB32" s="1155"/>
      <c r="BC32" s="1182"/>
      <c r="BD32" s="1293"/>
      <c r="BE32" s="1293"/>
      <c r="BF32" s="1172"/>
      <c r="BG32" s="1171"/>
      <c r="BH32" s="1182"/>
      <c r="BI32" s="1293"/>
      <c r="BJ32" s="1160"/>
      <c r="BK32" s="1160"/>
      <c r="BL32" s="1160"/>
      <c r="BM32" s="1160"/>
      <c r="BN32" s="1155"/>
      <c r="BO32" s="1182"/>
      <c r="BP32" s="1293"/>
      <c r="BQ32" s="1293"/>
      <c r="BR32" s="1293"/>
      <c r="BS32" s="1294"/>
      <c r="BT32" s="1294"/>
      <c r="BU32" s="1294"/>
      <c r="BV32" s="1155"/>
      <c r="BW32" s="1294"/>
      <c r="BX32" s="439" t="s">
        <v>236</v>
      </c>
    </row>
    <row r="33" spans="1:76" ht="101.45" hidden="1" customHeight="1" outlineLevel="1" x14ac:dyDescent="0.25">
      <c r="A33" s="677">
        <v>3</v>
      </c>
      <c r="B33" s="701" t="s">
        <v>1715</v>
      </c>
      <c r="C33" s="690" t="s">
        <v>540</v>
      </c>
      <c r="D33" s="64">
        <v>43923</v>
      </c>
      <c r="E33" s="463" t="s">
        <v>58</v>
      </c>
      <c r="F33" s="544" t="s">
        <v>48</v>
      </c>
      <c r="G33" s="73" t="s">
        <v>38</v>
      </c>
      <c r="H33" s="313" t="s">
        <v>127</v>
      </c>
      <c r="I33" s="1205"/>
      <c r="J33" s="1286"/>
      <c r="K33" s="1228"/>
      <c r="L33" s="1228"/>
      <c r="M33" s="1228"/>
      <c r="N33" s="1228"/>
      <c r="O33" s="1228"/>
      <c r="P33" s="1228"/>
      <c r="Q33" s="1228"/>
      <c r="R33" s="1228"/>
      <c r="S33" s="1288"/>
      <c r="T33" s="1384"/>
      <c r="U33" s="1254"/>
      <c r="V33" s="1254"/>
      <c r="W33" s="1386"/>
      <c r="X33" s="1386"/>
      <c r="Y33" s="1386"/>
      <c r="Z33" s="1254"/>
      <c r="AA33" s="1254"/>
      <c r="AB33" s="1386"/>
      <c r="AC33" s="1386"/>
      <c r="AD33" s="1386"/>
      <c r="AE33" s="1386"/>
      <c r="AF33" s="1386"/>
      <c r="AG33" s="1254"/>
      <c r="AH33" s="1254"/>
      <c r="AI33" s="1386"/>
      <c r="AJ33" s="1386"/>
      <c r="AK33" s="1386"/>
      <c r="AL33" s="1151"/>
      <c r="AM33" s="1151"/>
      <c r="AN33" s="1151"/>
      <c r="AO33" s="283"/>
      <c r="AP33" s="1153"/>
      <c r="AQ33" s="1163"/>
      <c r="AR33" s="1268"/>
      <c r="AS33" s="1268"/>
      <c r="AT33" s="1268"/>
      <c r="AU33" s="1268"/>
      <c r="AV33" s="1268"/>
      <c r="AW33" s="1268"/>
      <c r="AX33" s="1268"/>
      <c r="AY33" s="1268"/>
      <c r="AZ33" s="1402"/>
      <c r="BA33" s="1313"/>
      <c r="BB33" s="1155"/>
      <c r="BC33" s="1182"/>
      <c r="BD33" s="1293"/>
      <c r="BE33" s="1293"/>
      <c r="BF33" s="1172"/>
      <c r="BG33" s="1171"/>
      <c r="BH33" s="1182"/>
      <c r="BI33" s="1293"/>
      <c r="BJ33" s="1160"/>
      <c r="BK33" s="1160"/>
      <c r="BL33" s="1160"/>
      <c r="BM33" s="1160"/>
      <c r="BN33" s="1155"/>
      <c r="BO33" s="1182"/>
      <c r="BP33" s="1293"/>
      <c r="BQ33" s="1293"/>
      <c r="BR33" s="1293"/>
      <c r="BS33" s="1294"/>
      <c r="BT33" s="1294"/>
      <c r="BU33" s="1294"/>
      <c r="BV33" s="1155"/>
      <c r="BW33" s="1294"/>
      <c r="BX33" s="439" t="s">
        <v>47</v>
      </c>
    </row>
    <row r="34" spans="1:76" ht="87" hidden="1" customHeight="1" outlineLevel="1" x14ac:dyDescent="0.25">
      <c r="A34" s="677">
        <v>4</v>
      </c>
      <c r="B34" s="701" t="s">
        <v>1715</v>
      </c>
      <c r="C34" s="690" t="s">
        <v>540</v>
      </c>
      <c r="D34" s="64">
        <v>43930</v>
      </c>
      <c r="E34" s="463" t="s">
        <v>59</v>
      </c>
      <c r="F34" s="544" t="s">
        <v>137</v>
      </c>
      <c r="G34" s="73" t="s">
        <v>38</v>
      </c>
      <c r="H34" s="313" t="s">
        <v>127</v>
      </c>
      <c r="I34" s="1205"/>
      <c r="J34" s="1286"/>
      <c r="K34" s="1228"/>
      <c r="L34" s="1228"/>
      <c r="M34" s="1228"/>
      <c r="N34" s="1228"/>
      <c r="O34" s="1228"/>
      <c r="P34" s="1228"/>
      <c r="Q34" s="1228"/>
      <c r="R34" s="1228"/>
      <c r="S34" s="1288"/>
      <c r="T34" s="1384"/>
      <c r="U34" s="1254"/>
      <c r="V34" s="1254"/>
      <c r="W34" s="1386"/>
      <c r="X34" s="1386"/>
      <c r="Y34" s="1386"/>
      <c r="Z34" s="1254"/>
      <c r="AA34" s="1254"/>
      <c r="AB34" s="1386"/>
      <c r="AC34" s="1386"/>
      <c r="AD34" s="1386"/>
      <c r="AE34" s="1386"/>
      <c r="AF34" s="1386"/>
      <c r="AG34" s="1254"/>
      <c r="AH34" s="1254"/>
      <c r="AI34" s="1386"/>
      <c r="AJ34" s="1386"/>
      <c r="AK34" s="1386"/>
      <c r="AL34" s="1151"/>
      <c r="AM34" s="1151"/>
      <c r="AN34" s="1151"/>
      <c r="AO34" s="283"/>
      <c r="AP34" s="1153"/>
      <c r="AQ34" s="1163"/>
      <c r="AR34" s="1268"/>
      <c r="AS34" s="1268"/>
      <c r="AT34" s="1268"/>
      <c r="AU34" s="1268"/>
      <c r="AV34" s="1268"/>
      <c r="AW34" s="1268"/>
      <c r="AX34" s="1268"/>
      <c r="AY34" s="1268"/>
      <c r="AZ34" s="1402"/>
      <c r="BA34" s="1313"/>
      <c r="BB34" s="1155"/>
      <c r="BC34" s="1182"/>
      <c r="BD34" s="1293"/>
      <c r="BE34" s="1293"/>
      <c r="BF34" s="1172"/>
      <c r="BG34" s="1171"/>
      <c r="BH34" s="1182"/>
      <c r="BI34" s="1293"/>
      <c r="BJ34" s="1160"/>
      <c r="BK34" s="1160"/>
      <c r="BL34" s="1160"/>
      <c r="BM34" s="1160"/>
      <c r="BN34" s="1155"/>
      <c r="BO34" s="1182"/>
      <c r="BP34" s="1293"/>
      <c r="BQ34" s="1293"/>
      <c r="BR34" s="1293"/>
      <c r="BS34" s="1294"/>
      <c r="BT34" s="1294"/>
      <c r="BU34" s="1294"/>
      <c r="BV34" s="1155"/>
      <c r="BW34" s="1294"/>
      <c r="BX34" s="439" t="s">
        <v>136</v>
      </c>
    </row>
    <row r="35" spans="1:76" ht="87" hidden="1" customHeight="1" outlineLevel="1" x14ac:dyDescent="0.25">
      <c r="A35" s="677">
        <v>5</v>
      </c>
      <c r="B35" s="701" t="s">
        <v>1715</v>
      </c>
      <c r="C35" s="690" t="s">
        <v>540</v>
      </c>
      <c r="D35" s="64">
        <v>43944</v>
      </c>
      <c r="E35" s="463" t="s">
        <v>243</v>
      </c>
      <c r="F35" s="544" t="s">
        <v>153</v>
      </c>
      <c r="G35" s="73" t="s">
        <v>38</v>
      </c>
      <c r="H35" s="313" t="s">
        <v>127</v>
      </c>
      <c r="I35" s="1205"/>
      <c r="J35" s="1286"/>
      <c r="K35" s="1228"/>
      <c r="L35" s="1228"/>
      <c r="M35" s="1228"/>
      <c r="N35" s="1228"/>
      <c r="O35" s="1228"/>
      <c r="P35" s="1228"/>
      <c r="Q35" s="1228"/>
      <c r="R35" s="1228"/>
      <c r="S35" s="1288"/>
      <c r="T35" s="1384"/>
      <c r="U35" s="1254"/>
      <c r="V35" s="1254"/>
      <c r="W35" s="1386"/>
      <c r="X35" s="1386"/>
      <c r="Y35" s="1386"/>
      <c r="Z35" s="1254"/>
      <c r="AA35" s="1254"/>
      <c r="AB35" s="1386"/>
      <c r="AC35" s="1386"/>
      <c r="AD35" s="1386"/>
      <c r="AE35" s="1386"/>
      <c r="AF35" s="1386"/>
      <c r="AG35" s="1254"/>
      <c r="AH35" s="1254"/>
      <c r="AI35" s="1386"/>
      <c r="AJ35" s="1386"/>
      <c r="AK35" s="1386"/>
      <c r="AL35" s="1151"/>
      <c r="AM35" s="1151"/>
      <c r="AN35" s="1151"/>
      <c r="AO35" s="283"/>
      <c r="AP35" s="1153"/>
      <c r="AQ35" s="1163"/>
      <c r="AR35" s="1268"/>
      <c r="AS35" s="1268"/>
      <c r="AT35" s="1268"/>
      <c r="AU35" s="1268"/>
      <c r="AV35" s="1268"/>
      <c r="AW35" s="1268"/>
      <c r="AX35" s="1268"/>
      <c r="AY35" s="1268"/>
      <c r="AZ35" s="1402"/>
      <c r="BA35" s="1313"/>
      <c r="BB35" s="1155"/>
      <c r="BC35" s="1182"/>
      <c r="BD35" s="1293"/>
      <c r="BE35" s="1293"/>
      <c r="BF35" s="1172"/>
      <c r="BG35" s="1171"/>
      <c r="BH35" s="1182"/>
      <c r="BI35" s="1293"/>
      <c r="BJ35" s="1160"/>
      <c r="BK35" s="1160"/>
      <c r="BL35" s="1160"/>
      <c r="BM35" s="1160"/>
      <c r="BN35" s="1155"/>
      <c r="BO35" s="1182"/>
      <c r="BP35" s="1293"/>
      <c r="BQ35" s="1293"/>
      <c r="BR35" s="1293"/>
      <c r="BS35" s="1294"/>
      <c r="BT35" s="1294"/>
      <c r="BU35" s="1294"/>
      <c r="BV35" s="1155"/>
      <c r="BW35" s="1294"/>
      <c r="BX35" s="439" t="s">
        <v>154</v>
      </c>
    </row>
    <row r="36" spans="1:76" ht="101.45" hidden="1" customHeight="1" outlineLevel="1" x14ac:dyDescent="0.25">
      <c r="A36" s="677">
        <v>6</v>
      </c>
      <c r="B36" s="701" t="s">
        <v>1715</v>
      </c>
      <c r="C36" s="690" t="s">
        <v>540</v>
      </c>
      <c r="D36" s="64">
        <v>43949</v>
      </c>
      <c r="E36" s="463" t="s">
        <v>266</v>
      </c>
      <c r="F36" s="544" t="s">
        <v>156</v>
      </c>
      <c r="G36" s="73" t="s">
        <v>38</v>
      </c>
      <c r="H36" s="313" t="s">
        <v>127</v>
      </c>
      <c r="I36" s="1205"/>
      <c r="J36" s="1200"/>
      <c r="K36" s="1202"/>
      <c r="L36" s="1202"/>
      <c r="M36" s="1202"/>
      <c r="N36" s="1202"/>
      <c r="O36" s="1202"/>
      <c r="P36" s="1202"/>
      <c r="Q36" s="1202"/>
      <c r="R36" s="1202"/>
      <c r="S36" s="1211"/>
      <c r="T36" s="1384"/>
      <c r="U36" s="1254"/>
      <c r="V36" s="1254"/>
      <c r="W36" s="1386"/>
      <c r="X36" s="1386"/>
      <c r="Y36" s="1386"/>
      <c r="Z36" s="1254"/>
      <c r="AA36" s="1254"/>
      <c r="AB36" s="1386"/>
      <c r="AC36" s="1386"/>
      <c r="AD36" s="1386"/>
      <c r="AE36" s="1386"/>
      <c r="AF36" s="1386"/>
      <c r="AG36" s="1254"/>
      <c r="AH36" s="1254"/>
      <c r="AI36" s="1386"/>
      <c r="AJ36" s="1386"/>
      <c r="AK36" s="1386"/>
      <c r="AL36" s="1151"/>
      <c r="AM36" s="1151"/>
      <c r="AN36" s="1151"/>
      <c r="AO36" s="283"/>
      <c r="AP36" s="1153"/>
      <c r="AQ36" s="1164"/>
      <c r="AR36" s="1268"/>
      <c r="AS36" s="1268"/>
      <c r="AT36" s="1268"/>
      <c r="AU36" s="1268"/>
      <c r="AV36" s="1268"/>
      <c r="AW36" s="1268"/>
      <c r="AX36" s="1268"/>
      <c r="AY36" s="1268"/>
      <c r="AZ36" s="1402"/>
      <c r="BA36" s="1313"/>
      <c r="BB36" s="1155"/>
      <c r="BC36" s="1182"/>
      <c r="BD36" s="1293"/>
      <c r="BE36" s="1293"/>
      <c r="BF36" s="1172"/>
      <c r="BG36" s="1171"/>
      <c r="BH36" s="1182"/>
      <c r="BI36" s="1293"/>
      <c r="BJ36" s="1160"/>
      <c r="BK36" s="1160"/>
      <c r="BL36" s="1160"/>
      <c r="BM36" s="1160"/>
      <c r="BN36" s="1155"/>
      <c r="BO36" s="1182"/>
      <c r="BP36" s="1293"/>
      <c r="BQ36" s="1293"/>
      <c r="BR36" s="1293"/>
      <c r="BS36" s="1294"/>
      <c r="BT36" s="1294"/>
      <c r="BU36" s="1294"/>
      <c r="BV36" s="1155"/>
      <c r="BW36" s="1294"/>
      <c r="BX36" s="439" t="s">
        <v>136</v>
      </c>
    </row>
    <row r="37" spans="1:76" ht="144.94999999999999" hidden="1" customHeight="1" outlineLevel="1" x14ac:dyDescent="0.25">
      <c r="A37" s="677">
        <v>7</v>
      </c>
      <c r="B37" s="701" t="s">
        <v>1715</v>
      </c>
      <c r="C37" s="690" t="s">
        <v>540</v>
      </c>
      <c r="D37" s="64" t="s">
        <v>532</v>
      </c>
      <c r="E37" s="463" t="s">
        <v>644</v>
      </c>
      <c r="F37" s="544" t="s">
        <v>529</v>
      </c>
      <c r="G37" s="73" t="s">
        <v>38</v>
      </c>
      <c r="H37" s="313" t="s">
        <v>127</v>
      </c>
      <c r="I37" s="1205"/>
      <c r="J37" s="294">
        <f>AQ37/T$8</f>
        <v>7.2016280059587138E-4</v>
      </c>
      <c r="K37" s="52">
        <f>AR37/U$8</f>
        <v>2.305966403628172E-4</v>
      </c>
      <c r="L37" s="52">
        <f>AS37/$V$8</f>
        <v>2.9860315560724781E-3</v>
      </c>
      <c r="M37" s="52">
        <f>AT37/Y$8</f>
        <v>3.1105581220568618E-3</v>
      </c>
      <c r="N37" s="52">
        <f>AU37/Z$8</f>
        <v>4.0456122187312159E-3</v>
      </c>
      <c r="O37" s="52">
        <f>AV37/AA$8</f>
        <v>0</v>
      </c>
      <c r="P37" s="52">
        <f>AW37/AE$8</f>
        <v>0</v>
      </c>
      <c r="Q37" s="52">
        <f>AX37/AF$8</f>
        <v>0</v>
      </c>
      <c r="R37" s="52">
        <f>AY37/AH$8</f>
        <v>0</v>
      </c>
      <c r="S37" s="527">
        <f>AZ37/AN$8</f>
        <v>0</v>
      </c>
      <c r="T37" s="533">
        <f t="shared" ref="T37:AF37" si="204">BA37/T$8</f>
        <v>-7.2016280059587138E-4</v>
      </c>
      <c r="U37" s="375">
        <f t="shared" si="204"/>
        <v>-2.305966403628172E-4</v>
      </c>
      <c r="V37" s="375">
        <f t="shared" si="204"/>
        <v>-2.9860315560724781E-3</v>
      </c>
      <c r="W37" s="386">
        <f t="shared" si="204"/>
        <v>-3.1852148988449841E-3</v>
      </c>
      <c r="X37" s="386">
        <f t="shared" si="204"/>
        <v>-4.5453229477938244E-3</v>
      </c>
      <c r="Y37" s="386">
        <f t="shared" si="204"/>
        <v>-4.3336274469815105E-3</v>
      </c>
      <c r="Z37" s="375">
        <f t="shared" si="204"/>
        <v>-4.0456122187312159E-3</v>
      </c>
      <c r="AA37" s="375">
        <f t="shared" si="204"/>
        <v>0</v>
      </c>
      <c r="AB37" s="386">
        <f t="shared" si="204"/>
        <v>0</v>
      </c>
      <c r="AC37" s="386">
        <f t="shared" si="204"/>
        <v>0</v>
      </c>
      <c r="AD37" s="386">
        <f t="shared" si="204"/>
        <v>0</v>
      </c>
      <c r="AE37" s="386">
        <f t="shared" si="204"/>
        <v>0</v>
      </c>
      <c r="AF37" s="386">
        <f t="shared" si="204"/>
        <v>0</v>
      </c>
      <c r="AG37" s="375">
        <f t="shared" ref="AG37:AN37" si="205">BN37/AG$8</f>
        <v>0</v>
      </c>
      <c r="AH37" s="375">
        <f t="shared" si="205"/>
        <v>0</v>
      </c>
      <c r="AI37" s="386">
        <f t="shared" si="205"/>
        <v>0</v>
      </c>
      <c r="AJ37" s="386">
        <f t="shared" si="205"/>
        <v>0</v>
      </c>
      <c r="AK37" s="386">
        <f t="shared" si="205"/>
        <v>0</v>
      </c>
      <c r="AL37" s="377">
        <f t="shared" si="205"/>
        <v>0</v>
      </c>
      <c r="AM37" s="377">
        <f t="shared" si="205"/>
        <v>0</v>
      </c>
      <c r="AN37" s="377">
        <f t="shared" si="205"/>
        <v>0</v>
      </c>
      <c r="AO37" s="283"/>
      <c r="AP37" s="295">
        <f>AR37+AU37+AZ37+AW37+AY37</f>
        <v>142.86802499999999</v>
      </c>
      <c r="AQ37" s="180">
        <f>-BA37</f>
        <v>20.304269999999999</v>
      </c>
      <c r="AR37" s="80">
        <f>-BB37</f>
        <v>6.9857050000000003</v>
      </c>
      <c r="AS37" s="80">
        <f>-BC37</f>
        <v>97.559623000000002</v>
      </c>
      <c r="AT37" s="80">
        <f>-BC37</f>
        <v>97.559623000000002</v>
      </c>
      <c r="AU37" s="80">
        <f>-BG37</f>
        <v>135.88231999999999</v>
      </c>
      <c r="AV37" s="80">
        <f>-BH37</f>
        <v>0</v>
      </c>
      <c r="AW37" s="80">
        <f>-BH37</f>
        <v>0</v>
      </c>
      <c r="AX37" s="80">
        <f>-BN37</f>
        <v>0</v>
      </c>
      <c r="AY37" s="80">
        <f>-BO37</f>
        <v>0</v>
      </c>
      <c r="AZ37" s="432">
        <f>-BU37</f>
        <v>0</v>
      </c>
      <c r="BA37" s="1008">
        <f>-20.30427</f>
        <v>-20.304269999999999</v>
      </c>
      <c r="BB37" s="409">
        <v>-6.9857050000000003</v>
      </c>
      <c r="BC37" s="207">
        <f>-97.559623</f>
        <v>-97.559623000000002</v>
      </c>
      <c r="BD37" s="389">
        <f>-97.559623</f>
        <v>-97.559623000000002</v>
      </c>
      <c r="BE37" s="389">
        <f>-97.559623-45</f>
        <v>-142.55962299999999</v>
      </c>
      <c r="BF37" s="516">
        <v>-135.91999999999999</v>
      </c>
      <c r="BG37" s="1009">
        <v>-135.88231999999999</v>
      </c>
      <c r="BH37" s="207">
        <v>0</v>
      </c>
      <c r="BI37" s="389">
        <v>0</v>
      </c>
      <c r="BJ37" s="516">
        <v>0</v>
      </c>
      <c r="BK37" s="516">
        <v>0</v>
      </c>
      <c r="BL37" s="516">
        <v>0</v>
      </c>
      <c r="BM37" s="516">
        <v>0</v>
      </c>
      <c r="BN37" s="1032">
        <v>0</v>
      </c>
      <c r="BO37" s="207">
        <v>0</v>
      </c>
      <c r="BP37" s="389">
        <v>0</v>
      </c>
      <c r="BQ37" s="389">
        <v>0</v>
      </c>
      <c r="BR37" s="389">
        <v>0</v>
      </c>
      <c r="BS37" s="296">
        <v>0</v>
      </c>
      <c r="BT37" s="296">
        <v>0</v>
      </c>
      <c r="BU37" s="296">
        <v>0</v>
      </c>
      <c r="BV37" s="1032">
        <v>0</v>
      </c>
      <c r="BW37" s="296">
        <f>-BV37</f>
        <v>0</v>
      </c>
      <c r="BX37" s="439" t="s">
        <v>530</v>
      </c>
    </row>
    <row r="38" spans="1:76" ht="18.75" collapsed="1" x14ac:dyDescent="0.25">
      <c r="A38" s="467">
        <v>2</v>
      </c>
      <c r="B38" s="704" t="s">
        <v>1716</v>
      </c>
      <c r="C38" s="689"/>
      <c r="D38" s="348"/>
      <c r="E38" s="460"/>
      <c r="F38" s="540"/>
      <c r="G38" s="400" t="s">
        <v>1730</v>
      </c>
      <c r="H38" s="401" t="s">
        <v>1730</v>
      </c>
      <c r="I38" s="349"/>
      <c r="J38" s="379">
        <f>SUM(J39:J42)</f>
        <v>3.4886855359296306E-3</v>
      </c>
      <c r="K38" s="380">
        <f t="shared" ref="K38:AN38" si="206">SUM(K39:K42)</f>
        <v>1.5621869248560237E-3</v>
      </c>
      <c r="L38" s="380">
        <f t="shared" si="206"/>
        <v>3.5401623714495598E-3</v>
      </c>
      <c r="M38" s="380">
        <f t="shared" si="206"/>
        <v>3.6877978719007292E-3</v>
      </c>
      <c r="N38" s="380">
        <f t="shared" ref="N38:O38" si="207">SUM(N39:N42)</f>
        <v>9.7395760498248491E-4</v>
      </c>
      <c r="O38" s="380">
        <f t="shared" si="207"/>
        <v>1.4452761666289954E-3</v>
      </c>
      <c r="P38" s="380">
        <f t="shared" ref="P38:Q38" si="208">SUM(P39:P42)</f>
        <v>1.4858054733081852E-3</v>
      </c>
      <c r="Q38" s="380">
        <f t="shared" si="208"/>
        <v>1.9359486929856505E-4</v>
      </c>
      <c r="R38" s="380">
        <f t="shared" si="206"/>
        <v>0</v>
      </c>
      <c r="S38" s="381">
        <f t="shared" si="206"/>
        <v>0</v>
      </c>
      <c r="T38" s="379">
        <f t="shared" si="206"/>
        <v>-3.4886855359296306E-3</v>
      </c>
      <c r="U38" s="380">
        <f t="shared" si="206"/>
        <v>-1.5621869248560237E-3</v>
      </c>
      <c r="V38" s="380">
        <f t="shared" si="206"/>
        <v>-3.5401623714495598E-3</v>
      </c>
      <c r="W38" s="385">
        <f t="shared" si="206"/>
        <v>-8.1622263414368257E-4</v>
      </c>
      <c r="X38" s="385">
        <f t="shared" si="206"/>
        <v>-8.302625993006626E-4</v>
      </c>
      <c r="Y38" s="385">
        <f t="shared" si="206"/>
        <v>-6.698757553051909E-4</v>
      </c>
      <c r="Z38" s="380">
        <f>SUM(Z39:Z42)</f>
        <v>-9.7395760498248491E-4</v>
      </c>
      <c r="AA38" s="380">
        <f t="shared" si="206"/>
        <v>-1.4452761666289954E-3</v>
      </c>
      <c r="AB38" s="385">
        <f t="shared" si="206"/>
        <v>0</v>
      </c>
      <c r="AC38" s="385">
        <f t="shared" ref="AC38:AD38" si="209">SUM(AC39:AC42)</f>
        <v>0</v>
      </c>
      <c r="AD38" s="385">
        <f t="shared" si="209"/>
        <v>-2.0575061513086466E-4</v>
      </c>
      <c r="AE38" s="385">
        <f t="shared" si="206"/>
        <v>-1.8246733882732098E-4</v>
      </c>
      <c r="AF38" s="385">
        <f t="shared" ref="AF38:AG38" si="210">SUM(AF39:AF42)</f>
        <v>-1.7749005555092926E-4</v>
      </c>
      <c r="AG38" s="380">
        <f t="shared" si="210"/>
        <v>-1.9536877673200244E-4</v>
      </c>
      <c r="AH38" s="380">
        <f t="shared" ref="AH38:AI38" si="211">SUM(AH39:AH42)</f>
        <v>0</v>
      </c>
      <c r="AI38" s="385">
        <f t="shared" si="211"/>
        <v>0</v>
      </c>
      <c r="AJ38" s="385">
        <f t="shared" ref="AJ38:AM38" si="212">SUM(AJ39:AJ42)</f>
        <v>0</v>
      </c>
      <c r="AK38" s="385">
        <f t="shared" si="212"/>
        <v>0</v>
      </c>
      <c r="AL38" s="381">
        <f t="shared" si="212"/>
        <v>0</v>
      </c>
      <c r="AM38" s="381">
        <f t="shared" si="212"/>
        <v>0</v>
      </c>
      <c r="AN38" s="381">
        <f t="shared" si="206"/>
        <v>0</v>
      </c>
      <c r="AO38" s="337"/>
      <c r="AP38" s="350">
        <f t="shared" ref="AP38:BW38" si="213">SUM(AP39:AP42)</f>
        <v>137.03783900000002</v>
      </c>
      <c r="AQ38" s="382">
        <f t="shared" si="213"/>
        <v>98.36</v>
      </c>
      <c r="AR38" s="382">
        <f t="shared" si="213"/>
        <v>47.324961000000002</v>
      </c>
      <c r="AS38" s="382">
        <f t="shared" si="213"/>
        <v>115.664185</v>
      </c>
      <c r="AT38" s="382">
        <f t="shared" si="213"/>
        <v>115.664185</v>
      </c>
      <c r="AU38" s="382">
        <f t="shared" ref="AU38:AV38" si="214">SUM(AU39:AU42)</f>
        <v>32.712878000000003</v>
      </c>
      <c r="AV38" s="382">
        <f t="shared" si="214"/>
        <v>57</v>
      </c>
      <c r="AW38" s="382">
        <f t="shared" si="213"/>
        <v>57</v>
      </c>
      <c r="AX38" s="382">
        <f t="shared" ref="AX38" si="215">SUM(AX39:AX42)</f>
        <v>7.6351550000000001</v>
      </c>
      <c r="AY38" s="382">
        <f t="shared" si="213"/>
        <v>0</v>
      </c>
      <c r="AZ38" s="383">
        <f t="shared" si="213"/>
        <v>0</v>
      </c>
      <c r="BA38" s="656">
        <f t="shared" si="213"/>
        <v>-98.36</v>
      </c>
      <c r="BB38" s="350">
        <f t="shared" si="213"/>
        <v>-47.324961000000002</v>
      </c>
      <c r="BC38" s="382">
        <f t="shared" si="213"/>
        <v>-115.664185</v>
      </c>
      <c r="BD38" s="387">
        <f t="shared" si="213"/>
        <v>-25</v>
      </c>
      <c r="BE38" s="387">
        <f t="shared" si="213"/>
        <v>-26.040377000000003</v>
      </c>
      <c r="BF38" s="651">
        <f t="shared" si="213"/>
        <v>-21.01</v>
      </c>
      <c r="BG38" s="360">
        <f t="shared" ref="BG38" si="216">SUM(BG39:BG42)</f>
        <v>-32.712878000000003</v>
      </c>
      <c r="BH38" s="382">
        <f t="shared" si="213"/>
        <v>-57</v>
      </c>
      <c r="BI38" s="387">
        <f t="shared" si="213"/>
        <v>0</v>
      </c>
      <c r="BJ38" s="515">
        <f t="shared" ref="BJ38" si="217">SUM(BJ39:BJ42)</f>
        <v>0</v>
      </c>
      <c r="BK38" s="515">
        <f t="shared" si="213"/>
        <v>-7</v>
      </c>
      <c r="BL38" s="515">
        <f t="shared" ref="BL38:BN38" si="218">SUM(BL39:BL42)</f>
        <v>-7</v>
      </c>
      <c r="BM38" s="515">
        <f t="shared" si="218"/>
        <v>-7</v>
      </c>
      <c r="BN38" s="350">
        <f t="shared" si="218"/>
        <v>-7.6351550000000001</v>
      </c>
      <c r="BO38" s="382">
        <f t="shared" si="213"/>
        <v>0</v>
      </c>
      <c r="BP38" s="387">
        <f t="shared" ref="BP38:BQ38" si="219">SUM(BP39:BP42)</f>
        <v>0</v>
      </c>
      <c r="BQ38" s="387">
        <f t="shared" si="219"/>
        <v>0</v>
      </c>
      <c r="BR38" s="387">
        <f t="shared" ref="BR38:BT38" si="220">SUM(BR39:BR42)</f>
        <v>0</v>
      </c>
      <c r="BS38" s="383">
        <f t="shared" si="220"/>
        <v>0</v>
      </c>
      <c r="BT38" s="383">
        <f t="shared" si="220"/>
        <v>0</v>
      </c>
      <c r="BU38" s="383">
        <f t="shared" si="213"/>
        <v>0</v>
      </c>
      <c r="BV38" s="350">
        <f t="shared" si="213"/>
        <v>0</v>
      </c>
      <c r="BW38" s="383">
        <f t="shared" si="213"/>
        <v>0</v>
      </c>
      <c r="BX38" s="351"/>
    </row>
    <row r="39" spans="1:76" ht="72.599999999999994" hidden="1" customHeight="1" outlineLevel="1" x14ac:dyDescent="0.25">
      <c r="A39" s="677">
        <v>1</v>
      </c>
      <c r="B39" s="701" t="s">
        <v>1716</v>
      </c>
      <c r="C39" s="690" t="s">
        <v>539</v>
      </c>
      <c r="D39" s="352" t="s">
        <v>671</v>
      </c>
      <c r="E39" s="463" t="s">
        <v>360</v>
      </c>
      <c r="F39" s="547" t="s">
        <v>553</v>
      </c>
      <c r="G39" s="212" t="s">
        <v>216</v>
      </c>
      <c r="H39" s="378" t="s">
        <v>127</v>
      </c>
      <c r="I39" s="334"/>
      <c r="J39" s="1199">
        <f>AQ39/T$8</f>
        <v>2.1054124991132864E-3</v>
      </c>
      <c r="K39" s="105">
        <f>AR39/U$8</f>
        <v>4.81942903299972E-4</v>
      </c>
      <c r="L39" s="105">
        <f>AS39/$V$8</f>
        <v>0</v>
      </c>
      <c r="M39" s="105">
        <f t="shared" ref="M39:O42" si="221">AT39/Y$8</f>
        <v>0</v>
      </c>
      <c r="N39" s="105">
        <f t="shared" si="221"/>
        <v>0</v>
      </c>
      <c r="O39" s="105">
        <f t="shared" si="221"/>
        <v>0</v>
      </c>
      <c r="P39" s="105">
        <f t="shared" ref="P39:Q42" si="222">AW39/AE$8</f>
        <v>0</v>
      </c>
      <c r="Q39" s="105">
        <f t="shared" si="222"/>
        <v>0</v>
      </c>
      <c r="R39" s="105">
        <f>AY39/AH$8</f>
        <v>0</v>
      </c>
      <c r="S39" s="528">
        <f>AZ39/AN$8</f>
        <v>0</v>
      </c>
      <c r="T39" s="1206">
        <f t="shared" ref="T39:AF39" si="223">BA39/T$8</f>
        <v>-2.1054124991132864E-3</v>
      </c>
      <c r="U39" s="375">
        <f t="shared" si="223"/>
        <v>-4.81942903299972E-4</v>
      </c>
      <c r="V39" s="375">
        <f t="shared" si="223"/>
        <v>0</v>
      </c>
      <c r="W39" s="386">
        <f t="shared" si="223"/>
        <v>0</v>
      </c>
      <c r="X39" s="386">
        <f t="shared" si="223"/>
        <v>0</v>
      </c>
      <c r="Y39" s="386">
        <f t="shared" si="223"/>
        <v>0</v>
      </c>
      <c r="Z39" s="375">
        <f t="shared" si="223"/>
        <v>0</v>
      </c>
      <c r="AA39" s="375">
        <f t="shared" si="223"/>
        <v>0</v>
      </c>
      <c r="AB39" s="386">
        <f t="shared" si="223"/>
        <v>0</v>
      </c>
      <c r="AC39" s="386">
        <f t="shared" si="223"/>
        <v>0</v>
      </c>
      <c r="AD39" s="386">
        <f t="shared" si="223"/>
        <v>0</v>
      </c>
      <c r="AE39" s="386">
        <f t="shared" si="223"/>
        <v>0</v>
      </c>
      <c r="AF39" s="386">
        <f t="shared" si="223"/>
        <v>0</v>
      </c>
      <c r="AG39" s="375">
        <f>BN39/AG$8</f>
        <v>0</v>
      </c>
      <c r="AH39" s="375">
        <f t="shared" ref="AH39:AK42" si="224">BO39/AH$8</f>
        <v>0</v>
      </c>
      <c r="AI39" s="386">
        <f t="shared" si="224"/>
        <v>0</v>
      </c>
      <c r="AJ39" s="386">
        <f t="shared" si="224"/>
        <v>0</v>
      </c>
      <c r="AK39" s="386">
        <f t="shared" si="224"/>
        <v>0</v>
      </c>
      <c r="AL39" s="377">
        <f t="shared" ref="AL39:AN42" si="225">BS39/AL$8</f>
        <v>0</v>
      </c>
      <c r="AM39" s="377">
        <f t="shared" si="225"/>
        <v>0</v>
      </c>
      <c r="AN39" s="377">
        <f t="shared" si="225"/>
        <v>0</v>
      </c>
      <c r="AO39" s="283"/>
      <c r="AP39" s="295">
        <f>AR39+AU39+AZ39+AW39+AY39</f>
        <v>14.6</v>
      </c>
      <c r="AQ39" s="1162">
        <f>-BA39</f>
        <v>59.36</v>
      </c>
      <c r="AR39" s="80">
        <f>-BB39</f>
        <v>14.6</v>
      </c>
      <c r="AS39" s="981">
        <f>-BC39</f>
        <v>0</v>
      </c>
      <c r="AT39" s="981">
        <f>-BC39</f>
        <v>0</v>
      </c>
      <c r="AU39" s="981">
        <f t="shared" ref="AU39:AV42" si="226">-BG39</f>
        <v>0</v>
      </c>
      <c r="AV39" s="981">
        <f t="shared" si="226"/>
        <v>0</v>
      </c>
      <c r="AW39" s="981">
        <f t="shared" ref="AW39:AW42" si="227">-BH39</f>
        <v>0</v>
      </c>
      <c r="AX39" s="80">
        <f>-BN39</f>
        <v>0</v>
      </c>
      <c r="AY39" s="981">
        <f t="shared" ref="AY39:AY42" si="228">-BO39</f>
        <v>0</v>
      </c>
      <c r="AZ39" s="979">
        <f>-BU39</f>
        <v>0</v>
      </c>
      <c r="BA39" s="1175">
        <f>-59.2-0.16</f>
        <v>-59.36</v>
      </c>
      <c r="BB39" s="322">
        <f>-14.6</f>
        <v>-14.6</v>
      </c>
      <c r="BC39" s="211">
        <v>0</v>
      </c>
      <c r="BD39" s="977">
        <v>0</v>
      </c>
      <c r="BE39" s="977">
        <v>0</v>
      </c>
      <c r="BF39" s="516">
        <v>0</v>
      </c>
      <c r="BG39" s="207">
        <v>0</v>
      </c>
      <c r="BH39" s="211">
        <v>0</v>
      </c>
      <c r="BI39" s="977">
        <v>0</v>
      </c>
      <c r="BJ39" s="978">
        <v>0</v>
      </c>
      <c r="BK39" s="978">
        <v>0</v>
      </c>
      <c r="BL39" s="978">
        <v>0</v>
      </c>
      <c r="BM39" s="978">
        <v>0</v>
      </c>
      <c r="BN39" s="410">
        <v>0</v>
      </c>
      <c r="BO39" s="211">
        <v>0</v>
      </c>
      <c r="BP39" s="977">
        <v>0</v>
      </c>
      <c r="BQ39" s="977">
        <v>0</v>
      </c>
      <c r="BR39" s="977">
        <v>0</v>
      </c>
      <c r="BS39" s="980">
        <v>0</v>
      </c>
      <c r="BT39" s="980">
        <v>0</v>
      </c>
      <c r="BU39" s="980">
        <v>0</v>
      </c>
      <c r="BV39" s="410">
        <v>0</v>
      </c>
      <c r="BW39" s="980">
        <f>-BV39</f>
        <v>0</v>
      </c>
      <c r="BX39" s="441" t="s">
        <v>507</v>
      </c>
    </row>
    <row r="40" spans="1:76" ht="116.1" hidden="1" customHeight="1" outlineLevel="1" x14ac:dyDescent="0.25">
      <c r="A40" s="677">
        <v>2</v>
      </c>
      <c r="B40" s="701" t="s">
        <v>1716</v>
      </c>
      <c r="C40" s="690" t="s">
        <v>539</v>
      </c>
      <c r="D40" s="62" t="s">
        <v>665</v>
      </c>
      <c r="E40" s="463" t="s">
        <v>360</v>
      </c>
      <c r="F40" s="544" t="s">
        <v>270</v>
      </c>
      <c r="G40" s="69" t="s">
        <v>216</v>
      </c>
      <c r="H40" s="306" t="s">
        <v>127</v>
      </c>
      <c r="I40" s="334"/>
      <c r="J40" s="1200"/>
      <c r="K40" s="105">
        <f t="shared" ref="K40:K42" si="229">AR40/U$8</f>
        <v>1.0031674541976815E-3</v>
      </c>
      <c r="L40" s="105">
        <f>AS40/$V$8</f>
        <v>0</v>
      </c>
      <c r="M40" s="105">
        <f t="shared" si="221"/>
        <v>0</v>
      </c>
      <c r="N40" s="105">
        <f t="shared" si="221"/>
        <v>0</v>
      </c>
      <c r="O40" s="105">
        <f t="shared" si="221"/>
        <v>0</v>
      </c>
      <c r="P40" s="105">
        <f t="shared" si="222"/>
        <v>0</v>
      </c>
      <c r="Q40" s="105">
        <f t="shared" si="222"/>
        <v>0</v>
      </c>
      <c r="R40" s="105">
        <f>AY40/AH$8</f>
        <v>0</v>
      </c>
      <c r="S40" s="528">
        <f>AZ40/AN$8</f>
        <v>0</v>
      </c>
      <c r="T40" s="1207"/>
      <c r="U40" s="375">
        <f t="shared" ref="U40:U42" si="230">BB40/U$8</f>
        <v>-1.0031674541976815E-3</v>
      </c>
      <c r="V40" s="375">
        <f t="shared" ref="V40:V42" si="231">BC40/V$8</f>
        <v>0</v>
      </c>
      <c r="W40" s="386">
        <f t="shared" ref="W40:W42" si="232">BD40/W$8</f>
        <v>0</v>
      </c>
      <c r="X40" s="386">
        <f t="shared" ref="X40:X42" si="233">BE40/X$8</f>
        <v>0</v>
      </c>
      <c r="Y40" s="386">
        <f t="shared" ref="Y40:Y42" si="234">BF40/Y$8</f>
        <v>0</v>
      </c>
      <c r="Z40" s="375">
        <f>BG40/Z$8</f>
        <v>0</v>
      </c>
      <c r="AA40" s="375">
        <f t="shared" ref="AA40:AA42" si="235">BH40/AA$8</f>
        <v>0</v>
      </c>
      <c r="AB40" s="386">
        <f t="shared" ref="AB40:AB42" si="236">BI40/AB$8</f>
        <v>0</v>
      </c>
      <c r="AC40" s="386">
        <f t="shared" ref="AC40:AF42" si="237">BJ40/AC$8</f>
        <v>0</v>
      </c>
      <c r="AD40" s="386">
        <f t="shared" si="237"/>
        <v>0</v>
      </c>
      <c r="AE40" s="386">
        <f t="shared" si="237"/>
        <v>0</v>
      </c>
      <c r="AF40" s="386">
        <f t="shared" si="237"/>
        <v>0</v>
      </c>
      <c r="AG40" s="375">
        <f>BN40/AG$8</f>
        <v>0</v>
      </c>
      <c r="AH40" s="375">
        <f t="shared" si="224"/>
        <v>0</v>
      </c>
      <c r="AI40" s="386">
        <f t="shared" si="224"/>
        <v>0</v>
      </c>
      <c r="AJ40" s="386">
        <f t="shared" si="224"/>
        <v>0</v>
      </c>
      <c r="AK40" s="386">
        <f t="shared" si="224"/>
        <v>0</v>
      </c>
      <c r="AL40" s="377">
        <f t="shared" si="225"/>
        <v>0</v>
      </c>
      <c r="AM40" s="377">
        <f t="shared" si="225"/>
        <v>0</v>
      </c>
      <c r="AN40" s="377">
        <f t="shared" si="225"/>
        <v>0</v>
      </c>
      <c r="AO40" s="283"/>
      <c r="AP40" s="295">
        <f>AR40+AU40+AZ40+AW40+AY40</f>
        <v>30.39</v>
      </c>
      <c r="AQ40" s="1164"/>
      <c r="AR40" s="80">
        <f t="shared" ref="AR40:AS42" si="238">-BB40</f>
        <v>30.39</v>
      </c>
      <c r="AS40" s="80">
        <f t="shared" si="238"/>
        <v>0</v>
      </c>
      <c r="AT40" s="80">
        <f>-BC40</f>
        <v>0</v>
      </c>
      <c r="AU40" s="80">
        <f t="shared" si="226"/>
        <v>0</v>
      </c>
      <c r="AV40" s="80">
        <f t="shared" si="226"/>
        <v>0</v>
      </c>
      <c r="AW40" s="80">
        <f t="shared" si="227"/>
        <v>0</v>
      </c>
      <c r="AX40" s="80">
        <f>-BN40</f>
        <v>0</v>
      </c>
      <c r="AY40" s="80">
        <f t="shared" si="228"/>
        <v>0</v>
      </c>
      <c r="AZ40" s="432">
        <f>-BU40</f>
        <v>0</v>
      </c>
      <c r="BA40" s="1176"/>
      <c r="BB40" s="322">
        <v>-30.39</v>
      </c>
      <c r="BC40" s="207">
        <v>0</v>
      </c>
      <c r="BD40" s="389">
        <v>0</v>
      </c>
      <c r="BE40" s="389">
        <v>0</v>
      </c>
      <c r="BF40" s="516">
        <v>0</v>
      </c>
      <c r="BG40" s="207">
        <v>0</v>
      </c>
      <c r="BH40" s="207">
        <v>0</v>
      </c>
      <c r="BI40" s="389">
        <v>0</v>
      </c>
      <c r="BJ40" s="516">
        <v>0</v>
      </c>
      <c r="BK40" s="516">
        <v>0</v>
      </c>
      <c r="BL40" s="516">
        <v>0</v>
      </c>
      <c r="BM40" s="516">
        <v>0</v>
      </c>
      <c r="BN40" s="409">
        <v>0</v>
      </c>
      <c r="BO40" s="207">
        <v>0</v>
      </c>
      <c r="BP40" s="389">
        <v>0</v>
      </c>
      <c r="BQ40" s="389">
        <v>0</v>
      </c>
      <c r="BR40" s="389">
        <v>0</v>
      </c>
      <c r="BS40" s="296">
        <v>0</v>
      </c>
      <c r="BT40" s="296">
        <v>0</v>
      </c>
      <c r="BU40" s="296">
        <v>0</v>
      </c>
      <c r="BV40" s="409">
        <v>0</v>
      </c>
      <c r="BW40" s="296">
        <f>-BV40</f>
        <v>0</v>
      </c>
      <c r="BX40" s="439" t="s">
        <v>334</v>
      </c>
    </row>
    <row r="41" spans="1:76" ht="174" hidden="1" customHeight="1" outlineLevel="1" x14ac:dyDescent="0.25">
      <c r="A41" s="677">
        <v>3</v>
      </c>
      <c r="B41" s="701" t="s">
        <v>1716</v>
      </c>
      <c r="C41" s="690" t="s">
        <v>539</v>
      </c>
      <c r="D41" s="62" t="s">
        <v>532</v>
      </c>
      <c r="E41" s="463" t="s">
        <v>644</v>
      </c>
      <c r="F41" s="544" t="s">
        <v>405</v>
      </c>
      <c r="G41" s="69" t="s">
        <v>427</v>
      </c>
      <c r="H41" s="306" t="s">
        <v>127</v>
      </c>
      <c r="I41" s="334"/>
      <c r="J41" s="294">
        <f>AQ41/T$8</f>
        <v>1.383273036816344E-3</v>
      </c>
      <c r="K41" s="105">
        <f t="shared" si="229"/>
        <v>7.7076567358370265E-5</v>
      </c>
      <c r="L41" s="105">
        <f>AS41/$V$8</f>
        <v>2.3158724595984332E-3</v>
      </c>
      <c r="M41" s="105">
        <f t="shared" si="221"/>
        <v>2.4124513601345402E-3</v>
      </c>
      <c r="N41" s="105">
        <f t="shared" si="221"/>
        <v>6.255288599395629E-4</v>
      </c>
      <c r="O41" s="105">
        <f t="shared" si="221"/>
        <v>0</v>
      </c>
      <c r="P41" s="105">
        <f t="shared" si="222"/>
        <v>0</v>
      </c>
      <c r="Q41" s="105">
        <f t="shared" si="222"/>
        <v>0</v>
      </c>
      <c r="R41" s="105">
        <f>AY41/AH$8</f>
        <v>0</v>
      </c>
      <c r="S41" s="528">
        <f>AZ41/AN$8</f>
        <v>0</v>
      </c>
      <c r="T41" s="533">
        <f>BA41/T$8</f>
        <v>-1.383273036816344E-3</v>
      </c>
      <c r="U41" s="375">
        <f t="shared" si="230"/>
        <v>-7.7076567358370265E-5</v>
      </c>
      <c r="V41" s="375">
        <f t="shared" si="231"/>
        <v>-2.3158724595984332E-3</v>
      </c>
      <c r="W41" s="386">
        <f t="shared" si="232"/>
        <v>-8.1622263414368257E-4</v>
      </c>
      <c r="X41" s="386">
        <f t="shared" si="233"/>
        <v>-8.302625993006626E-4</v>
      </c>
      <c r="Y41" s="386">
        <f t="shared" si="234"/>
        <v>-6.698757553051909E-4</v>
      </c>
      <c r="Z41" s="375">
        <f>BG41/Z$8</f>
        <v>-6.255288599395629E-4</v>
      </c>
      <c r="AA41" s="375">
        <f t="shared" si="235"/>
        <v>0</v>
      </c>
      <c r="AB41" s="386">
        <f t="shared" si="236"/>
        <v>0</v>
      </c>
      <c r="AC41" s="386">
        <f t="shared" si="237"/>
        <v>0</v>
      </c>
      <c r="AD41" s="386">
        <f t="shared" si="237"/>
        <v>0</v>
      </c>
      <c r="AE41" s="386">
        <f t="shared" si="237"/>
        <v>0</v>
      </c>
      <c r="AF41" s="386">
        <f t="shared" si="237"/>
        <v>0</v>
      </c>
      <c r="AG41" s="375">
        <f>BN41/AG$8</f>
        <v>0</v>
      </c>
      <c r="AH41" s="375">
        <f t="shared" si="224"/>
        <v>0</v>
      </c>
      <c r="AI41" s="386">
        <f t="shared" si="224"/>
        <v>0</v>
      </c>
      <c r="AJ41" s="386">
        <f t="shared" si="224"/>
        <v>0</v>
      </c>
      <c r="AK41" s="386">
        <f t="shared" si="224"/>
        <v>0</v>
      </c>
      <c r="AL41" s="377">
        <f t="shared" si="225"/>
        <v>0</v>
      </c>
      <c r="AM41" s="377">
        <f t="shared" si="225"/>
        <v>0</v>
      </c>
      <c r="AN41" s="377">
        <f t="shared" si="225"/>
        <v>0</v>
      </c>
      <c r="AO41" s="283"/>
      <c r="AP41" s="295">
        <f>AR41+AU41+AZ41+AW41+AY41</f>
        <v>23.344961000000001</v>
      </c>
      <c r="AQ41" s="180">
        <f>-BA41</f>
        <v>39</v>
      </c>
      <c r="AR41" s="80">
        <f t="shared" si="238"/>
        <v>2.3349609999999998</v>
      </c>
      <c r="AS41" s="80">
        <f t="shared" si="238"/>
        <v>75.664185000000003</v>
      </c>
      <c r="AT41" s="80">
        <f>-BC41</f>
        <v>75.664185000000003</v>
      </c>
      <c r="AU41" s="80">
        <f t="shared" si="226"/>
        <v>21.01</v>
      </c>
      <c r="AV41" s="80">
        <f t="shared" si="226"/>
        <v>0</v>
      </c>
      <c r="AW41" s="80">
        <f t="shared" si="227"/>
        <v>0</v>
      </c>
      <c r="AX41" s="80">
        <f>-BN41</f>
        <v>0</v>
      </c>
      <c r="AY41" s="80">
        <f t="shared" si="228"/>
        <v>0</v>
      </c>
      <c r="AZ41" s="432">
        <f>-BU41</f>
        <v>0</v>
      </c>
      <c r="BA41" s="1008">
        <v>-39</v>
      </c>
      <c r="BB41" s="409">
        <v>-2.3349609999999998</v>
      </c>
      <c r="BC41" s="207">
        <v>-75.664185000000003</v>
      </c>
      <c r="BD41" s="389">
        <v>-25</v>
      </c>
      <c r="BE41" s="389">
        <f>-75.664185+45+4.623808</f>
        <v>-26.040377000000003</v>
      </c>
      <c r="BF41" s="516">
        <v>-21.01</v>
      </c>
      <c r="BG41" s="1009">
        <v>-21.01</v>
      </c>
      <c r="BH41" s="207">
        <v>0</v>
      </c>
      <c r="BI41" s="389">
        <v>0</v>
      </c>
      <c r="BJ41" s="516">
        <v>0</v>
      </c>
      <c r="BK41" s="516">
        <v>0</v>
      </c>
      <c r="BL41" s="516">
        <v>0</v>
      </c>
      <c r="BM41" s="516">
        <v>0</v>
      </c>
      <c r="BN41" s="1032">
        <v>0</v>
      </c>
      <c r="BO41" s="207">
        <v>0</v>
      </c>
      <c r="BP41" s="389">
        <v>0</v>
      </c>
      <c r="BQ41" s="389">
        <v>0</v>
      </c>
      <c r="BR41" s="389">
        <v>0</v>
      </c>
      <c r="BS41" s="296">
        <v>0</v>
      </c>
      <c r="BT41" s="296">
        <v>0</v>
      </c>
      <c r="BU41" s="296">
        <v>0</v>
      </c>
      <c r="BV41" s="1032">
        <v>0</v>
      </c>
      <c r="BW41" s="296">
        <f>-BV41</f>
        <v>0</v>
      </c>
      <c r="BX41" s="439" t="s">
        <v>531</v>
      </c>
    </row>
    <row r="42" spans="1:76" ht="119.1" hidden="1" customHeight="1" outlineLevel="1" x14ac:dyDescent="0.25">
      <c r="A42" s="677">
        <v>4</v>
      </c>
      <c r="B42" s="701" t="s">
        <v>1716</v>
      </c>
      <c r="C42" s="690" t="s">
        <v>539</v>
      </c>
      <c r="D42" s="62" t="s">
        <v>1866</v>
      </c>
      <c r="E42" s="463" t="s">
        <v>1685</v>
      </c>
      <c r="F42" s="544" t="s">
        <v>1862</v>
      </c>
      <c r="G42" s="69" t="s">
        <v>427</v>
      </c>
      <c r="H42" s="306" t="s">
        <v>127</v>
      </c>
      <c r="I42" s="334"/>
      <c r="J42" s="294">
        <f>AQ42/T$8</f>
        <v>0</v>
      </c>
      <c r="K42" s="105">
        <f t="shared" si="229"/>
        <v>0</v>
      </c>
      <c r="L42" s="105">
        <f>AS42/$V$8</f>
        <v>1.2242899118511264E-3</v>
      </c>
      <c r="M42" s="105">
        <f t="shared" si="221"/>
        <v>1.275346511766189E-3</v>
      </c>
      <c r="N42" s="105">
        <f t="shared" si="221"/>
        <v>3.4842874504292202E-4</v>
      </c>
      <c r="O42" s="105">
        <f t="shared" si="221"/>
        <v>1.4452761666289954E-3</v>
      </c>
      <c r="P42" s="105">
        <f t="shared" si="222"/>
        <v>1.4858054733081852E-3</v>
      </c>
      <c r="Q42" s="105">
        <f t="shared" si="222"/>
        <v>1.9359486929856505E-4</v>
      </c>
      <c r="R42" s="105">
        <f>AY42/AH$8</f>
        <v>0</v>
      </c>
      <c r="S42" s="528">
        <f t="shared" ref="S42" si="239">AZ42/AN$8</f>
        <v>0</v>
      </c>
      <c r="T42" s="533">
        <f>BA42/T$8</f>
        <v>0</v>
      </c>
      <c r="U42" s="375">
        <f t="shared" si="230"/>
        <v>0</v>
      </c>
      <c r="V42" s="375">
        <f t="shared" si="231"/>
        <v>-1.2242899118511264E-3</v>
      </c>
      <c r="W42" s="386">
        <f t="shared" si="232"/>
        <v>0</v>
      </c>
      <c r="X42" s="386">
        <f t="shared" si="233"/>
        <v>0</v>
      </c>
      <c r="Y42" s="386">
        <f t="shared" si="234"/>
        <v>0</v>
      </c>
      <c r="Z42" s="375">
        <f>BG42/Z$8</f>
        <v>-3.4842874504292202E-4</v>
      </c>
      <c r="AA42" s="375">
        <f t="shared" si="235"/>
        <v>-1.4452761666289954E-3</v>
      </c>
      <c r="AB42" s="386">
        <f t="shared" si="236"/>
        <v>0</v>
      </c>
      <c r="AC42" s="386">
        <f t="shared" si="237"/>
        <v>0</v>
      </c>
      <c r="AD42" s="386">
        <f t="shared" si="237"/>
        <v>-2.0575061513086466E-4</v>
      </c>
      <c r="AE42" s="386">
        <f t="shared" si="237"/>
        <v>-1.8246733882732098E-4</v>
      </c>
      <c r="AF42" s="386">
        <f t="shared" si="237"/>
        <v>-1.7749005555092926E-4</v>
      </c>
      <c r="AG42" s="375">
        <f>BN42/AG$8</f>
        <v>-1.9536877673200244E-4</v>
      </c>
      <c r="AH42" s="375">
        <f t="shared" si="224"/>
        <v>0</v>
      </c>
      <c r="AI42" s="386">
        <f t="shared" si="224"/>
        <v>0</v>
      </c>
      <c r="AJ42" s="386">
        <f t="shared" si="224"/>
        <v>0</v>
      </c>
      <c r="AK42" s="386">
        <f t="shared" si="224"/>
        <v>0</v>
      </c>
      <c r="AL42" s="377">
        <f t="shared" si="225"/>
        <v>0</v>
      </c>
      <c r="AM42" s="377">
        <f t="shared" si="225"/>
        <v>0</v>
      </c>
      <c r="AN42" s="377">
        <f t="shared" si="225"/>
        <v>0</v>
      </c>
      <c r="AO42" s="283"/>
      <c r="AP42" s="295">
        <f>AR42+AU42+AZ42+AW42+AY42</f>
        <v>68.702877999999998</v>
      </c>
      <c r="AQ42" s="180">
        <f>-BA42</f>
        <v>0</v>
      </c>
      <c r="AR42" s="80">
        <f t="shared" si="238"/>
        <v>0</v>
      </c>
      <c r="AS42" s="80">
        <f t="shared" si="238"/>
        <v>40</v>
      </c>
      <c r="AT42" s="80">
        <f>-BC42</f>
        <v>40</v>
      </c>
      <c r="AU42" s="80">
        <f t="shared" si="226"/>
        <v>11.702878</v>
      </c>
      <c r="AV42" s="80">
        <f t="shared" si="226"/>
        <v>57</v>
      </c>
      <c r="AW42" s="80">
        <f t="shared" si="227"/>
        <v>57</v>
      </c>
      <c r="AX42" s="80">
        <f>-BN42</f>
        <v>7.6351550000000001</v>
      </c>
      <c r="AY42" s="80">
        <f t="shared" si="228"/>
        <v>0</v>
      </c>
      <c r="AZ42" s="432">
        <f>-BU42</f>
        <v>0</v>
      </c>
      <c r="BA42" s="1008">
        <v>0</v>
      </c>
      <c r="BB42" s="409">
        <v>0</v>
      </c>
      <c r="BC42" s="207">
        <f>-20-20</f>
        <v>-40</v>
      </c>
      <c r="BD42" s="389">
        <v>0</v>
      </c>
      <c r="BE42" s="389">
        <v>0</v>
      </c>
      <c r="BF42" s="516">
        <v>0</v>
      </c>
      <c r="BG42" s="1010">
        <v>-11.702878</v>
      </c>
      <c r="BH42" s="1010">
        <f>-44-9-4</f>
        <v>-57</v>
      </c>
      <c r="BI42" s="389">
        <v>0</v>
      </c>
      <c r="BJ42" s="516">
        <v>0</v>
      </c>
      <c r="BK42" s="516">
        <v>-7</v>
      </c>
      <c r="BL42" s="516">
        <v>-7</v>
      </c>
      <c r="BM42" s="516">
        <v>-7</v>
      </c>
      <c r="BN42" s="713">
        <v>-7.6351550000000001</v>
      </c>
      <c r="BO42" s="207">
        <v>0</v>
      </c>
      <c r="BP42" s="389">
        <v>0</v>
      </c>
      <c r="BQ42" s="389">
        <v>0</v>
      </c>
      <c r="BR42" s="389">
        <v>0</v>
      </c>
      <c r="BS42" s="296">
        <v>0</v>
      </c>
      <c r="BT42" s="296">
        <v>0</v>
      </c>
      <c r="BU42" s="296">
        <v>0</v>
      </c>
      <c r="BV42" s="713">
        <v>0</v>
      </c>
      <c r="BW42" s="296">
        <f>-BV42</f>
        <v>0</v>
      </c>
      <c r="BX42" s="442" t="s">
        <v>1867</v>
      </c>
    </row>
    <row r="43" spans="1:76" ht="18.75" collapsed="1" x14ac:dyDescent="0.25">
      <c r="A43" s="467">
        <v>3</v>
      </c>
      <c r="B43" s="704" t="s">
        <v>1115</v>
      </c>
      <c r="C43" s="689"/>
      <c r="D43" s="348"/>
      <c r="E43" s="460"/>
      <c r="F43" s="540"/>
      <c r="G43" s="400" t="s">
        <v>1730</v>
      </c>
      <c r="H43" s="401" t="s">
        <v>1730</v>
      </c>
      <c r="I43" s="349"/>
      <c r="J43" s="379">
        <f>J44</f>
        <v>0</v>
      </c>
      <c r="K43" s="380">
        <f t="shared" ref="K43:AN43" si="240">K44</f>
        <v>0</v>
      </c>
      <c r="L43" s="380">
        <f t="shared" si="240"/>
        <v>5.750294625367287E-3</v>
      </c>
      <c r="M43" s="380">
        <f t="shared" si="240"/>
        <v>5.9900993392991405E-3</v>
      </c>
      <c r="N43" s="380">
        <f t="shared" si="240"/>
        <v>5.5949559806022344E-3</v>
      </c>
      <c r="O43" s="380">
        <f t="shared" si="240"/>
        <v>5.0077551387583616E-6</v>
      </c>
      <c r="P43" s="380">
        <f t="shared" si="240"/>
        <v>5.1481856311994138E-6</v>
      </c>
      <c r="Q43" s="380">
        <f t="shared" si="240"/>
        <v>5.5500126141886711E-6</v>
      </c>
      <c r="R43" s="380">
        <f t="shared" si="240"/>
        <v>0</v>
      </c>
      <c r="S43" s="381">
        <f t="shared" si="240"/>
        <v>0</v>
      </c>
      <c r="T43" s="379">
        <f t="shared" si="240"/>
        <v>0</v>
      </c>
      <c r="U43" s="380">
        <f>U44</f>
        <v>0</v>
      </c>
      <c r="V43" s="380">
        <f t="shared" si="240"/>
        <v>-5.750294625367287E-3</v>
      </c>
      <c r="W43" s="385">
        <f t="shared" si="240"/>
        <v>-5.9448397911838575E-3</v>
      </c>
      <c r="X43" s="385">
        <f t="shared" si="240"/>
        <v>-5.9873860395953573E-3</v>
      </c>
      <c r="Y43" s="385">
        <f t="shared" si="240"/>
        <v>-5.990013253409596E-3</v>
      </c>
      <c r="Z43" s="380">
        <f t="shared" si="240"/>
        <v>-5.5949559806022344E-3</v>
      </c>
      <c r="AA43" s="380">
        <f t="shared" si="240"/>
        <v>-5.0077551387583616E-6</v>
      </c>
      <c r="AB43" s="385">
        <f t="shared" si="240"/>
        <v>0</v>
      </c>
      <c r="AC43" s="385">
        <f t="shared" si="240"/>
        <v>0</v>
      </c>
      <c r="AD43" s="385">
        <f t="shared" si="240"/>
        <v>0</v>
      </c>
      <c r="AE43" s="385">
        <f t="shared" si="240"/>
        <v>-4.8484178602688152E-6</v>
      </c>
      <c r="AF43" s="385">
        <f t="shared" si="240"/>
        <v>-4.7161643332104055E-6</v>
      </c>
      <c r="AG43" s="380">
        <f t="shared" si="240"/>
        <v>-5.6008673122891525E-6</v>
      </c>
      <c r="AH43" s="380">
        <f t="shared" si="240"/>
        <v>0</v>
      </c>
      <c r="AI43" s="385">
        <f t="shared" si="240"/>
        <v>0</v>
      </c>
      <c r="AJ43" s="385">
        <f t="shared" si="240"/>
        <v>0</v>
      </c>
      <c r="AK43" s="385">
        <f t="shared" si="240"/>
        <v>0</v>
      </c>
      <c r="AL43" s="381">
        <f t="shared" si="240"/>
        <v>0</v>
      </c>
      <c r="AM43" s="381">
        <f t="shared" si="240"/>
        <v>0</v>
      </c>
      <c r="AN43" s="381">
        <f t="shared" si="240"/>
        <v>0</v>
      </c>
      <c r="AO43" s="337"/>
      <c r="AP43" s="350">
        <f t="shared" ref="AP43:BW43" si="241">AP44</f>
        <v>188.118526</v>
      </c>
      <c r="AQ43" s="382">
        <f t="shared" si="241"/>
        <v>0</v>
      </c>
      <c r="AR43" s="382">
        <f t="shared" si="241"/>
        <v>0</v>
      </c>
      <c r="AS43" s="382">
        <f t="shared" si="241"/>
        <v>187.873626</v>
      </c>
      <c r="AT43" s="382">
        <f t="shared" si="241"/>
        <v>187.873626</v>
      </c>
      <c r="AU43" s="382">
        <f t="shared" si="241"/>
        <v>187.92102600000001</v>
      </c>
      <c r="AV43" s="382">
        <f t="shared" si="241"/>
        <v>0.19750000000000001</v>
      </c>
      <c r="AW43" s="382">
        <f t="shared" si="241"/>
        <v>0.19750000000000001</v>
      </c>
      <c r="AX43" s="382">
        <f t="shared" si="241"/>
        <v>0.218886</v>
      </c>
      <c r="AY43" s="382">
        <f t="shared" si="241"/>
        <v>0</v>
      </c>
      <c r="AZ43" s="383">
        <f t="shared" si="241"/>
        <v>0</v>
      </c>
      <c r="BA43" s="656">
        <f t="shared" si="241"/>
        <v>0</v>
      </c>
      <c r="BB43" s="350">
        <f t="shared" si="241"/>
        <v>0</v>
      </c>
      <c r="BC43" s="382">
        <f t="shared" si="241"/>
        <v>-187.873626</v>
      </c>
      <c r="BD43" s="387">
        <f t="shared" si="241"/>
        <v>-182.08389299999999</v>
      </c>
      <c r="BE43" s="387">
        <f t="shared" si="241"/>
        <v>-187.78852599999999</v>
      </c>
      <c r="BF43" s="651">
        <f t="shared" si="241"/>
        <v>-187.870926</v>
      </c>
      <c r="BG43" s="360">
        <f t="shared" si="241"/>
        <v>-187.92102600000001</v>
      </c>
      <c r="BH43" s="382">
        <f t="shared" si="241"/>
        <v>-0.19750000000000001</v>
      </c>
      <c r="BI43" s="387">
        <f t="shared" si="241"/>
        <v>0</v>
      </c>
      <c r="BJ43" s="515">
        <f t="shared" si="241"/>
        <v>0</v>
      </c>
      <c r="BK43" s="515">
        <f t="shared" si="241"/>
        <v>0</v>
      </c>
      <c r="BL43" s="515">
        <f t="shared" si="241"/>
        <v>-0.186</v>
      </c>
      <c r="BM43" s="515">
        <f t="shared" si="241"/>
        <v>-0.186</v>
      </c>
      <c r="BN43" s="350">
        <f t="shared" si="241"/>
        <v>-0.218886</v>
      </c>
      <c r="BO43" s="382">
        <f t="shared" si="241"/>
        <v>0</v>
      </c>
      <c r="BP43" s="387">
        <f t="shared" si="241"/>
        <v>0</v>
      </c>
      <c r="BQ43" s="387">
        <f t="shared" si="241"/>
        <v>0</v>
      </c>
      <c r="BR43" s="387">
        <f t="shared" si="241"/>
        <v>0</v>
      </c>
      <c r="BS43" s="383">
        <f t="shared" si="241"/>
        <v>0</v>
      </c>
      <c r="BT43" s="383">
        <f t="shared" si="241"/>
        <v>0</v>
      </c>
      <c r="BU43" s="383">
        <f t="shared" si="241"/>
        <v>0</v>
      </c>
      <c r="BV43" s="350">
        <f t="shared" si="241"/>
        <v>0</v>
      </c>
      <c r="BW43" s="383">
        <f t="shared" si="241"/>
        <v>0</v>
      </c>
      <c r="BX43" s="351"/>
    </row>
    <row r="44" spans="1:76" ht="136.5" hidden="1" customHeight="1" outlineLevel="1" x14ac:dyDescent="0.25">
      <c r="A44" s="677">
        <v>1</v>
      </c>
      <c r="B44" s="701" t="s">
        <v>1115</v>
      </c>
      <c r="C44" s="691" t="s">
        <v>1115</v>
      </c>
      <c r="D44" s="62" t="s">
        <v>1663</v>
      </c>
      <c r="E44" s="463" t="s">
        <v>1434</v>
      </c>
      <c r="F44" s="544" t="s">
        <v>1450</v>
      </c>
      <c r="G44" s="69" t="s">
        <v>7</v>
      </c>
      <c r="H44" s="306" t="s">
        <v>126</v>
      </c>
      <c r="I44" s="334"/>
      <c r="J44" s="294">
        <f>AQ44/T$8</f>
        <v>0</v>
      </c>
      <c r="K44" s="52">
        <f>AR44/U$8</f>
        <v>0</v>
      </c>
      <c r="L44" s="52">
        <f>AS44/$V$8</f>
        <v>5.750294625367287E-3</v>
      </c>
      <c r="M44" s="52">
        <f>AT44/Y$8</f>
        <v>5.9900993392991405E-3</v>
      </c>
      <c r="N44" s="52">
        <f>AU44/Z$8</f>
        <v>5.5949559806022344E-3</v>
      </c>
      <c r="O44" s="52">
        <f>AV44/AA$8</f>
        <v>5.0077551387583616E-6</v>
      </c>
      <c r="P44" s="52">
        <f>AW44/AE$8</f>
        <v>5.1481856311994138E-6</v>
      </c>
      <c r="Q44" s="52">
        <f>AX44/AF$8</f>
        <v>5.5500126141886711E-6</v>
      </c>
      <c r="R44" s="52">
        <f>AY44/AH$8</f>
        <v>0</v>
      </c>
      <c r="S44" s="527">
        <f>AZ44/AN$8</f>
        <v>0</v>
      </c>
      <c r="T44" s="533">
        <f t="shared" ref="T44:AF44" si="242">BA44/T$8</f>
        <v>0</v>
      </c>
      <c r="U44" s="375">
        <f t="shared" si="242"/>
        <v>0</v>
      </c>
      <c r="V44" s="375">
        <f t="shared" si="242"/>
        <v>-5.750294625367287E-3</v>
      </c>
      <c r="W44" s="386">
        <f t="shared" si="242"/>
        <v>-5.9448397911838575E-3</v>
      </c>
      <c r="X44" s="386">
        <f t="shared" si="242"/>
        <v>-5.9873860395953573E-3</v>
      </c>
      <c r="Y44" s="386">
        <f t="shared" si="242"/>
        <v>-5.990013253409596E-3</v>
      </c>
      <c r="Z44" s="375">
        <f t="shared" si="242"/>
        <v>-5.5949559806022344E-3</v>
      </c>
      <c r="AA44" s="375">
        <f t="shared" si="242"/>
        <v>-5.0077551387583616E-6</v>
      </c>
      <c r="AB44" s="386">
        <f t="shared" si="242"/>
        <v>0</v>
      </c>
      <c r="AC44" s="386">
        <f t="shared" si="242"/>
        <v>0</v>
      </c>
      <c r="AD44" s="386">
        <f t="shared" si="242"/>
        <v>0</v>
      </c>
      <c r="AE44" s="386">
        <f t="shared" si="242"/>
        <v>-4.8484178602688152E-6</v>
      </c>
      <c r="AF44" s="386">
        <f t="shared" si="242"/>
        <v>-4.7161643332104055E-6</v>
      </c>
      <c r="AG44" s="375">
        <f t="shared" ref="AG44:AN44" si="243">BN44/AG$8</f>
        <v>-5.6008673122891525E-6</v>
      </c>
      <c r="AH44" s="375">
        <f t="shared" si="243"/>
        <v>0</v>
      </c>
      <c r="AI44" s="386">
        <f t="shared" si="243"/>
        <v>0</v>
      </c>
      <c r="AJ44" s="386">
        <f t="shared" si="243"/>
        <v>0</v>
      </c>
      <c r="AK44" s="386">
        <f t="shared" si="243"/>
        <v>0</v>
      </c>
      <c r="AL44" s="377">
        <f t="shared" si="243"/>
        <v>0</v>
      </c>
      <c r="AM44" s="377">
        <f t="shared" si="243"/>
        <v>0</v>
      </c>
      <c r="AN44" s="377">
        <f t="shared" si="243"/>
        <v>0</v>
      </c>
      <c r="AO44" s="283"/>
      <c r="AP44" s="295">
        <f>AR44+AU44+AZ44+AW44+AY44</f>
        <v>188.118526</v>
      </c>
      <c r="AQ44" s="180">
        <f>-BA44</f>
        <v>0</v>
      </c>
      <c r="AR44" s="80">
        <f t="shared" ref="AR44" si="244">-BB44</f>
        <v>0</v>
      </c>
      <c r="AS44" s="80">
        <f>-BC44</f>
        <v>187.873626</v>
      </c>
      <c r="AT44" s="80">
        <f>-BC44</f>
        <v>187.873626</v>
      </c>
      <c r="AU44" s="80">
        <f>-BG44</f>
        <v>187.92102600000001</v>
      </c>
      <c r="AV44" s="80">
        <f>-BH44</f>
        <v>0.19750000000000001</v>
      </c>
      <c r="AW44" s="80">
        <f>-BH44</f>
        <v>0.19750000000000001</v>
      </c>
      <c r="AX44" s="80">
        <f>-BN44</f>
        <v>0.218886</v>
      </c>
      <c r="AY44" s="80">
        <f>-BO44</f>
        <v>0</v>
      </c>
      <c r="AZ44" s="432">
        <f>-BU44</f>
        <v>0</v>
      </c>
      <c r="BA44" s="1008">
        <v>0</v>
      </c>
      <c r="BB44" s="409">
        <v>0</v>
      </c>
      <c r="BC44" s="207">
        <f>-187.583893-0.289733</f>
        <v>-187.873626</v>
      </c>
      <c r="BD44" s="389">
        <v>-182.08389299999999</v>
      </c>
      <c r="BE44" s="389">
        <v>-187.78852599999999</v>
      </c>
      <c r="BF44" s="516">
        <v>-187.870926</v>
      </c>
      <c r="BG44" s="207">
        <v>-187.92102600000001</v>
      </c>
      <c r="BH44" s="207">
        <v>-0.19750000000000001</v>
      </c>
      <c r="BI44" s="389">
        <v>0</v>
      </c>
      <c r="BJ44" s="516">
        <v>0</v>
      </c>
      <c r="BK44" s="516">
        <v>0</v>
      </c>
      <c r="BL44" s="516">
        <v>-0.186</v>
      </c>
      <c r="BM44" s="516">
        <v>-0.186</v>
      </c>
      <c r="BN44" s="713">
        <f>-0.218886</f>
        <v>-0.218886</v>
      </c>
      <c r="BO44" s="207">
        <v>0</v>
      </c>
      <c r="BP44" s="389">
        <v>0</v>
      </c>
      <c r="BQ44" s="389">
        <v>0</v>
      </c>
      <c r="BR44" s="389">
        <v>0</v>
      </c>
      <c r="BS44" s="296">
        <v>0</v>
      </c>
      <c r="BT44" s="296">
        <v>0</v>
      </c>
      <c r="BU44" s="296">
        <v>0</v>
      </c>
      <c r="BV44" s="713">
        <v>0</v>
      </c>
      <c r="BW44" s="296">
        <f>-BV44</f>
        <v>0</v>
      </c>
      <c r="BX44" s="439" t="s">
        <v>1451</v>
      </c>
    </row>
    <row r="45" spans="1:76" ht="18.75" collapsed="1" x14ac:dyDescent="0.25">
      <c r="A45" s="467">
        <v>4</v>
      </c>
      <c r="B45" s="704" t="s">
        <v>1183</v>
      </c>
      <c r="C45" s="689"/>
      <c r="D45" s="348"/>
      <c r="E45" s="460"/>
      <c r="F45" s="540"/>
      <c r="G45" s="400" t="s">
        <v>1730</v>
      </c>
      <c r="H45" s="401" t="s">
        <v>1730</v>
      </c>
      <c r="I45" s="349"/>
      <c r="J45" s="379">
        <f>J46</f>
        <v>0</v>
      </c>
      <c r="K45" s="380">
        <f t="shared" ref="K45" si="245">K46</f>
        <v>0</v>
      </c>
      <c r="L45" s="380">
        <f t="shared" ref="L45:N45" si="246">L46</f>
        <v>3.4442872184133203E-3</v>
      </c>
      <c r="M45" s="380">
        <f t="shared" ref="M45" si="247">M46</f>
        <v>3.587924434403447E-3</v>
      </c>
      <c r="N45" s="380">
        <f t="shared" si="246"/>
        <v>3.2752331449670729E-3</v>
      </c>
      <c r="O45" s="380">
        <f t="shared" ref="O45:Q45" si="248">O46</f>
        <v>4.7161643332104054E-7</v>
      </c>
      <c r="P45" s="380">
        <f t="shared" si="248"/>
        <v>4.848417860268814E-7</v>
      </c>
      <c r="Q45" s="380">
        <f t="shared" si="248"/>
        <v>4.7161643332104054E-7</v>
      </c>
      <c r="R45" s="380">
        <f t="shared" ref="R45" si="249">R46</f>
        <v>0</v>
      </c>
      <c r="S45" s="381">
        <f t="shared" ref="S45" si="250">S46</f>
        <v>0</v>
      </c>
      <c r="T45" s="379">
        <f t="shared" ref="T45" si="251">T46</f>
        <v>0</v>
      </c>
      <c r="U45" s="380">
        <f t="shared" ref="U45" si="252">U46</f>
        <v>0</v>
      </c>
      <c r="V45" s="380">
        <f t="shared" ref="V45" si="253">V46</f>
        <v>-3.4442872184133203E-3</v>
      </c>
      <c r="W45" s="385">
        <f t="shared" ref="W45" si="254">W46</f>
        <v>-3.6734900200796001E-3</v>
      </c>
      <c r="X45" s="385">
        <f t="shared" ref="X45" si="255">X46</f>
        <v>-3.5873887888685048E-3</v>
      </c>
      <c r="Y45" s="385">
        <f t="shared" ref="Y45" si="256">Y46</f>
        <v>-3.5047016977781446E-3</v>
      </c>
      <c r="Z45" s="380">
        <f>Z46</f>
        <v>-3.2752331449670729E-3</v>
      </c>
      <c r="AA45" s="380">
        <f t="shared" ref="AA45" si="257">AA46</f>
        <v>-4.7161643332104054E-7</v>
      </c>
      <c r="AB45" s="385">
        <f t="shared" ref="AB45" si="258">AB46</f>
        <v>0</v>
      </c>
      <c r="AC45" s="385">
        <f t="shared" ref="AC45:AK45" si="259">AC46</f>
        <v>0</v>
      </c>
      <c r="AD45" s="385">
        <f t="shared" si="259"/>
        <v>0</v>
      </c>
      <c r="AE45" s="385">
        <f t="shared" si="259"/>
        <v>-4.3792161318557033E-7</v>
      </c>
      <c r="AF45" s="385">
        <f t="shared" si="259"/>
        <v>-4.2597613332223019E-7</v>
      </c>
      <c r="AG45" s="380">
        <f t="shared" si="259"/>
        <v>-4.7593784896511531E-7</v>
      </c>
      <c r="AH45" s="380">
        <f t="shared" ref="AH45" si="260">AH46</f>
        <v>0</v>
      </c>
      <c r="AI45" s="385">
        <f t="shared" si="259"/>
        <v>0</v>
      </c>
      <c r="AJ45" s="385">
        <f t="shared" si="259"/>
        <v>0</v>
      </c>
      <c r="AK45" s="385">
        <f t="shared" si="259"/>
        <v>0</v>
      </c>
      <c r="AL45" s="381">
        <f t="shared" ref="AL45:AN45" si="261">AL46</f>
        <v>0</v>
      </c>
      <c r="AM45" s="381">
        <f t="shared" si="261"/>
        <v>0</v>
      </c>
      <c r="AN45" s="381">
        <f t="shared" si="261"/>
        <v>0</v>
      </c>
      <c r="AO45" s="337"/>
      <c r="AP45" s="350">
        <f t="shared" ref="AP45:BW45" si="262">AP46</f>
        <v>110.02575200000001</v>
      </c>
      <c r="AQ45" s="382">
        <f t="shared" si="262"/>
        <v>0</v>
      </c>
      <c r="AR45" s="382">
        <f t="shared" si="262"/>
        <v>0</v>
      </c>
      <c r="AS45" s="382">
        <f t="shared" si="262"/>
        <v>112.531752</v>
      </c>
      <c r="AT45" s="382">
        <f t="shared" si="262"/>
        <v>112.531752</v>
      </c>
      <c r="AU45" s="382">
        <f t="shared" si="262"/>
        <v>110.007152</v>
      </c>
      <c r="AV45" s="382">
        <f t="shared" si="262"/>
        <v>1.8599999999999998E-2</v>
      </c>
      <c r="AW45" s="382">
        <f t="shared" si="262"/>
        <v>1.8599999999999998E-2</v>
      </c>
      <c r="AX45" s="382">
        <f t="shared" si="262"/>
        <v>1.8599999999999998E-2</v>
      </c>
      <c r="AY45" s="382">
        <f t="shared" si="262"/>
        <v>0</v>
      </c>
      <c r="AZ45" s="383">
        <f t="shared" si="262"/>
        <v>0</v>
      </c>
      <c r="BA45" s="656">
        <f t="shared" si="262"/>
        <v>0</v>
      </c>
      <c r="BB45" s="350">
        <f t="shared" si="262"/>
        <v>0</v>
      </c>
      <c r="BC45" s="382">
        <f t="shared" si="262"/>
        <v>-112.531752</v>
      </c>
      <c r="BD45" s="387">
        <f t="shared" si="262"/>
        <v>-112.51495199999999</v>
      </c>
      <c r="BE45" s="387">
        <f t="shared" si="262"/>
        <v>-112.51495199999999</v>
      </c>
      <c r="BF45" s="651">
        <f t="shared" si="262"/>
        <v>-109.92155200000001</v>
      </c>
      <c r="BG45" s="360">
        <f t="shared" si="262"/>
        <v>-110.007152</v>
      </c>
      <c r="BH45" s="382">
        <f t="shared" si="262"/>
        <v>-1.8599999999999998E-2</v>
      </c>
      <c r="BI45" s="387">
        <f t="shared" si="262"/>
        <v>0</v>
      </c>
      <c r="BJ45" s="515">
        <f t="shared" si="262"/>
        <v>0</v>
      </c>
      <c r="BK45" s="515">
        <f t="shared" si="262"/>
        <v>0</v>
      </c>
      <c r="BL45" s="515">
        <f t="shared" si="262"/>
        <v>-1.6799999999999999E-2</v>
      </c>
      <c r="BM45" s="515">
        <f t="shared" si="262"/>
        <v>-1.6799999999999999E-2</v>
      </c>
      <c r="BN45" s="350">
        <f t="shared" si="262"/>
        <v>-1.8599999999999998E-2</v>
      </c>
      <c r="BO45" s="382">
        <f t="shared" si="262"/>
        <v>0</v>
      </c>
      <c r="BP45" s="387">
        <f t="shared" si="262"/>
        <v>0</v>
      </c>
      <c r="BQ45" s="387">
        <f t="shared" si="262"/>
        <v>0</v>
      </c>
      <c r="BR45" s="387">
        <f t="shared" si="262"/>
        <v>0</v>
      </c>
      <c r="BS45" s="383">
        <f t="shared" si="262"/>
        <v>0</v>
      </c>
      <c r="BT45" s="383">
        <f t="shared" si="262"/>
        <v>0</v>
      </c>
      <c r="BU45" s="383">
        <f t="shared" si="262"/>
        <v>0</v>
      </c>
      <c r="BV45" s="350">
        <f t="shared" si="262"/>
        <v>0</v>
      </c>
      <c r="BW45" s="383">
        <f t="shared" si="262"/>
        <v>0</v>
      </c>
      <c r="BX45" s="351"/>
    </row>
    <row r="46" spans="1:76" ht="102.95" hidden="1" customHeight="1" outlineLevel="1" x14ac:dyDescent="0.25">
      <c r="A46" s="677">
        <v>1</v>
      </c>
      <c r="B46" s="701" t="s">
        <v>1183</v>
      </c>
      <c r="C46" s="691" t="s">
        <v>1183</v>
      </c>
      <c r="D46" s="62" t="s">
        <v>1539</v>
      </c>
      <c r="E46" s="463" t="s">
        <v>1330</v>
      </c>
      <c r="F46" s="544" t="s">
        <v>1184</v>
      </c>
      <c r="G46" s="69" t="s">
        <v>7</v>
      </c>
      <c r="H46" s="306" t="s">
        <v>126</v>
      </c>
      <c r="I46" s="334"/>
      <c r="J46" s="294">
        <f>AQ46/T$8</f>
        <v>0</v>
      </c>
      <c r="K46" s="52">
        <f>AR46/U$8</f>
        <v>0</v>
      </c>
      <c r="L46" s="52">
        <f>AS46/$V$8</f>
        <v>3.4442872184133203E-3</v>
      </c>
      <c r="M46" s="52">
        <f>AT46/Y$8</f>
        <v>3.587924434403447E-3</v>
      </c>
      <c r="N46" s="52">
        <f>AU46/Z$8</f>
        <v>3.2752331449670729E-3</v>
      </c>
      <c r="O46" s="52">
        <f>AV46/AA$8</f>
        <v>4.7161643332104054E-7</v>
      </c>
      <c r="P46" s="52">
        <f>AW46/AE$8</f>
        <v>4.848417860268814E-7</v>
      </c>
      <c r="Q46" s="52">
        <f>AX46/AF$8</f>
        <v>4.7161643332104054E-7</v>
      </c>
      <c r="R46" s="52">
        <f>AY46/AH$8</f>
        <v>0</v>
      </c>
      <c r="S46" s="527">
        <f>AZ46/AN$8</f>
        <v>0</v>
      </c>
      <c r="T46" s="533">
        <f t="shared" ref="T46" si="263">BA46/T$8</f>
        <v>0</v>
      </c>
      <c r="U46" s="375">
        <f t="shared" ref="U46" si="264">BB46/U$8</f>
        <v>0</v>
      </c>
      <c r="V46" s="375">
        <f t="shared" ref="V46" si="265">BC46/V$8</f>
        <v>-3.4442872184133203E-3</v>
      </c>
      <c r="W46" s="386">
        <f t="shared" ref="W46" si="266">BD46/W$8</f>
        <v>-3.6734900200796001E-3</v>
      </c>
      <c r="X46" s="386">
        <f t="shared" ref="X46" si="267">BE46/X$8</f>
        <v>-3.5873887888685048E-3</v>
      </c>
      <c r="Y46" s="386">
        <f>BF46/Y$8</f>
        <v>-3.5047016977781446E-3</v>
      </c>
      <c r="Z46" s="375">
        <f>BG46/Z$8</f>
        <v>-3.2752331449670729E-3</v>
      </c>
      <c r="AA46" s="375">
        <f t="shared" ref="AA46" si="268">BH46/AA$8</f>
        <v>-4.7161643332104054E-7</v>
      </c>
      <c r="AB46" s="386">
        <f t="shared" ref="AB46" si="269">BI46/AB$8</f>
        <v>0</v>
      </c>
      <c r="AC46" s="386">
        <f t="shared" ref="AC46:AN46" si="270">BJ46/AC$8</f>
        <v>0</v>
      </c>
      <c r="AD46" s="386">
        <f t="shared" si="270"/>
        <v>0</v>
      </c>
      <c r="AE46" s="386">
        <f t="shared" si="270"/>
        <v>-4.3792161318557033E-7</v>
      </c>
      <c r="AF46" s="386">
        <f t="shared" si="270"/>
        <v>-4.2597613332223019E-7</v>
      </c>
      <c r="AG46" s="375">
        <f t="shared" si="270"/>
        <v>-4.7593784896511531E-7</v>
      </c>
      <c r="AH46" s="375">
        <f t="shared" si="270"/>
        <v>0</v>
      </c>
      <c r="AI46" s="386">
        <f t="shared" si="270"/>
        <v>0</v>
      </c>
      <c r="AJ46" s="386">
        <f t="shared" si="270"/>
        <v>0</v>
      </c>
      <c r="AK46" s="386">
        <f t="shared" si="270"/>
        <v>0</v>
      </c>
      <c r="AL46" s="377">
        <f t="shared" si="270"/>
        <v>0</v>
      </c>
      <c r="AM46" s="377">
        <f t="shared" si="270"/>
        <v>0</v>
      </c>
      <c r="AN46" s="377">
        <f t="shared" si="270"/>
        <v>0</v>
      </c>
      <c r="AO46" s="283"/>
      <c r="AP46" s="295">
        <f>AR46+AU46+AZ46+AW46+AY46</f>
        <v>110.02575200000001</v>
      </c>
      <c r="AQ46" s="180">
        <f>-BA46</f>
        <v>0</v>
      </c>
      <c r="AR46" s="80">
        <f>-BB46</f>
        <v>0</v>
      </c>
      <c r="AS46" s="80">
        <f>-BC46</f>
        <v>112.531752</v>
      </c>
      <c r="AT46" s="80">
        <f>-BC46</f>
        <v>112.531752</v>
      </c>
      <c r="AU46" s="80">
        <f>-BG46</f>
        <v>110.007152</v>
      </c>
      <c r="AV46" s="80">
        <f>-BH46</f>
        <v>1.8599999999999998E-2</v>
      </c>
      <c r="AW46" s="80">
        <f>-BH46</f>
        <v>1.8599999999999998E-2</v>
      </c>
      <c r="AX46" s="80">
        <f>-BN46</f>
        <v>1.8599999999999998E-2</v>
      </c>
      <c r="AY46" s="80">
        <f t="shared" ref="AY46" si="271">-BO46</f>
        <v>0</v>
      </c>
      <c r="AZ46" s="432">
        <f>-BU46</f>
        <v>0</v>
      </c>
      <c r="BA46" s="1008">
        <v>0</v>
      </c>
      <c r="BB46" s="409">
        <v>0</v>
      </c>
      <c r="BC46" s="207">
        <f>-112.514952-0.0168</f>
        <v>-112.531752</v>
      </c>
      <c r="BD46" s="389">
        <v>-112.51495199999999</v>
      </c>
      <c r="BE46" s="389">
        <v>-112.51495199999999</v>
      </c>
      <c r="BF46" s="516">
        <v>-109.92155200000001</v>
      </c>
      <c r="BG46" s="207">
        <f>-0.0154-109.991752</f>
        <v>-110.007152</v>
      </c>
      <c r="BH46" s="207">
        <v>-1.8599999999999998E-2</v>
      </c>
      <c r="BI46" s="389">
        <v>0</v>
      </c>
      <c r="BJ46" s="516">
        <v>0</v>
      </c>
      <c r="BK46" s="516">
        <v>0</v>
      </c>
      <c r="BL46" s="516">
        <v>-1.6799999999999999E-2</v>
      </c>
      <c r="BM46" s="516">
        <v>-1.6799999999999999E-2</v>
      </c>
      <c r="BN46" s="713">
        <v>-1.8599999999999998E-2</v>
      </c>
      <c r="BO46" s="207">
        <v>0</v>
      </c>
      <c r="BP46" s="389">
        <v>0</v>
      </c>
      <c r="BQ46" s="389">
        <v>0</v>
      </c>
      <c r="BR46" s="389">
        <v>0</v>
      </c>
      <c r="BS46" s="296">
        <v>0</v>
      </c>
      <c r="BT46" s="296">
        <v>0</v>
      </c>
      <c r="BU46" s="296">
        <v>0</v>
      </c>
      <c r="BV46" s="713">
        <v>0</v>
      </c>
      <c r="BW46" s="296">
        <f>-BV46</f>
        <v>0</v>
      </c>
      <c r="BX46" s="439" t="s">
        <v>1921</v>
      </c>
    </row>
    <row r="47" spans="1:76" ht="18.75" collapsed="1" x14ac:dyDescent="0.25">
      <c r="A47" s="467">
        <v>5</v>
      </c>
      <c r="B47" s="704" t="s">
        <v>1717</v>
      </c>
      <c r="C47" s="689"/>
      <c r="D47" s="348"/>
      <c r="E47" s="460"/>
      <c r="F47" s="540"/>
      <c r="G47" s="400" t="s">
        <v>1730</v>
      </c>
      <c r="H47" s="401" t="s">
        <v>1730</v>
      </c>
      <c r="I47" s="349"/>
      <c r="J47" s="379">
        <f>SUM(J48:J49)</f>
        <v>1.0145325246506348E-4</v>
      </c>
      <c r="K47" s="380">
        <f t="shared" ref="K47:AN47" si="272">SUM(K48:K49)</f>
        <v>9.4420306037044577E-5</v>
      </c>
      <c r="L47" s="380">
        <f t="shared" si="272"/>
        <v>9.9953577987267378E-4</v>
      </c>
      <c r="M47" s="380">
        <f t="shared" si="272"/>
        <v>1.0412194512970242E-3</v>
      </c>
      <c r="N47" s="380">
        <f t="shared" ref="N47:O47" si="273">SUM(N48:N49)</f>
        <v>9.7228898218594442E-4</v>
      </c>
      <c r="O47" s="380">
        <f t="shared" si="273"/>
        <v>1.2425571674676127E-3</v>
      </c>
      <c r="P47" s="380">
        <f t="shared" ref="P47:Q47" si="274">SUM(P48:P49)</f>
        <v>1.2774017056046952E-3</v>
      </c>
      <c r="Q47" s="380">
        <f t="shared" si="274"/>
        <v>1.2426902850092758E-3</v>
      </c>
      <c r="R47" s="380">
        <f t="shared" si="272"/>
        <v>0</v>
      </c>
      <c r="S47" s="381">
        <f t="shared" si="272"/>
        <v>0</v>
      </c>
      <c r="T47" s="379">
        <f t="shared" si="272"/>
        <v>-1.0145325246506348E-4</v>
      </c>
      <c r="U47" s="380">
        <f t="shared" si="272"/>
        <v>-9.4420306037044577E-5</v>
      </c>
      <c r="V47" s="380">
        <f t="shared" si="272"/>
        <v>-9.9953577987267378E-4</v>
      </c>
      <c r="W47" s="385">
        <f t="shared" si="272"/>
        <v>-4.338434212402335E-4</v>
      </c>
      <c r="X47" s="385">
        <f t="shared" si="272"/>
        <v>-1.003188395130517E-3</v>
      </c>
      <c r="Y47" s="385">
        <f t="shared" si="272"/>
        <v>-1.036999010852962E-3</v>
      </c>
      <c r="Z47" s="380">
        <f>SUM(Z48:Z49)</f>
        <v>-9.7228898218594442E-4</v>
      </c>
      <c r="AA47" s="380">
        <f t="shared" si="272"/>
        <v>-1.2425571674676127E-3</v>
      </c>
      <c r="AB47" s="385">
        <f t="shared" si="272"/>
        <v>0</v>
      </c>
      <c r="AC47" s="385">
        <f t="shared" ref="AC47:AD47" si="275">SUM(AC48:AC49)</f>
        <v>0</v>
      </c>
      <c r="AD47" s="385">
        <f t="shared" si="275"/>
        <v>-3.9142905264496775E-4</v>
      </c>
      <c r="AE47" s="385">
        <f t="shared" si="272"/>
        <v>-1.0533465673124272E-3</v>
      </c>
      <c r="AF47" s="385">
        <f t="shared" ref="AF47:AG47" si="276">SUM(AF48:AF49)</f>
        <v>-1.2425571674676127E-3</v>
      </c>
      <c r="AG47" s="380">
        <f t="shared" si="276"/>
        <v>-1.2540770409807821E-3</v>
      </c>
      <c r="AH47" s="380">
        <f t="shared" ref="AH47:AI47" si="277">SUM(AH48:AH49)</f>
        <v>0</v>
      </c>
      <c r="AI47" s="385">
        <f t="shared" si="277"/>
        <v>0</v>
      </c>
      <c r="AJ47" s="385">
        <f t="shared" ref="AJ47:AM47" si="278">SUM(AJ48:AJ49)</f>
        <v>0</v>
      </c>
      <c r="AK47" s="385">
        <f t="shared" si="278"/>
        <v>0</v>
      </c>
      <c r="AL47" s="381">
        <f t="shared" si="278"/>
        <v>0</v>
      </c>
      <c r="AM47" s="381">
        <f t="shared" si="278"/>
        <v>0</v>
      </c>
      <c r="AN47" s="381">
        <f t="shared" si="272"/>
        <v>0</v>
      </c>
      <c r="AO47" s="337"/>
      <c r="AP47" s="350">
        <f t="shared" ref="AP47:BW47" si="279">SUM(AP48:AP49)</f>
        <v>84.522205999999997</v>
      </c>
      <c r="AQ47" s="382">
        <f t="shared" si="279"/>
        <v>2.8603730000000001</v>
      </c>
      <c r="AR47" s="382">
        <f t="shared" si="279"/>
        <v>2.8603730000000001</v>
      </c>
      <c r="AS47" s="382">
        <f t="shared" si="279"/>
        <v>32.656832999999999</v>
      </c>
      <c r="AT47" s="382">
        <f t="shared" si="279"/>
        <v>32.656832999999999</v>
      </c>
      <c r="AU47" s="382">
        <f t="shared" ref="AU47:AV47" si="280">SUM(AU48:AU49)</f>
        <v>32.656832999999999</v>
      </c>
      <c r="AV47" s="382">
        <f t="shared" si="280"/>
        <v>49.005000000000003</v>
      </c>
      <c r="AW47" s="382">
        <f t="shared" si="279"/>
        <v>49.005000000000003</v>
      </c>
      <c r="AX47" s="382">
        <f t="shared" ref="AX47" si="281">SUM(AX48:AX49)</f>
        <v>49.010249999999999</v>
      </c>
      <c r="AY47" s="382">
        <f t="shared" si="279"/>
        <v>0</v>
      </c>
      <c r="AZ47" s="383">
        <f t="shared" si="279"/>
        <v>0</v>
      </c>
      <c r="BA47" s="656">
        <f t="shared" si="279"/>
        <v>-2.8603730000000001</v>
      </c>
      <c r="BB47" s="350">
        <f t="shared" si="279"/>
        <v>-2.8603730000000001</v>
      </c>
      <c r="BC47" s="382">
        <f t="shared" si="279"/>
        <v>-32.656832999999999</v>
      </c>
      <c r="BD47" s="387">
        <f t="shared" si="279"/>
        <v>-13.288145999999999</v>
      </c>
      <c r="BE47" s="387">
        <f t="shared" si="279"/>
        <v>-31.464026</v>
      </c>
      <c r="BF47" s="651">
        <f t="shared" si="279"/>
        <v>-32.524462999999997</v>
      </c>
      <c r="BG47" s="360">
        <f t="shared" ref="BG47" si="282">SUM(BG48:BG49)</f>
        <v>-32.656832999999999</v>
      </c>
      <c r="BH47" s="382">
        <f t="shared" si="279"/>
        <v>-49.005000000000003</v>
      </c>
      <c r="BI47" s="387">
        <f t="shared" si="279"/>
        <v>0</v>
      </c>
      <c r="BJ47" s="515">
        <f t="shared" ref="BJ47" si="283">SUM(BJ48:BJ49)</f>
        <v>0</v>
      </c>
      <c r="BK47" s="515">
        <f>SUM(BK48:BK49)</f>
        <v>-13.317109000000002</v>
      </c>
      <c r="BL47" s="515">
        <f>SUM(BL48:BL49)</f>
        <v>-40.409565999999998</v>
      </c>
      <c r="BM47" s="515">
        <f>SUM(BM48:BM49)</f>
        <v>-49.005000000000003</v>
      </c>
      <c r="BN47" s="350">
        <f t="shared" ref="BN47" si="284">SUM(BN48:BN49)</f>
        <v>-49.010249999999999</v>
      </c>
      <c r="BO47" s="382">
        <f t="shared" si="279"/>
        <v>0</v>
      </c>
      <c r="BP47" s="387">
        <f t="shared" ref="BP47:BQ47" si="285">SUM(BP48:BP49)</f>
        <v>0</v>
      </c>
      <c r="BQ47" s="387">
        <f t="shared" si="285"/>
        <v>0</v>
      </c>
      <c r="BR47" s="387">
        <f t="shared" ref="BR47:BT47" si="286">SUM(BR48:BR49)</f>
        <v>0</v>
      </c>
      <c r="BS47" s="383">
        <f t="shared" si="286"/>
        <v>0</v>
      </c>
      <c r="BT47" s="383">
        <f t="shared" si="286"/>
        <v>0</v>
      </c>
      <c r="BU47" s="383">
        <f t="shared" si="279"/>
        <v>0</v>
      </c>
      <c r="BV47" s="350">
        <f t="shared" si="279"/>
        <v>0</v>
      </c>
      <c r="BW47" s="383">
        <f t="shared" si="279"/>
        <v>0</v>
      </c>
      <c r="BX47" s="351"/>
    </row>
    <row r="48" spans="1:76" ht="116.1" hidden="1" customHeight="1" outlineLevel="1" x14ac:dyDescent="0.25">
      <c r="A48" s="677">
        <v>1</v>
      </c>
      <c r="B48" s="701" t="s">
        <v>527</v>
      </c>
      <c r="C48" s="690" t="s">
        <v>527</v>
      </c>
      <c r="D48" s="62" t="s">
        <v>191</v>
      </c>
      <c r="E48" s="463" t="s">
        <v>29</v>
      </c>
      <c r="F48" s="544" t="s">
        <v>528</v>
      </c>
      <c r="G48" s="67" t="s">
        <v>7</v>
      </c>
      <c r="H48" s="306" t="s">
        <v>126</v>
      </c>
      <c r="I48" s="334"/>
      <c r="J48" s="294">
        <f>AQ48/T$8</f>
        <v>1.0048286869546711E-4</v>
      </c>
      <c r="K48" s="52">
        <f>AR48/U$8</f>
        <v>9.351719124996349E-5</v>
      </c>
      <c r="L48" s="52">
        <f>AS48/$V$8</f>
        <v>0</v>
      </c>
      <c r="M48" s="52">
        <f t="shared" ref="M48:O49" si="287">AT48/Y$8</f>
        <v>0</v>
      </c>
      <c r="N48" s="52">
        <f t="shared" si="287"/>
        <v>0</v>
      </c>
      <c r="O48" s="52">
        <f t="shared" si="287"/>
        <v>0</v>
      </c>
      <c r="P48" s="52">
        <f>AW48/AE$8</f>
        <v>0</v>
      </c>
      <c r="Q48" s="52">
        <f>AX48/AF$8</f>
        <v>0</v>
      </c>
      <c r="R48" s="52">
        <f>AY48/AH$8</f>
        <v>0</v>
      </c>
      <c r="S48" s="527">
        <f>AZ48/AN$8</f>
        <v>0</v>
      </c>
      <c r="T48" s="533">
        <f t="shared" ref="T48" si="288">BA48/T$8</f>
        <v>-1.0048286869546711E-4</v>
      </c>
      <c r="U48" s="375">
        <f t="shared" ref="U48" si="289">BB48/U$8</f>
        <v>-9.351719124996349E-5</v>
      </c>
      <c r="V48" s="375">
        <f t="shared" ref="V48" si="290">BC48/V$8</f>
        <v>0</v>
      </c>
      <c r="W48" s="386">
        <f t="shared" ref="W48" si="291">BD48/W$8</f>
        <v>0</v>
      </c>
      <c r="X48" s="386">
        <f t="shared" ref="X48" si="292">BE48/X$8</f>
        <v>0</v>
      </c>
      <c r="Y48" s="386">
        <f>BF48/Y$8</f>
        <v>0</v>
      </c>
      <c r="Z48" s="375">
        <f>BG48/Z$8</f>
        <v>0</v>
      </c>
      <c r="AA48" s="375">
        <f t="shared" ref="AA48" si="293">BH48/AA$8</f>
        <v>0</v>
      </c>
      <c r="AB48" s="386">
        <f t="shared" ref="AB48" si="294">BI48/AB$8</f>
        <v>0</v>
      </c>
      <c r="AC48" s="386">
        <f t="shared" ref="AC48:AF49" si="295">BJ48/AC$8</f>
        <v>0</v>
      </c>
      <c r="AD48" s="386">
        <f t="shared" si="295"/>
        <v>0</v>
      </c>
      <c r="AE48" s="386">
        <f t="shared" si="295"/>
        <v>0</v>
      </c>
      <c r="AF48" s="386">
        <f t="shared" si="295"/>
        <v>0</v>
      </c>
      <c r="AG48" s="375">
        <f>BN48/AG$8</f>
        <v>0</v>
      </c>
      <c r="AH48" s="375">
        <f t="shared" ref="AH48:AK49" si="296">BO48/AH$8</f>
        <v>0</v>
      </c>
      <c r="AI48" s="386">
        <f t="shared" si="296"/>
        <v>0</v>
      </c>
      <c r="AJ48" s="386">
        <f t="shared" si="296"/>
        <v>0</v>
      </c>
      <c r="AK48" s="386">
        <f t="shared" si="296"/>
        <v>0</v>
      </c>
      <c r="AL48" s="377">
        <f t="shared" ref="AL48:AN49" si="297">BS48/AL$8</f>
        <v>0</v>
      </c>
      <c r="AM48" s="377">
        <f t="shared" si="297"/>
        <v>0</v>
      </c>
      <c r="AN48" s="377">
        <f t="shared" si="297"/>
        <v>0</v>
      </c>
      <c r="AO48" s="283"/>
      <c r="AP48" s="295">
        <f>AR48+AU48+AZ48+AW48+AY48</f>
        <v>2.8330139999999999</v>
      </c>
      <c r="AQ48" s="180">
        <f t="shared" ref="AQ48:AS49" si="298">-BA48</f>
        <v>2.8330139999999999</v>
      </c>
      <c r="AR48" s="80">
        <f t="shared" si="298"/>
        <v>2.8330139999999999</v>
      </c>
      <c r="AS48" s="80">
        <f t="shared" si="298"/>
        <v>0</v>
      </c>
      <c r="AT48" s="80">
        <f>-BC48</f>
        <v>0</v>
      </c>
      <c r="AU48" s="80">
        <f>-BG48</f>
        <v>0</v>
      </c>
      <c r="AV48" s="80">
        <f>-BH48</f>
        <v>0</v>
      </c>
      <c r="AW48" s="80">
        <f>-BH48</f>
        <v>0</v>
      </c>
      <c r="AX48" s="80">
        <f>-BN48</f>
        <v>0</v>
      </c>
      <c r="AY48" s="80">
        <f>-BO48</f>
        <v>0</v>
      </c>
      <c r="AZ48" s="432">
        <f>-BU48</f>
        <v>0</v>
      </c>
      <c r="BA48" s="1008">
        <v>-2.8330139999999999</v>
      </c>
      <c r="BB48" s="409">
        <v>-2.8330139999999999</v>
      </c>
      <c r="BC48" s="207">
        <v>0</v>
      </c>
      <c r="BD48" s="389">
        <v>0</v>
      </c>
      <c r="BE48" s="389">
        <v>0</v>
      </c>
      <c r="BF48" s="516">
        <v>0</v>
      </c>
      <c r="BG48" s="207">
        <v>0</v>
      </c>
      <c r="BH48" s="207">
        <v>0</v>
      </c>
      <c r="BI48" s="389">
        <v>0</v>
      </c>
      <c r="BJ48" s="516">
        <v>0</v>
      </c>
      <c r="BK48" s="516">
        <v>0</v>
      </c>
      <c r="BL48" s="516">
        <v>0</v>
      </c>
      <c r="BM48" s="516">
        <v>0</v>
      </c>
      <c r="BN48" s="409">
        <v>0</v>
      </c>
      <c r="BO48" s="207">
        <v>0</v>
      </c>
      <c r="BP48" s="389">
        <v>0</v>
      </c>
      <c r="BQ48" s="389">
        <v>0</v>
      </c>
      <c r="BR48" s="389">
        <v>0</v>
      </c>
      <c r="BS48" s="296">
        <v>0</v>
      </c>
      <c r="BT48" s="296">
        <v>0</v>
      </c>
      <c r="BU48" s="296">
        <v>0</v>
      </c>
      <c r="BV48" s="409">
        <v>0</v>
      </c>
      <c r="BW48" s="296">
        <f>-BV48</f>
        <v>0</v>
      </c>
      <c r="BX48" s="439" t="s">
        <v>635</v>
      </c>
    </row>
    <row r="49" spans="1:77" ht="371.1" hidden="1" customHeight="1" outlineLevel="1" x14ac:dyDescent="0.25">
      <c r="A49" s="677">
        <v>2</v>
      </c>
      <c r="B49" s="701" t="s">
        <v>527</v>
      </c>
      <c r="C49" s="690" t="s">
        <v>527</v>
      </c>
      <c r="D49" s="63" t="s">
        <v>1888</v>
      </c>
      <c r="E49" s="463" t="s">
        <v>29</v>
      </c>
      <c r="F49" s="542" t="s">
        <v>570</v>
      </c>
      <c r="G49" s="67" t="s">
        <v>294</v>
      </c>
      <c r="H49" s="306" t="s">
        <v>126</v>
      </c>
      <c r="I49" s="334"/>
      <c r="J49" s="294">
        <f>AQ49/T$8</f>
        <v>9.703837695963681E-7</v>
      </c>
      <c r="K49" s="52">
        <f>AR49/U$8</f>
        <v>9.0311478708109149E-7</v>
      </c>
      <c r="L49" s="52">
        <f>AS49/$V$8</f>
        <v>9.9953577987267378E-4</v>
      </c>
      <c r="M49" s="52">
        <f t="shared" si="287"/>
        <v>1.0412194512970242E-3</v>
      </c>
      <c r="N49" s="52">
        <f t="shared" si="287"/>
        <v>9.7228898218594442E-4</v>
      </c>
      <c r="O49" s="52">
        <f t="shared" si="287"/>
        <v>1.2425571674676127E-3</v>
      </c>
      <c r="P49" s="52">
        <f>AW49/AE$8</f>
        <v>1.2774017056046952E-3</v>
      </c>
      <c r="Q49" s="52">
        <f>AX49/AF$8</f>
        <v>1.2426902850092758E-3</v>
      </c>
      <c r="R49" s="52">
        <f>AY49/AH$8</f>
        <v>0</v>
      </c>
      <c r="S49" s="527">
        <f>AZ49/AN$8</f>
        <v>0</v>
      </c>
      <c r="T49" s="533">
        <f t="shared" ref="T49" si="299">BA49/T$8</f>
        <v>-9.703837695963681E-7</v>
      </c>
      <c r="U49" s="375">
        <f t="shared" ref="U49" si="300">BB49/U$8</f>
        <v>-9.0311478708109149E-7</v>
      </c>
      <c r="V49" s="375">
        <f t="shared" ref="V49" si="301">BC49/V$8</f>
        <v>-9.9953577987267378E-4</v>
      </c>
      <c r="W49" s="386">
        <f t="shared" ref="W49" si="302">BD49/W$8</f>
        <v>-4.338434212402335E-4</v>
      </c>
      <c r="X49" s="386">
        <f t="shared" ref="X49" si="303">BE49/X$8</f>
        <v>-1.003188395130517E-3</v>
      </c>
      <c r="Y49" s="386">
        <f t="shared" ref="Y49" si="304">BF49/Y$8</f>
        <v>-1.036999010852962E-3</v>
      </c>
      <c r="Z49" s="375">
        <f>BG49/Z$8</f>
        <v>-9.7228898218594442E-4</v>
      </c>
      <c r="AA49" s="375">
        <f t="shared" ref="AA49" si="305">BH49/AA$8</f>
        <v>-1.2425571674676127E-3</v>
      </c>
      <c r="AB49" s="386">
        <f t="shared" ref="AB49" si="306">BI49/AB$8</f>
        <v>0</v>
      </c>
      <c r="AC49" s="386">
        <f t="shared" si="295"/>
        <v>0</v>
      </c>
      <c r="AD49" s="386">
        <f t="shared" si="295"/>
        <v>-3.9142905264496775E-4</v>
      </c>
      <c r="AE49" s="386">
        <f t="shared" si="295"/>
        <v>-1.0533465673124272E-3</v>
      </c>
      <c r="AF49" s="386">
        <f t="shared" si="295"/>
        <v>-1.2425571674676127E-3</v>
      </c>
      <c r="AG49" s="375">
        <f>BN49/AG$8</f>
        <v>-1.2540770409807821E-3</v>
      </c>
      <c r="AH49" s="375">
        <f t="shared" si="296"/>
        <v>0</v>
      </c>
      <c r="AI49" s="386">
        <f t="shared" si="296"/>
        <v>0</v>
      </c>
      <c r="AJ49" s="386">
        <f t="shared" si="296"/>
        <v>0</v>
      </c>
      <c r="AK49" s="386">
        <f t="shared" si="296"/>
        <v>0</v>
      </c>
      <c r="AL49" s="377">
        <f t="shared" si="297"/>
        <v>0</v>
      </c>
      <c r="AM49" s="377">
        <f t="shared" si="297"/>
        <v>0</v>
      </c>
      <c r="AN49" s="377">
        <f t="shared" si="297"/>
        <v>0</v>
      </c>
      <c r="AO49" s="284"/>
      <c r="AP49" s="295">
        <f>AR49+AU49+AZ49+AW49+AY49</f>
        <v>81.689191999999991</v>
      </c>
      <c r="AQ49" s="180">
        <f t="shared" si="298"/>
        <v>2.7359000000000001E-2</v>
      </c>
      <c r="AR49" s="80">
        <f t="shared" si="298"/>
        <v>2.7359000000000001E-2</v>
      </c>
      <c r="AS49" s="80">
        <f t="shared" si="298"/>
        <v>32.656832999999999</v>
      </c>
      <c r="AT49" s="80">
        <f>-BC49</f>
        <v>32.656832999999999</v>
      </c>
      <c r="AU49" s="80">
        <f>-BG49</f>
        <v>32.656832999999999</v>
      </c>
      <c r="AV49" s="80">
        <f>-BH49</f>
        <v>49.005000000000003</v>
      </c>
      <c r="AW49" s="80">
        <f>-BH49</f>
        <v>49.005000000000003</v>
      </c>
      <c r="AX49" s="80">
        <f>-BN49</f>
        <v>49.010249999999999</v>
      </c>
      <c r="AY49" s="80">
        <f>-BO49</f>
        <v>0</v>
      </c>
      <c r="AZ49" s="432">
        <f>-BU49</f>
        <v>0</v>
      </c>
      <c r="BA49" s="657">
        <v>-2.7359000000000001E-2</v>
      </c>
      <c r="BB49" s="327">
        <v>-2.7359000000000001E-2</v>
      </c>
      <c r="BC49" s="207">
        <v>-32.656832999999999</v>
      </c>
      <c r="BD49" s="389">
        <v>-13.288145999999999</v>
      </c>
      <c r="BE49" s="389">
        <v>-31.464026</v>
      </c>
      <c r="BF49" s="516">
        <f>-32.524463</f>
        <v>-32.524462999999997</v>
      </c>
      <c r="BG49" s="207">
        <f>-32.656833</f>
        <v>-32.656832999999999</v>
      </c>
      <c r="BH49" s="1010">
        <v>-49.005000000000003</v>
      </c>
      <c r="BI49" s="389">
        <v>0</v>
      </c>
      <c r="BJ49" s="516">
        <v>0</v>
      </c>
      <c r="BK49" s="729">
        <v>-13.317109000000002</v>
      </c>
      <c r="BL49" s="516">
        <v>-40.409565999999998</v>
      </c>
      <c r="BM49" s="516">
        <v>-49.005000000000003</v>
      </c>
      <c r="BN49" s="713">
        <v>-49.010249999999999</v>
      </c>
      <c r="BO49" s="207">
        <v>0</v>
      </c>
      <c r="BP49" s="389">
        <v>0</v>
      </c>
      <c r="BQ49" s="389">
        <v>0</v>
      </c>
      <c r="BR49" s="389">
        <v>0</v>
      </c>
      <c r="BS49" s="296">
        <v>0</v>
      </c>
      <c r="BT49" s="296">
        <v>0</v>
      </c>
      <c r="BU49" s="296">
        <v>0</v>
      </c>
      <c r="BV49" s="713">
        <v>0</v>
      </c>
      <c r="BW49" s="1011">
        <f>-BV49</f>
        <v>0</v>
      </c>
      <c r="BX49" s="443" t="s">
        <v>1914</v>
      </c>
    </row>
    <row r="50" spans="1:77" ht="18.75" collapsed="1" x14ac:dyDescent="0.25">
      <c r="A50" s="467">
        <v>6</v>
      </c>
      <c r="B50" s="704" t="s">
        <v>2019</v>
      </c>
      <c r="C50" s="689"/>
      <c r="D50" s="348"/>
      <c r="E50" s="460"/>
      <c r="F50" s="540"/>
      <c r="G50" s="400" t="s">
        <v>1730</v>
      </c>
      <c r="H50" s="401" t="s">
        <v>1730</v>
      </c>
      <c r="I50" s="349"/>
      <c r="J50" s="379">
        <f>J51</f>
        <v>0</v>
      </c>
      <c r="K50" s="380">
        <f t="shared" ref="K50:BW50" si="307">K51</f>
        <v>0</v>
      </c>
      <c r="L50" s="380">
        <f t="shared" si="307"/>
        <v>5.6636416503428005E-4</v>
      </c>
      <c r="M50" s="380">
        <f t="shared" si="307"/>
        <v>5.8998326725873758E-4</v>
      </c>
      <c r="N50" s="380">
        <f t="shared" si="307"/>
        <v>4.4772670277902434E-4</v>
      </c>
      <c r="O50" s="380">
        <f t="shared" si="307"/>
        <v>7.6217067158885609E-4</v>
      </c>
      <c r="P50" s="380">
        <f t="shared" si="307"/>
        <v>7.8354392163196599E-4</v>
      </c>
      <c r="Q50" s="380">
        <f t="shared" si="307"/>
        <v>6.0237690704652118E-4</v>
      </c>
      <c r="R50" s="380">
        <f t="shared" si="307"/>
        <v>0</v>
      </c>
      <c r="S50" s="381">
        <f t="shared" si="307"/>
        <v>0</v>
      </c>
      <c r="T50" s="379">
        <f t="shared" si="307"/>
        <v>0</v>
      </c>
      <c r="U50" s="380">
        <f t="shared" si="307"/>
        <v>0</v>
      </c>
      <c r="V50" s="380">
        <f t="shared" si="307"/>
        <v>-5.6636416503428005E-4</v>
      </c>
      <c r="W50" s="385">
        <f t="shared" si="307"/>
        <v>0</v>
      </c>
      <c r="X50" s="385">
        <f t="shared" si="307"/>
        <v>0</v>
      </c>
      <c r="Y50" s="385">
        <f t="shared" si="307"/>
        <v>0</v>
      </c>
      <c r="Z50" s="380">
        <f t="shared" si="307"/>
        <v>-4.4772670277902434E-4</v>
      </c>
      <c r="AA50" s="380">
        <f t="shared" si="307"/>
        <v>-7.6217067158885609E-4</v>
      </c>
      <c r="AB50" s="385">
        <f t="shared" si="307"/>
        <v>0</v>
      </c>
      <c r="AC50" s="385">
        <f t="shared" si="307"/>
        <v>0</v>
      </c>
      <c r="AD50" s="385">
        <f t="shared" si="307"/>
        <v>-8.8352603207740869E-4</v>
      </c>
      <c r="AE50" s="385">
        <f t="shared" si="307"/>
        <v>-6.1912106467566829E-4</v>
      </c>
      <c r="AF50" s="385">
        <f t="shared" si="307"/>
        <v>-6.0223288654430267E-4</v>
      </c>
      <c r="AG50" s="380">
        <f t="shared" si="307"/>
        <v>-6.0789647932140887E-4</v>
      </c>
      <c r="AH50" s="380">
        <f t="shared" si="307"/>
        <v>0</v>
      </c>
      <c r="AI50" s="385">
        <f t="shared" si="307"/>
        <v>0</v>
      </c>
      <c r="AJ50" s="385">
        <f t="shared" si="307"/>
        <v>0</v>
      </c>
      <c r="AK50" s="385">
        <f t="shared" si="307"/>
        <v>0</v>
      </c>
      <c r="AL50" s="381">
        <f t="shared" si="307"/>
        <v>0</v>
      </c>
      <c r="AM50" s="381">
        <f t="shared" si="307"/>
        <v>0</v>
      </c>
      <c r="AN50" s="381">
        <f t="shared" si="307"/>
        <v>0</v>
      </c>
      <c r="AO50" s="337"/>
      <c r="AP50" s="350">
        <f>AP51</f>
        <v>45.097175</v>
      </c>
      <c r="AQ50" s="382">
        <f t="shared" si="307"/>
        <v>0</v>
      </c>
      <c r="AR50" s="382">
        <f t="shared" si="307"/>
        <v>0</v>
      </c>
      <c r="AS50" s="382">
        <f>AS51</f>
        <v>18.504249999999999</v>
      </c>
      <c r="AT50" s="382">
        <f t="shared" si="307"/>
        <v>18.504249999999999</v>
      </c>
      <c r="AU50" s="382">
        <f t="shared" si="307"/>
        <v>15.038055999999999</v>
      </c>
      <c r="AV50" s="382">
        <f t="shared" si="307"/>
        <v>30.059118999999999</v>
      </c>
      <c r="AW50" s="382">
        <f t="shared" si="307"/>
        <v>30.059118999999999</v>
      </c>
      <c r="AX50" s="382">
        <f t="shared" si="307"/>
        <v>23.75704</v>
      </c>
      <c r="AY50" s="382">
        <f t="shared" si="307"/>
        <v>0</v>
      </c>
      <c r="AZ50" s="383">
        <f t="shared" si="307"/>
        <v>0</v>
      </c>
      <c r="BA50" s="656">
        <f t="shared" si="307"/>
        <v>0</v>
      </c>
      <c r="BB50" s="350">
        <f t="shared" si="307"/>
        <v>0</v>
      </c>
      <c r="BC50" s="382">
        <f t="shared" si="307"/>
        <v>-18.504249999999999</v>
      </c>
      <c r="BD50" s="387">
        <f t="shared" si="307"/>
        <v>0</v>
      </c>
      <c r="BE50" s="387">
        <f t="shared" si="307"/>
        <v>0</v>
      </c>
      <c r="BF50" s="651">
        <f t="shared" si="307"/>
        <v>0</v>
      </c>
      <c r="BG50" s="360">
        <f>BG51</f>
        <v>-15.038055999999999</v>
      </c>
      <c r="BH50" s="382">
        <f t="shared" si="307"/>
        <v>-30.059118999999999</v>
      </c>
      <c r="BI50" s="387">
        <f t="shared" si="307"/>
        <v>0</v>
      </c>
      <c r="BJ50" s="515">
        <f t="shared" si="307"/>
        <v>0</v>
      </c>
      <c r="BK50" s="515">
        <f t="shared" si="307"/>
        <v>-30.059118999999999</v>
      </c>
      <c r="BL50" s="515">
        <f t="shared" si="307"/>
        <v>-23.751359999999998</v>
      </c>
      <c r="BM50" s="515">
        <f t="shared" si="307"/>
        <v>-23.751359999999998</v>
      </c>
      <c r="BN50" s="350">
        <f>BN51</f>
        <v>-23.75704</v>
      </c>
      <c r="BO50" s="382">
        <f t="shared" si="307"/>
        <v>0</v>
      </c>
      <c r="BP50" s="387">
        <f t="shared" si="307"/>
        <v>0</v>
      </c>
      <c r="BQ50" s="387">
        <f t="shared" si="307"/>
        <v>0</v>
      </c>
      <c r="BR50" s="387">
        <f t="shared" si="307"/>
        <v>0</v>
      </c>
      <c r="BS50" s="383">
        <f t="shared" si="307"/>
        <v>0</v>
      </c>
      <c r="BT50" s="383">
        <f t="shared" si="307"/>
        <v>0</v>
      </c>
      <c r="BU50" s="383">
        <f t="shared" si="307"/>
        <v>0</v>
      </c>
      <c r="BV50" s="350">
        <f>BV51</f>
        <v>0</v>
      </c>
      <c r="BW50" s="383">
        <f t="shared" si="307"/>
        <v>0</v>
      </c>
      <c r="BX50" s="351"/>
    </row>
    <row r="51" spans="1:77" ht="101.45" hidden="1" customHeight="1" outlineLevel="1" x14ac:dyDescent="0.25">
      <c r="A51" s="677">
        <v>1</v>
      </c>
      <c r="B51" s="701" t="s">
        <v>1718</v>
      </c>
      <c r="C51" s="691" t="s">
        <v>1678</v>
      </c>
      <c r="D51" s="62">
        <v>44490</v>
      </c>
      <c r="E51" s="463" t="s">
        <v>1679</v>
      </c>
      <c r="F51" s="544" t="s">
        <v>1680</v>
      </c>
      <c r="G51" s="69" t="s">
        <v>7</v>
      </c>
      <c r="H51" s="306" t="s">
        <v>126</v>
      </c>
      <c r="I51" s="334"/>
      <c r="J51" s="294">
        <f>AQ51/T$8</f>
        <v>0</v>
      </c>
      <c r="K51" s="52">
        <f>AR51/U$8</f>
        <v>0</v>
      </c>
      <c r="L51" s="52">
        <f>AS51/$V$8</f>
        <v>5.6636416503428005E-4</v>
      </c>
      <c r="M51" s="52">
        <f>AT51/Y$8</f>
        <v>5.8998326725873758E-4</v>
      </c>
      <c r="N51" s="52">
        <f>AU51/Z$8</f>
        <v>4.4772670277902434E-4</v>
      </c>
      <c r="O51" s="52">
        <f>AV51/AA$8</f>
        <v>7.6217067158885609E-4</v>
      </c>
      <c r="P51" s="52">
        <f>AW51/AE$8</f>
        <v>7.8354392163196599E-4</v>
      </c>
      <c r="Q51" s="52">
        <f>AX51/AF$8</f>
        <v>6.0237690704652118E-4</v>
      </c>
      <c r="R51" s="52">
        <f>AY51/AH$8</f>
        <v>0</v>
      </c>
      <c r="S51" s="527">
        <f>AZ51/AN$8</f>
        <v>0</v>
      </c>
      <c r="T51" s="533">
        <f t="shared" ref="T51" si="308">BA51/T$8</f>
        <v>0</v>
      </c>
      <c r="U51" s="375">
        <f t="shared" ref="U51" si="309">BB51/U$8</f>
        <v>0</v>
      </c>
      <c r="V51" s="375">
        <f t="shared" ref="V51" si="310">BC51/V$8</f>
        <v>-5.6636416503428005E-4</v>
      </c>
      <c r="W51" s="386">
        <f t="shared" ref="W51" si="311">BD51/W$8</f>
        <v>0</v>
      </c>
      <c r="X51" s="386">
        <f t="shared" ref="X51" si="312">BE51/X$8</f>
        <v>0</v>
      </c>
      <c r="Y51" s="386">
        <f>BF51/Y$8</f>
        <v>0</v>
      </c>
      <c r="Z51" s="375">
        <f>BG51/Z$8</f>
        <v>-4.4772670277902434E-4</v>
      </c>
      <c r="AA51" s="375">
        <f t="shared" ref="AA51" si="313">BH51/AA$8</f>
        <v>-7.6217067158885609E-4</v>
      </c>
      <c r="AB51" s="386">
        <f t="shared" ref="AB51" si="314">BI51/AB$8</f>
        <v>0</v>
      </c>
      <c r="AC51" s="386">
        <f t="shared" ref="AC51:AN51" si="315">BJ51/AC$8</f>
        <v>0</v>
      </c>
      <c r="AD51" s="386">
        <f t="shared" si="315"/>
        <v>-8.8352603207740869E-4</v>
      </c>
      <c r="AE51" s="386">
        <f t="shared" si="315"/>
        <v>-6.1912106467566829E-4</v>
      </c>
      <c r="AF51" s="386">
        <f t="shared" si="315"/>
        <v>-6.0223288654430267E-4</v>
      </c>
      <c r="AG51" s="375">
        <f t="shared" si="315"/>
        <v>-6.0789647932140887E-4</v>
      </c>
      <c r="AH51" s="375">
        <f t="shared" si="315"/>
        <v>0</v>
      </c>
      <c r="AI51" s="386">
        <f t="shared" si="315"/>
        <v>0</v>
      </c>
      <c r="AJ51" s="386">
        <f t="shared" si="315"/>
        <v>0</v>
      </c>
      <c r="AK51" s="386">
        <f t="shared" si="315"/>
        <v>0</v>
      </c>
      <c r="AL51" s="377">
        <f t="shared" si="315"/>
        <v>0</v>
      </c>
      <c r="AM51" s="377">
        <f t="shared" si="315"/>
        <v>0</v>
      </c>
      <c r="AN51" s="377">
        <f t="shared" si="315"/>
        <v>0</v>
      </c>
      <c r="AO51" s="283"/>
      <c r="AP51" s="295">
        <f>AR51+AU51+AZ51+AW51+AY51</f>
        <v>45.097175</v>
      </c>
      <c r="AQ51" s="180">
        <f>-BA51</f>
        <v>0</v>
      </c>
      <c r="AR51" s="80">
        <f>-BB51</f>
        <v>0</v>
      </c>
      <c r="AS51" s="80">
        <f>-BC51</f>
        <v>18.504249999999999</v>
      </c>
      <c r="AT51" s="80">
        <f>-BC51</f>
        <v>18.504249999999999</v>
      </c>
      <c r="AU51" s="80">
        <f>-BG51</f>
        <v>15.038055999999999</v>
      </c>
      <c r="AV51" s="80">
        <f>-BH51</f>
        <v>30.059118999999999</v>
      </c>
      <c r="AW51" s="80">
        <f>-BH51</f>
        <v>30.059118999999999</v>
      </c>
      <c r="AX51" s="80">
        <f>-BN51</f>
        <v>23.75704</v>
      </c>
      <c r="AY51" s="80">
        <f t="shared" ref="AY51" si="316">-BO51</f>
        <v>0</v>
      </c>
      <c r="AZ51" s="432">
        <f t="shared" ref="AZ51" si="317">-BU51</f>
        <v>0</v>
      </c>
      <c r="BA51" s="1008">
        <v>0</v>
      </c>
      <c r="BB51" s="409">
        <v>0</v>
      </c>
      <c r="BC51" s="207">
        <f>-18.50425</f>
        <v>-18.504249999999999</v>
      </c>
      <c r="BD51" s="389">
        <v>0</v>
      </c>
      <c r="BE51" s="389">
        <v>0</v>
      </c>
      <c r="BF51" s="516">
        <v>0</v>
      </c>
      <c r="BG51" s="207">
        <f>-15.038056</f>
        <v>-15.038055999999999</v>
      </c>
      <c r="BH51" s="207">
        <f>-30.059119</f>
        <v>-30.059118999999999</v>
      </c>
      <c r="BI51" s="389">
        <v>0</v>
      </c>
      <c r="BJ51" s="516">
        <v>0</v>
      </c>
      <c r="BK51" s="516">
        <v>-30.059118999999999</v>
      </c>
      <c r="BL51" s="516">
        <v>-23.751359999999998</v>
      </c>
      <c r="BM51" s="516">
        <v>-23.751359999999998</v>
      </c>
      <c r="BN51" s="713">
        <v>-23.75704</v>
      </c>
      <c r="BO51" s="207">
        <v>0</v>
      </c>
      <c r="BP51" s="389">
        <v>0</v>
      </c>
      <c r="BQ51" s="389">
        <v>0</v>
      </c>
      <c r="BR51" s="389">
        <v>0</v>
      </c>
      <c r="BS51" s="296">
        <v>0</v>
      </c>
      <c r="BT51" s="296">
        <v>0</v>
      </c>
      <c r="BU51" s="296">
        <v>0</v>
      </c>
      <c r="BV51" s="713">
        <v>0</v>
      </c>
      <c r="BW51" s="296">
        <f>-BV51</f>
        <v>0</v>
      </c>
      <c r="BX51" s="439" t="s">
        <v>2139</v>
      </c>
    </row>
    <row r="52" spans="1:77" ht="18.75" collapsed="1" x14ac:dyDescent="0.25">
      <c r="A52" s="467">
        <v>7</v>
      </c>
      <c r="B52" s="704" t="s">
        <v>1719</v>
      </c>
      <c r="C52" s="689"/>
      <c r="D52" s="348"/>
      <c r="E52" s="460"/>
      <c r="F52" s="540"/>
      <c r="G52" s="400" t="s">
        <v>1730</v>
      </c>
      <c r="H52" s="401" t="s">
        <v>1730</v>
      </c>
      <c r="I52" s="349"/>
      <c r="J52" s="379">
        <f>SUM(J53:J55)</f>
        <v>3.7260275235865789E-4</v>
      </c>
      <c r="K52" s="380">
        <f t="shared" ref="K52:BW52" si="318">SUM(K53:K55)</f>
        <v>2.0529117191183946E-6</v>
      </c>
      <c r="L52" s="380">
        <f t="shared" si="318"/>
        <v>1.5152087414299707E-4</v>
      </c>
      <c r="M52" s="380">
        <f t="shared" si="318"/>
        <v>1.5783975382583504E-4</v>
      </c>
      <c r="N52" s="380">
        <f t="shared" ref="N52:O52" si="319">SUM(N53:N55)</f>
        <v>8.5542247626719397E-5</v>
      </c>
      <c r="O52" s="380">
        <f t="shared" si="319"/>
        <v>6.6907412012144942E-6</v>
      </c>
      <c r="P52" s="380">
        <f t="shared" ref="P52:Q52" si="320">SUM(P53:P55)</f>
        <v>6.8783670047227616E-6</v>
      </c>
      <c r="Q52" s="380">
        <f t="shared" si="320"/>
        <v>0</v>
      </c>
      <c r="R52" s="380">
        <f t="shared" si="318"/>
        <v>0</v>
      </c>
      <c r="S52" s="381">
        <f t="shared" si="318"/>
        <v>0</v>
      </c>
      <c r="T52" s="379">
        <f t="shared" si="318"/>
        <v>-3.7260275235865789E-4</v>
      </c>
      <c r="U52" s="380">
        <f t="shared" si="318"/>
        <v>-2.0529117191183946E-6</v>
      </c>
      <c r="V52" s="380">
        <f t="shared" si="318"/>
        <v>-1.5152087414299707E-4</v>
      </c>
      <c r="W52" s="385">
        <f t="shared" si="318"/>
        <v>-3.6824050648809602E-4</v>
      </c>
      <c r="X52" s="385">
        <f t="shared" si="318"/>
        <v>-4.6956383803858784E-4</v>
      </c>
      <c r="Y52" s="385">
        <f>SUM(Y53:Y55)</f>
        <v>-9.1221614296111821E-5</v>
      </c>
      <c r="Z52" s="380">
        <f>SUM(Z53:Z55)</f>
        <v>-8.5542247626719397E-5</v>
      </c>
      <c r="AA52" s="380">
        <f t="shared" si="318"/>
        <v>-6.6907412012144942E-6</v>
      </c>
      <c r="AB52" s="385">
        <f t="shared" si="318"/>
        <v>0</v>
      </c>
      <c r="AC52" s="385">
        <f t="shared" ref="AC52:AD52" si="321">SUM(AC53:AC55)</f>
        <v>0</v>
      </c>
      <c r="AD52" s="385">
        <f t="shared" si="321"/>
        <v>-7.7560633668081317E-6</v>
      </c>
      <c r="AE52" s="385">
        <f t="shared" si="318"/>
        <v>0</v>
      </c>
      <c r="AF52" s="385">
        <f t="shared" ref="AF52:AG52" si="322">SUM(AF53:AF55)</f>
        <v>0</v>
      </c>
      <c r="AG52" s="380">
        <f t="shared" si="322"/>
        <v>0</v>
      </c>
      <c r="AH52" s="380">
        <f t="shared" ref="AH52:AI52" si="323">SUM(AH53:AH55)</f>
        <v>0</v>
      </c>
      <c r="AI52" s="385">
        <f t="shared" si="323"/>
        <v>0</v>
      </c>
      <c r="AJ52" s="385">
        <f t="shared" ref="AJ52:AM52" si="324">SUM(AJ53:AJ55)</f>
        <v>0</v>
      </c>
      <c r="AK52" s="385">
        <f t="shared" si="324"/>
        <v>0</v>
      </c>
      <c r="AL52" s="381">
        <f t="shared" si="324"/>
        <v>0</v>
      </c>
      <c r="AM52" s="381">
        <f t="shared" si="324"/>
        <v>0</v>
      </c>
      <c r="AN52" s="381">
        <f t="shared" si="318"/>
        <v>0</v>
      </c>
      <c r="AO52" s="337"/>
      <c r="AP52" s="350">
        <f t="shared" si="318"/>
        <v>3.1992229999999999</v>
      </c>
      <c r="AQ52" s="382">
        <f t="shared" si="318"/>
        <v>10.505162</v>
      </c>
      <c r="AR52" s="382">
        <f t="shared" si="318"/>
        <v>6.2191000000000003E-2</v>
      </c>
      <c r="AS52" s="382">
        <f t="shared" si="318"/>
        <v>4.9504900000000003</v>
      </c>
      <c r="AT52" s="382">
        <f t="shared" si="318"/>
        <v>4.9504900000000003</v>
      </c>
      <c r="AU52" s="382">
        <f t="shared" ref="AU52:AV52" si="325">SUM(AU53:AU55)</f>
        <v>2.873157</v>
      </c>
      <c r="AV52" s="382">
        <f t="shared" si="325"/>
        <v>0.26387500000000003</v>
      </c>
      <c r="AW52" s="382">
        <f t="shared" si="318"/>
        <v>0.26387500000000003</v>
      </c>
      <c r="AX52" s="382">
        <f t="shared" ref="AX52" si="326">SUM(AX53:AX55)</f>
        <v>0</v>
      </c>
      <c r="AY52" s="382">
        <f t="shared" si="318"/>
        <v>0</v>
      </c>
      <c r="AZ52" s="383">
        <f t="shared" si="318"/>
        <v>0</v>
      </c>
      <c r="BA52" s="656">
        <f t="shared" si="318"/>
        <v>-10.505162</v>
      </c>
      <c r="BB52" s="350">
        <f t="shared" si="318"/>
        <v>-6.2191000000000003E-2</v>
      </c>
      <c r="BC52" s="382">
        <f t="shared" si="318"/>
        <v>-4.9504900000000003</v>
      </c>
      <c r="BD52" s="387">
        <f t="shared" si="318"/>
        <v>-11.278801</v>
      </c>
      <c r="BE52" s="387">
        <f t="shared" si="318"/>
        <v>-14.727411999999999</v>
      </c>
      <c r="BF52" s="651">
        <f t="shared" si="318"/>
        <v>-2.8610769999999999</v>
      </c>
      <c r="BG52" s="360">
        <f t="shared" ref="BG52" si="327">SUM(BG53:BG55)</f>
        <v>-2.873157</v>
      </c>
      <c r="BH52" s="382">
        <f t="shared" si="318"/>
        <v>-0.26387500000000003</v>
      </c>
      <c r="BI52" s="387">
        <f t="shared" si="318"/>
        <v>0</v>
      </c>
      <c r="BJ52" s="515">
        <f t="shared" ref="BJ52" si="328">SUM(BJ53:BJ55)</f>
        <v>0</v>
      </c>
      <c r="BK52" s="515">
        <f t="shared" si="318"/>
        <v>-0.26387500000000003</v>
      </c>
      <c r="BL52" s="515">
        <f t="shared" ref="BL52:BN52" si="329">SUM(BL53:BL55)</f>
        <v>0</v>
      </c>
      <c r="BM52" s="515">
        <f t="shared" si="329"/>
        <v>0</v>
      </c>
      <c r="BN52" s="350">
        <f t="shared" si="329"/>
        <v>0</v>
      </c>
      <c r="BO52" s="382">
        <f t="shared" si="318"/>
        <v>0</v>
      </c>
      <c r="BP52" s="387">
        <f t="shared" ref="BP52:BQ52" si="330">SUM(BP53:BP55)</f>
        <v>0</v>
      </c>
      <c r="BQ52" s="387">
        <f t="shared" si="330"/>
        <v>0</v>
      </c>
      <c r="BR52" s="387">
        <f t="shared" ref="BR52:BT52" si="331">SUM(BR53:BR55)</f>
        <v>0</v>
      </c>
      <c r="BS52" s="383">
        <f t="shared" si="331"/>
        <v>0</v>
      </c>
      <c r="BT52" s="383">
        <f t="shared" si="331"/>
        <v>0</v>
      </c>
      <c r="BU52" s="383">
        <f t="shared" si="318"/>
        <v>0</v>
      </c>
      <c r="BV52" s="350">
        <f t="shared" si="318"/>
        <v>0</v>
      </c>
      <c r="BW52" s="383">
        <f t="shared" si="318"/>
        <v>0</v>
      </c>
      <c r="BX52" s="351"/>
    </row>
    <row r="53" spans="1:77" ht="43.5" hidden="1" customHeight="1" outlineLevel="1" x14ac:dyDescent="0.25">
      <c r="A53" s="677">
        <v>1</v>
      </c>
      <c r="B53" s="701" t="s">
        <v>1719</v>
      </c>
      <c r="C53" s="692" t="s">
        <v>541</v>
      </c>
      <c r="D53" s="1186" t="s">
        <v>1805</v>
      </c>
      <c r="E53" s="463" t="s">
        <v>626</v>
      </c>
      <c r="F53" s="1185" t="s">
        <v>511</v>
      </c>
      <c r="G53" s="67" t="s">
        <v>294</v>
      </c>
      <c r="H53" s="313" t="s">
        <v>126</v>
      </c>
      <c r="I53" s="1204"/>
      <c r="J53" s="1199">
        <f>AQ53/T$8</f>
        <v>3.7260275235865789E-4</v>
      </c>
      <c r="K53" s="1201">
        <f>AR53/U$8</f>
        <v>2.0529117191183946E-6</v>
      </c>
      <c r="L53" s="1201">
        <f>AS53/$V$8</f>
        <v>1.5152087414299707E-4</v>
      </c>
      <c r="M53" s="1201">
        <f>AT53/Y$8</f>
        <v>1.5783975382583504E-4</v>
      </c>
      <c r="N53" s="1201">
        <f>AU53/Z$8</f>
        <v>8.5542247626719397E-5</v>
      </c>
      <c r="O53" s="1201">
        <f>AV53/AA$8</f>
        <v>0</v>
      </c>
      <c r="P53" s="1201">
        <f>AW53/AE$8</f>
        <v>0</v>
      </c>
      <c r="Q53" s="1201">
        <f>AX53/AF$8</f>
        <v>0</v>
      </c>
      <c r="R53" s="1201">
        <f>AY53/AH$8</f>
        <v>0</v>
      </c>
      <c r="S53" s="1210">
        <f>AZ53/AN$8</f>
        <v>0</v>
      </c>
      <c r="T53" s="1296">
        <f t="shared" ref="T53:AF53" si="332">BA53/T$8</f>
        <v>-3.7260275235865789E-4</v>
      </c>
      <c r="U53" s="1220">
        <f t="shared" si="332"/>
        <v>-2.0529117191183946E-6</v>
      </c>
      <c r="V53" s="1197">
        <f t="shared" si="332"/>
        <v>-1.5152087414299707E-4</v>
      </c>
      <c r="W53" s="1195">
        <f t="shared" si="332"/>
        <v>-3.6824050648809602E-4</v>
      </c>
      <c r="X53" s="1195">
        <f t="shared" si="332"/>
        <v>-4.6956383803858784E-4</v>
      </c>
      <c r="Y53" s="1195">
        <f t="shared" si="332"/>
        <v>-9.1221614296111821E-5</v>
      </c>
      <c r="Z53" s="1197">
        <f t="shared" si="332"/>
        <v>-8.5542247626719397E-5</v>
      </c>
      <c r="AA53" s="1197">
        <f t="shared" si="332"/>
        <v>0</v>
      </c>
      <c r="AB53" s="1195">
        <f t="shared" si="332"/>
        <v>0</v>
      </c>
      <c r="AC53" s="1195">
        <f t="shared" si="332"/>
        <v>0</v>
      </c>
      <c r="AD53" s="1195">
        <f t="shared" si="332"/>
        <v>0</v>
      </c>
      <c r="AE53" s="1195">
        <f t="shared" si="332"/>
        <v>0</v>
      </c>
      <c r="AF53" s="1195">
        <f t="shared" si="332"/>
        <v>0</v>
      </c>
      <c r="AG53" s="1197">
        <f t="shared" ref="AG53:AN53" si="333">BN53/AG$8</f>
        <v>0</v>
      </c>
      <c r="AH53" s="1197">
        <f t="shared" si="333"/>
        <v>0</v>
      </c>
      <c r="AI53" s="1195">
        <f t="shared" si="333"/>
        <v>0</v>
      </c>
      <c r="AJ53" s="1195">
        <f t="shared" si="333"/>
        <v>0</v>
      </c>
      <c r="AK53" s="1195">
        <f t="shared" si="333"/>
        <v>0</v>
      </c>
      <c r="AL53" s="1291">
        <f t="shared" si="333"/>
        <v>0</v>
      </c>
      <c r="AM53" s="1291">
        <f t="shared" si="333"/>
        <v>0</v>
      </c>
      <c r="AN53" s="1291">
        <f t="shared" si="333"/>
        <v>0</v>
      </c>
      <c r="AO53" s="284"/>
      <c r="AP53" s="1231">
        <f>AR53+AU53+AZ53+AW53+AY53</f>
        <v>2.9353479999999998</v>
      </c>
      <c r="AQ53" s="1162">
        <f t="shared" ref="AQ53:AS53" si="334">-BA53</f>
        <v>10.505162</v>
      </c>
      <c r="AR53" s="1165">
        <f t="shared" si="334"/>
        <v>6.2191000000000003E-2</v>
      </c>
      <c r="AS53" s="1165">
        <f t="shared" si="334"/>
        <v>4.9504900000000003</v>
      </c>
      <c r="AT53" s="1165">
        <f>-BC53</f>
        <v>4.9504900000000003</v>
      </c>
      <c r="AU53" s="1165">
        <f>-BG53</f>
        <v>2.873157</v>
      </c>
      <c r="AV53" s="1165">
        <f>-BH53</f>
        <v>0</v>
      </c>
      <c r="AW53" s="1165">
        <f>-BH53</f>
        <v>0</v>
      </c>
      <c r="AX53" s="1165">
        <f>-BN53</f>
        <v>0</v>
      </c>
      <c r="AY53" s="1165">
        <f t="shared" ref="AY53" si="335">-BO53</f>
        <v>0</v>
      </c>
      <c r="AZ53" s="1218">
        <f>-BU53</f>
        <v>0</v>
      </c>
      <c r="BA53" s="1306">
        <v>-10.505162</v>
      </c>
      <c r="BB53" s="1238">
        <v>-6.2191000000000003E-2</v>
      </c>
      <c r="BC53" s="1314">
        <f>-14.727412+1.359198+8.417724</f>
        <v>-4.9504900000000003</v>
      </c>
      <c r="BD53" s="1242">
        <v>-11.278801</v>
      </c>
      <c r="BE53" s="1242">
        <v>-14.727411999999999</v>
      </c>
      <c r="BF53" s="1172">
        <f>-2.861077</f>
        <v>-2.8610769999999999</v>
      </c>
      <c r="BG53" s="1171">
        <f>-2.873157</f>
        <v>-2.873157</v>
      </c>
      <c r="BH53" s="1169">
        <v>0</v>
      </c>
      <c r="BI53" s="1242">
        <v>0</v>
      </c>
      <c r="BJ53" s="1159">
        <v>0</v>
      </c>
      <c r="BK53" s="1159">
        <v>0</v>
      </c>
      <c r="BL53" s="1159">
        <v>0</v>
      </c>
      <c r="BM53" s="1159">
        <v>0</v>
      </c>
      <c r="BN53" s="1154">
        <v>0</v>
      </c>
      <c r="BO53" s="1169">
        <v>0</v>
      </c>
      <c r="BP53" s="1242">
        <v>0</v>
      </c>
      <c r="BQ53" s="1242">
        <v>0</v>
      </c>
      <c r="BR53" s="1242">
        <v>0</v>
      </c>
      <c r="BS53" s="1269">
        <v>0</v>
      </c>
      <c r="BT53" s="1269">
        <v>0</v>
      </c>
      <c r="BU53" s="1269">
        <v>0</v>
      </c>
      <c r="BV53" s="1154">
        <v>0</v>
      </c>
      <c r="BW53" s="1271">
        <f>-BV53</f>
        <v>0</v>
      </c>
      <c r="BX53" s="1274" t="s">
        <v>1804</v>
      </c>
    </row>
    <row r="54" spans="1:77" ht="135" hidden="1" customHeight="1" outlineLevel="1" x14ac:dyDescent="0.25">
      <c r="A54" s="677">
        <v>2</v>
      </c>
      <c r="B54" s="701" t="s">
        <v>1719</v>
      </c>
      <c r="C54" s="692" t="s">
        <v>541</v>
      </c>
      <c r="D54" s="1186"/>
      <c r="E54" s="463" t="s">
        <v>1432</v>
      </c>
      <c r="F54" s="1185"/>
      <c r="G54" s="67" t="s">
        <v>294</v>
      </c>
      <c r="H54" s="313" t="s">
        <v>126</v>
      </c>
      <c r="I54" s="1204"/>
      <c r="J54" s="1200"/>
      <c r="K54" s="1202"/>
      <c r="L54" s="1202"/>
      <c r="M54" s="1202"/>
      <c r="N54" s="1202"/>
      <c r="O54" s="1202"/>
      <c r="P54" s="1202"/>
      <c r="Q54" s="1202"/>
      <c r="R54" s="1202"/>
      <c r="S54" s="1211"/>
      <c r="T54" s="1297"/>
      <c r="U54" s="1221"/>
      <c r="V54" s="1198"/>
      <c r="W54" s="1196"/>
      <c r="X54" s="1196"/>
      <c r="Y54" s="1196"/>
      <c r="Z54" s="1198"/>
      <c r="AA54" s="1198"/>
      <c r="AB54" s="1196"/>
      <c r="AC54" s="1196"/>
      <c r="AD54" s="1196"/>
      <c r="AE54" s="1196"/>
      <c r="AF54" s="1196"/>
      <c r="AG54" s="1198"/>
      <c r="AH54" s="1198"/>
      <c r="AI54" s="1196"/>
      <c r="AJ54" s="1196"/>
      <c r="AK54" s="1196"/>
      <c r="AL54" s="1292"/>
      <c r="AM54" s="1292"/>
      <c r="AN54" s="1292"/>
      <c r="AO54" s="284"/>
      <c r="AP54" s="1232"/>
      <c r="AQ54" s="1164"/>
      <c r="AR54" s="1166"/>
      <c r="AS54" s="1166"/>
      <c r="AT54" s="1166"/>
      <c r="AU54" s="1166"/>
      <c r="AV54" s="1166"/>
      <c r="AW54" s="1166"/>
      <c r="AX54" s="1166"/>
      <c r="AY54" s="1166"/>
      <c r="AZ54" s="1219"/>
      <c r="BA54" s="1308"/>
      <c r="BB54" s="1239"/>
      <c r="BC54" s="1315"/>
      <c r="BD54" s="1243"/>
      <c r="BE54" s="1243"/>
      <c r="BF54" s="1172"/>
      <c r="BG54" s="1171"/>
      <c r="BH54" s="1170"/>
      <c r="BI54" s="1243"/>
      <c r="BJ54" s="1167"/>
      <c r="BK54" s="1167"/>
      <c r="BL54" s="1167"/>
      <c r="BM54" s="1167"/>
      <c r="BN54" s="1156"/>
      <c r="BO54" s="1170"/>
      <c r="BP54" s="1243"/>
      <c r="BQ54" s="1243"/>
      <c r="BR54" s="1243"/>
      <c r="BS54" s="1270"/>
      <c r="BT54" s="1270"/>
      <c r="BU54" s="1270"/>
      <c r="BV54" s="1156"/>
      <c r="BW54" s="1272"/>
      <c r="BX54" s="1275"/>
      <c r="BY54" s="22"/>
    </row>
    <row r="55" spans="1:77" ht="72.599999999999994" hidden="1" customHeight="1" outlineLevel="1" x14ac:dyDescent="0.25">
      <c r="A55" s="677">
        <v>3</v>
      </c>
      <c r="B55" s="701" t="s">
        <v>1719</v>
      </c>
      <c r="C55" s="692" t="s">
        <v>541</v>
      </c>
      <c r="D55" s="647">
        <v>44537</v>
      </c>
      <c r="E55" s="463"/>
      <c r="F55" s="559"/>
      <c r="G55" s="67" t="s">
        <v>294</v>
      </c>
      <c r="H55" s="313" t="s">
        <v>1912</v>
      </c>
      <c r="I55" s="335"/>
      <c r="J55" s="294">
        <f t="shared" ref="J55" si="336">AQ55/T$8</f>
        <v>0</v>
      </c>
      <c r="K55" s="52">
        <f t="shared" ref="K55" si="337">AR55/U$8</f>
        <v>0</v>
      </c>
      <c r="L55" s="52">
        <f>AS55/$V$8</f>
        <v>0</v>
      </c>
      <c r="M55" s="52">
        <f>AT55/Y$8</f>
        <v>0</v>
      </c>
      <c r="N55" s="52">
        <f>AU55/Z$8</f>
        <v>0</v>
      </c>
      <c r="O55" s="52">
        <f>AV55/AA$8</f>
        <v>6.6907412012144942E-6</v>
      </c>
      <c r="P55" s="52">
        <f>AW55/AE$8</f>
        <v>6.8783670047227616E-6</v>
      </c>
      <c r="Q55" s="52">
        <f>AX55/AF$8</f>
        <v>0</v>
      </c>
      <c r="R55" s="52">
        <f>AY55/AH$8</f>
        <v>0</v>
      </c>
      <c r="S55" s="527">
        <f>AZ55/AN$8</f>
        <v>0</v>
      </c>
      <c r="T55" s="533">
        <f t="shared" ref="T55" si="338">BA55/T$8</f>
        <v>0</v>
      </c>
      <c r="U55" s="375">
        <f t="shared" ref="U55" si="339">BB55/U$8</f>
        <v>0</v>
      </c>
      <c r="V55" s="375">
        <f t="shared" ref="V55" si="340">BC55/V$8</f>
        <v>0</v>
      </c>
      <c r="W55" s="386">
        <f t="shared" ref="W55" si="341">BD55/W$8</f>
        <v>0</v>
      </c>
      <c r="X55" s="386">
        <f t="shared" ref="X55" si="342">BE55/X$8</f>
        <v>0</v>
      </c>
      <c r="Y55" s="386">
        <f>BF55/Y$8</f>
        <v>0</v>
      </c>
      <c r="Z55" s="375">
        <f>BG55/Z$8</f>
        <v>0</v>
      </c>
      <c r="AA55" s="375">
        <f t="shared" ref="AA55" si="343">BH55/AA$8</f>
        <v>-6.6907412012144942E-6</v>
      </c>
      <c r="AB55" s="386">
        <f t="shared" ref="AB55" si="344">BI55/AB$8</f>
        <v>0</v>
      </c>
      <c r="AC55" s="386">
        <f t="shared" ref="AC55:AN55" si="345">BJ55/AC$8</f>
        <v>0</v>
      </c>
      <c r="AD55" s="386">
        <f t="shared" si="345"/>
        <v>-7.7560633668081317E-6</v>
      </c>
      <c r="AE55" s="386">
        <f t="shared" si="345"/>
        <v>0</v>
      </c>
      <c r="AF55" s="386">
        <f t="shared" si="345"/>
        <v>0</v>
      </c>
      <c r="AG55" s="375">
        <f t="shared" si="345"/>
        <v>0</v>
      </c>
      <c r="AH55" s="375">
        <f t="shared" si="345"/>
        <v>0</v>
      </c>
      <c r="AI55" s="386">
        <f t="shared" si="345"/>
        <v>0</v>
      </c>
      <c r="AJ55" s="386">
        <f t="shared" si="345"/>
        <v>0</v>
      </c>
      <c r="AK55" s="386">
        <f t="shared" si="345"/>
        <v>0</v>
      </c>
      <c r="AL55" s="377">
        <f t="shared" si="345"/>
        <v>0</v>
      </c>
      <c r="AM55" s="377">
        <f t="shared" si="345"/>
        <v>0</v>
      </c>
      <c r="AN55" s="377">
        <f t="shared" si="345"/>
        <v>0</v>
      </c>
      <c r="AO55" s="283"/>
      <c r="AP55" s="295">
        <f>AR55+AU55+AZ55+AW55+AY55</f>
        <v>0.26387500000000003</v>
      </c>
      <c r="AQ55" s="180">
        <f t="shared" ref="AQ55" si="346">-BA55</f>
        <v>0</v>
      </c>
      <c r="AR55" s="80">
        <f t="shared" ref="AR55" si="347">-BB55</f>
        <v>0</v>
      </c>
      <c r="AS55" s="80">
        <f t="shared" ref="AS55" si="348">-BC55</f>
        <v>0</v>
      </c>
      <c r="AT55" s="80">
        <f>-BC55</f>
        <v>0</v>
      </c>
      <c r="AU55" s="80">
        <f>-BG55</f>
        <v>0</v>
      </c>
      <c r="AV55" s="80">
        <f>-BH55</f>
        <v>0.26387500000000003</v>
      </c>
      <c r="AW55" s="80">
        <f>-BH55</f>
        <v>0.26387500000000003</v>
      </c>
      <c r="AX55" s="80">
        <f>-BN55</f>
        <v>0</v>
      </c>
      <c r="AY55" s="80">
        <f>-BO55</f>
        <v>0</v>
      </c>
      <c r="AZ55" s="432">
        <f>-BU55</f>
        <v>0</v>
      </c>
      <c r="BA55" s="1008">
        <v>0</v>
      </c>
      <c r="BB55" s="409">
        <v>0</v>
      </c>
      <c r="BC55" s="207">
        <v>0</v>
      </c>
      <c r="BD55" s="389">
        <v>0</v>
      </c>
      <c r="BE55" s="389">
        <v>0</v>
      </c>
      <c r="BF55" s="516">
        <v>0</v>
      </c>
      <c r="BG55" s="207">
        <v>0</v>
      </c>
      <c r="BH55" s="207">
        <v>-0.26387500000000003</v>
      </c>
      <c r="BI55" s="389">
        <v>0</v>
      </c>
      <c r="BJ55" s="516">
        <v>0</v>
      </c>
      <c r="BK55" s="516">
        <v>-0.26387500000000003</v>
      </c>
      <c r="BL55" s="516">
        <v>0</v>
      </c>
      <c r="BM55" s="516">
        <v>0</v>
      </c>
      <c r="BN55" s="409">
        <v>0</v>
      </c>
      <c r="BO55" s="207">
        <v>0</v>
      </c>
      <c r="BP55" s="389">
        <v>0</v>
      </c>
      <c r="BQ55" s="389">
        <v>0</v>
      </c>
      <c r="BR55" s="389">
        <v>0</v>
      </c>
      <c r="BS55" s="296">
        <v>0</v>
      </c>
      <c r="BT55" s="296">
        <v>0</v>
      </c>
      <c r="BU55" s="296">
        <v>0</v>
      </c>
      <c r="BV55" s="409">
        <v>0</v>
      </c>
      <c r="BW55" s="296">
        <f>-BV55</f>
        <v>0</v>
      </c>
      <c r="BX55" s="646" t="s">
        <v>1913</v>
      </c>
      <c r="BY55" s="22"/>
    </row>
    <row r="56" spans="1:77" ht="18.75" collapsed="1" x14ac:dyDescent="0.25">
      <c r="A56" s="467">
        <v>8</v>
      </c>
      <c r="B56" s="704" t="s">
        <v>152</v>
      </c>
      <c r="C56" s="689"/>
      <c r="D56" s="348"/>
      <c r="E56" s="460"/>
      <c r="F56" s="540"/>
      <c r="G56" s="400" t="s">
        <v>1730</v>
      </c>
      <c r="H56" s="401" t="s">
        <v>1730</v>
      </c>
      <c r="I56" s="349"/>
      <c r="J56" s="379">
        <f>J57</f>
        <v>1.8030336241753564E-4</v>
      </c>
      <c r="K56" s="380">
        <f t="shared" ref="K56" si="349">K57</f>
        <v>1.7018087218131486E-4</v>
      </c>
      <c r="L56" s="380">
        <f t="shared" ref="L56:N56" si="350">L57</f>
        <v>4.0232660994123413E-4</v>
      </c>
      <c r="M56" s="380">
        <f t="shared" ref="M56" si="351">M57</f>
        <v>4.1910484895154703E-4</v>
      </c>
      <c r="N56" s="380">
        <f t="shared" si="350"/>
        <v>3.2220211525218893E-4</v>
      </c>
      <c r="O56" s="380">
        <f t="shared" ref="O56:Q56" si="352">O57</f>
        <v>0</v>
      </c>
      <c r="P56" s="380">
        <f t="shared" si="352"/>
        <v>0</v>
      </c>
      <c r="Q56" s="380">
        <f t="shared" si="352"/>
        <v>0</v>
      </c>
      <c r="R56" s="380">
        <f t="shared" ref="R56" si="353">R57</f>
        <v>0</v>
      </c>
      <c r="S56" s="381">
        <f t="shared" ref="S56" si="354">S57</f>
        <v>0</v>
      </c>
      <c r="T56" s="379">
        <f t="shared" ref="T56" si="355">T57</f>
        <v>-1.8030336241753564E-4</v>
      </c>
      <c r="U56" s="380">
        <f t="shared" ref="U56" si="356">U57</f>
        <v>-1.7018087218131486E-4</v>
      </c>
      <c r="V56" s="380">
        <f t="shared" ref="V56" si="357">V57</f>
        <v>-4.0232660994123413E-4</v>
      </c>
      <c r="W56" s="385">
        <f t="shared" ref="W56" si="358">W57</f>
        <v>-3.494229507425885E-4</v>
      </c>
      <c r="X56" s="385">
        <f t="shared" ref="X56" si="359">X57</f>
        <v>-4.7283522937591936E-4</v>
      </c>
      <c r="Y56" s="385">
        <f t="shared" ref="Y56" si="360">Y57</f>
        <v>-3.450066427120011E-4</v>
      </c>
      <c r="Z56" s="380">
        <f>Z57</f>
        <v>-3.2220211525218893E-4</v>
      </c>
      <c r="AA56" s="380">
        <f t="shared" ref="AA56" si="361">AA57</f>
        <v>0</v>
      </c>
      <c r="AB56" s="385">
        <f t="shared" ref="AB56" si="362">AB57</f>
        <v>0</v>
      </c>
      <c r="AC56" s="385">
        <f t="shared" ref="AC56:AK56" si="363">AC57</f>
        <v>0</v>
      </c>
      <c r="AD56" s="385">
        <f t="shared" si="363"/>
        <v>0</v>
      </c>
      <c r="AE56" s="385">
        <f t="shared" si="363"/>
        <v>0</v>
      </c>
      <c r="AF56" s="385">
        <f t="shared" si="363"/>
        <v>0</v>
      </c>
      <c r="AG56" s="380">
        <f t="shared" si="363"/>
        <v>0</v>
      </c>
      <c r="AH56" s="380">
        <f t="shared" ref="AH56" si="364">AH57</f>
        <v>0</v>
      </c>
      <c r="AI56" s="385">
        <f t="shared" si="363"/>
        <v>0</v>
      </c>
      <c r="AJ56" s="385">
        <f t="shared" si="363"/>
        <v>0</v>
      </c>
      <c r="AK56" s="385">
        <f t="shared" si="363"/>
        <v>0</v>
      </c>
      <c r="AL56" s="381">
        <f t="shared" ref="AL56:AN56" si="365">AL57</f>
        <v>0</v>
      </c>
      <c r="AM56" s="381">
        <f t="shared" si="365"/>
        <v>0</v>
      </c>
      <c r="AN56" s="381">
        <f t="shared" si="365"/>
        <v>0</v>
      </c>
      <c r="AO56" s="337"/>
      <c r="AP56" s="350">
        <f t="shared" ref="AP56" si="366">AP57</f>
        <v>15.977456</v>
      </c>
      <c r="AQ56" s="382">
        <f t="shared" ref="AQ56" si="367">AQ57</f>
        <v>5.0834729999999997</v>
      </c>
      <c r="AR56" s="382">
        <f t="shared" ref="AR56" si="368">AR57</f>
        <v>5.1554669999999998</v>
      </c>
      <c r="AS56" s="382">
        <f t="shared" ref="AS56" si="369">AS57</f>
        <v>13.144815000000001</v>
      </c>
      <c r="AT56" s="382">
        <f t="shared" ref="AT56:AU56" si="370">AT57</f>
        <v>13.144815000000001</v>
      </c>
      <c r="AU56" s="382">
        <f t="shared" si="370"/>
        <v>10.821989</v>
      </c>
      <c r="AV56" s="382">
        <f t="shared" ref="AV56:AX56" si="371">AV57</f>
        <v>0</v>
      </c>
      <c r="AW56" s="382">
        <f t="shared" si="371"/>
        <v>0</v>
      </c>
      <c r="AX56" s="382">
        <f t="shared" si="371"/>
        <v>0</v>
      </c>
      <c r="AY56" s="382">
        <f t="shared" ref="AY56" si="372">AY57</f>
        <v>0</v>
      </c>
      <c r="AZ56" s="383">
        <f t="shared" ref="AZ56" si="373">AZ57</f>
        <v>0</v>
      </c>
      <c r="BA56" s="656">
        <f t="shared" ref="BA56" si="374">BA57</f>
        <v>-5.0834729999999997</v>
      </c>
      <c r="BB56" s="350">
        <f t="shared" ref="BB56" si="375">BB57</f>
        <v>-5.1554669999999998</v>
      </c>
      <c r="BC56" s="382">
        <f t="shared" ref="BC56" si="376">BC57</f>
        <v>-13.144815000000001</v>
      </c>
      <c r="BD56" s="387">
        <f t="shared" ref="BD56" si="377">BD57</f>
        <v>-10.702439999999999</v>
      </c>
      <c r="BE56" s="387">
        <f t="shared" ref="BE56" si="378">BE57</f>
        <v>-14.830016000000001</v>
      </c>
      <c r="BF56" s="651">
        <f t="shared" ref="BF56:BG56" si="379">BF57</f>
        <v>-10.820797000000001</v>
      </c>
      <c r="BG56" s="360">
        <f t="shared" si="379"/>
        <v>-10.821989</v>
      </c>
      <c r="BH56" s="382">
        <f t="shared" ref="BH56" si="380">BH57</f>
        <v>0</v>
      </c>
      <c r="BI56" s="387">
        <f t="shared" ref="BI56" si="381">BI57</f>
        <v>0</v>
      </c>
      <c r="BJ56" s="515">
        <f t="shared" ref="BJ56:BN56" si="382">BJ57</f>
        <v>0</v>
      </c>
      <c r="BK56" s="515">
        <f t="shared" si="382"/>
        <v>0</v>
      </c>
      <c r="BL56" s="515">
        <f t="shared" si="382"/>
        <v>0</v>
      </c>
      <c r="BM56" s="515">
        <f t="shared" si="382"/>
        <v>0</v>
      </c>
      <c r="BN56" s="350">
        <f t="shared" si="382"/>
        <v>0</v>
      </c>
      <c r="BO56" s="382">
        <f t="shared" ref="BO56:BR56" si="383">BO57</f>
        <v>0</v>
      </c>
      <c r="BP56" s="387">
        <f t="shared" si="383"/>
        <v>0</v>
      </c>
      <c r="BQ56" s="387">
        <f t="shared" si="383"/>
        <v>0</v>
      </c>
      <c r="BR56" s="387">
        <f t="shared" si="383"/>
        <v>0</v>
      </c>
      <c r="BS56" s="383">
        <f t="shared" ref="BS56:BU56" si="384">BS57</f>
        <v>0</v>
      </c>
      <c r="BT56" s="383">
        <f t="shared" si="384"/>
        <v>0</v>
      </c>
      <c r="BU56" s="383">
        <f t="shared" si="384"/>
        <v>0</v>
      </c>
      <c r="BV56" s="350">
        <f t="shared" ref="BV56" si="385">BV57</f>
        <v>0</v>
      </c>
      <c r="BW56" s="383">
        <f t="shared" ref="BW56" si="386">BW57</f>
        <v>0</v>
      </c>
      <c r="BX56" s="351"/>
    </row>
    <row r="57" spans="1:77" ht="69.95" hidden="1" customHeight="1" outlineLevel="1" x14ac:dyDescent="0.25">
      <c r="A57" s="677">
        <v>1</v>
      </c>
      <c r="B57" s="701" t="s">
        <v>152</v>
      </c>
      <c r="C57" s="693" t="s">
        <v>152</v>
      </c>
      <c r="D57" s="1394" t="s">
        <v>1802</v>
      </c>
      <c r="E57" s="463" t="s">
        <v>162</v>
      </c>
      <c r="F57" s="1392" t="s">
        <v>161</v>
      </c>
      <c r="G57" s="69" t="s">
        <v>7</v>
      </c>
      <c r="H57" s="313" t="s">
        <v>127</v>
      </c>
      <c r="I57" s="1205"/>
      <c r="J57" s="1199">
        <f>AQ57/T$8</f>
        <v>1.8030336241753564E-4</v>
      </c>
      <c r="K57" s="1201">
        <f>AR57/U$8</f>
        <v>1.7018087218131486E-4</v>
      </c>
      <c r="L57" s="1201">
        <f>AS57/$V$8</f>
        <v>4.0232660994123413E-4</v>
      </c>
      <c r="M57" s="1201">
        <f>AT57/Y$8</f>
        <v>4.1910484895154703E-4</v>
      </c>
      <c r="N57" s="1201">
        <f>AU57/Z$8</f>
        <v>3.2220211525218893E-4</v>
      </c>
      <c r="O57" s="1201">
        <f>AV57/AA$8</f>
        <v>0</v>
      </c>
      <c r="P57" s="1201">
        <f>AW57/AE$8</f>
        <v>0</v>
      </c>
      <c r="Q57" s="1201">
        <f>AX57/AF$8</f>
        <v>0</v>
      </c>
      <c r="R57" s="1201">
        <f>AY57/AH$8</f>
        <v>0</v>
      </c>
      <c r="S57" s="1210">
        <f>AZ57/AN$8</f>
        <v>0</v>
      </c>
      <c r="T57" s="1296">
        <f>BA57/T$8</f>
        <v>-1.8030336241753564E-4</v>
      </c>
      <c r="U57" s="1220">
        <f>BB57/U$8</f>
        <v>-1.7018087218131486E-4</v>
      </c>
      <c r="V57" s="1197">
        <f t="shared" ref="V57" si="387">BC57/V$8</f>
        <v>-4.0232660994123413E-4</v>
      </c>
      <c r="W57" s="1195">
        <f t="shared" ref="W57" si="388">BD57/W$8</f>
        <v>-3.494229507425885E-4</v>
      </c>
      <c r="X57" s="1195">
        <f t="shared" ref="X57" si="389">BE57/X$8</f>
        <v>-4.7283522937591936E-4</v>
      </c>
      <c r="Y57" s="1195">
        <f>BF57/Y$8</f>
        <v>-3.450066427120011E-4</v>
      </c>
      <c r="Z57" s="1197">
        <f>BG57/Z$8</f>
        <v>-3.2220211525218893E-4</v>
      </c>
      <c r="AA57" s="1197">
        <f t="shared" ref="AA57" si="390">BH57/AA$8</f>
        <v>0</v>
      </c>
      <c r="AB57" s="1195">
        <f t="shared" ref="AB57" si="391">BI57/AB$8</f>
        <v>0</v>
      </c>
      <c r="AC57" s="1195">
        <f t="shared" ref="AC57:AN57" si="392">BJ57/AC$8</f>
        <v>0</v>
      </c>
      <c r="AD57" s="1195">
        <f t="shared" si="392"/>
        <v>0</v>
      </c>
      <c r="AE57" s="1195">
        <f t="shared" si="392"/>
        <v>0</v>
      </c>
      <c r="AF57" s="1195">
        <f t="shared" si="392"/>
        <v>0</v>
      </c>
      <c r="AG57" s="1197">
        <f t="shared" si="392"/>
        <v>0</v>
      </c>
      <c r="AH57" s="1197">
        <f t="shared" si="392"/>
        <v>0</v>
      </c>
      <c r="AI57" s="1195">
        <f t="shared" si="392"/>
        <v>0</v>
      </c>
      <c r="AJ57" s="1195">
        <f t="shared" si="392"/>
        <v>0</v>
      </c>
      <c r="AK57" s="1195">
        <f t="shared" si="392"/>
        <v>0</v>
      </c>
      <c r="AL57" s="1291">
        <f t="shared" si="392"/>
        <v>0</v>
      </c>
      <c r="AM57" s="1291">
        <f t="shared" si="392"/>
        <v>0</v>
      </c>
      <c r="AN57" s="1291">
        <f t="shared" si="392"/>
        <v>0</v>
      </c>
      <c r="AO57" s="283"/>
      <c r="AP57" s="1231">
        <f>AR57+AU57+AZ57+AW57+AY57</f>
        <v>15.977456</v>
      </c>
      <c r="AQ57" s="1162">
        <f>-BA57</f>
        <v>5.0834729999999997</v>
      </c>
      <c r="AR57" s="1165">
        <f>-BB57</f>
        <v>5.1554669999999998</v>
      </c>
      <c r="AS57" s="1165">
        <f>-BC57</f>
        <v>13.144815000000001</v>
      </c>
      <c r="AT57" s="1165">
        <f>-BC57</f>
        <v>13.144815000000001</v>
      </c>
      <c r="AU57" s="1165">
        <f>-BG57</f>
        <v>10.821989</v>
      </c>
      <c r="AV57" s="1165">
        <f>-BH57</f>
        <v>0</v>
      </c>
      <c r="AW57" s="1165">
        <f>-BH57</f>
        <v>0</v>
      </c>
      <c r="AX57" s="1165">
        <f>-BN57</f>
        <v>0</v>
      </c>
      <c r="AY57" s="1165">
        <f>-BO57</f>
        <v>0</v>
      </c>
      <c r="AZ57" s="1218">
        <f>-BU57</f>
        <v>0</v>
      </c>
      <c r="BA57" s="1175">
        <v>-5.0834729999999997</v>
      </c>
      <c r="BB57" s="1154">
        <f>-5.083473-0.071994</f>
        <v>-5.1554669999999998</v>
      </c>
      <c r="BC57" s="1169">
        <f>-10.70244-4.127576+1.685201</f>
        <v>-13.144815000000001</v>
      </c>
      <c r="BD57" s="1242">
        <v>-10.702439999999999</v>
      </c>
      <c r="BE57" s="1242">
        <v>-14.830016000000001</v>
      </c>
      <c r="BF57" s="1172">
        <v>-10.820797000000001</v>
      </c>
      <c r="BG57" s="1171">
        <f>-10.821989</f>
        <v>-10.821989</v>
      </c>
      <c r="BH57" s="1169">
        <v>0</v>
      </c>
      <c r="BI57" s="1242">
        <v>0</v>
      </c>
      <c r="BJ57" s="1159">
        <v>0</v>
      </c>
      <c r="BK57" s="1159">
        <v>0</v>
      </c>
      <c r="BL57" s="1159">
        <v>0</v>
      </c>
      <c r="BM57" s="1159">
        <v>0</v>
      </c>
      <c r="BN57" s="1154">
        <v>0</v>
      </c>
      <c r="BO57" s="1169">
        <v>0</v>
      </c>
      <c r="BP57" s="1242">
        <v>0</v>
      </c>
      <c r="BQ57" s="1242">
        <v>0</v>
      </c>
      <c r="BR57" s="1242">
        <v>0</v>
      </c>
      <c r="BS57" s="1269">
        <v>0</v>
      </c>
      <c r="BT57" s="1269">
        <v>0</v>
      </c>
      <c r="BU57" s="1269">
        <v>0</v>
      </c>
      <c r="BV57" s="1154">
        <v>0</v>
      </c>
      <c r="BW57" s="1269">
        <f>-BV57</f>
        <v>0</v>
      </c>
      <c r="BX57" s="1274" t="s">
        <v>1803</v>
      </c>
    </row>
    <row r="58" spans="1:77" ht="104.45" hidden="1" customHeight="1" outlineLevel="1" x14ac:dyDescent="0.25">
      <c r="A58" s="677">
        <v>2</v>
      </c>
      <c r="B58" s="701" t="s">
        <v>152</v>
      </c>
      <c r="C58" s="693" t="s">
        <v>152</v>
      </c>
      <c r="D58" s="1394"/>
      <c r="E58" s="463" t="s">
        <v>575</v>
      </c>
      <c r="F58" s="1392"/>
      <c r="G58" s="69" t="s">
        <v>7</v>
      </c>
      <c r="H58" s="313" t="s">
        <v>127</v>
      </c>
      <c r="I58" s="1205"/>
      <c r="J58" s="1200"/>
      <c r="K58" s="1202"/>
      <c r="L58" s="1202"/>
      <c r="M58" s="1202"/>
      <c r="N58" s="1202"/>
      <c r="O58" s="1202"/>
      <c r="P58" s="1202"/>
      <c r="Q58" s="1202"/>
      <c r="R58" s="1202"/>
      <c r="S58" s="1211"/>
      <c r="T58" s="1297"/>
      <c r="U58" s="1221"/>
      <c r="V58" s="1198"/>
      <c r="W58" s="1196"/>
      <c r="X58" s="1196"/>
      <c r="Y58" s="1196"/>
      <c r="Z58" s="1198"/>
      <c r="AA58" s="1198"/>
      <c r="AB58" s="1196"/>
      <c r="AC58" s="1196"/>
      <c r="AD58" s="1196"/>
      <c r="AE58" s="1196"/>
      <c r="AF58" s="1196"/>
      <c r="AG58" s="1198"/>
      <c r="AH58" s="1198"/>
      <c r="AI58" s="1196"/>
      <c r="AJ58" s="1196"/>
      <c r="AK58" s="1196"/>
      <c r="AL58" s="1292"/>
      <c r="AM58" s="1292"/>
      <c r="AN58" s="1292"/>
      <c r="AO58" s="283"/>
      <c r="AP58" s="1232"/>
      <c r="AQ58" s="1164"/>
      <c r="AR58" s="1166"/>
      <c r="AS58" s="1166"/>
      <c r="AT58" s="1166"/>
      <c r="AU58" s="1166"/>
      <c r="AV58" s="1166"/>
      <c r="AW58" s="1166"/>
      <c r="AX58" s="1166"/>
      <c r="AY58" s="1166"/>
      <c r="AZ58" s="1219"/>
      <c r="BA58" s="1176"/>
      <c r="BB58" s="1156"/>
      <c r="BC58" s="1170"/>
      <c r="BD58" s="1243"/>
      <c r="BE58" s="1243"/>
      <c r="BF58" s="1172"/>
      <c r="BG58" s="1171"/>
      <c r="BH58" s="1170"/>
      <c r="BI58" s="1243"/>
      <c r="BJ58" s="1167"/>
      <c r="BK58" s="1167"/>
      <c r="BL58" s="1167"/>
      <c r="BM58" s="1167"/>
      <c r="BN58" s="1156"/>
      <c r="BO58" s="1170"/>
      <c r="BP58" s="1243"/>
      <c r="BQ58" s="1243"/>
      <c r="BR58" s="1243"/>
      <c r="BS58" s="1270"/>
      <c r="BT58" s="1270"/>
      <c r="BU58" s="1270"/>
      <c r="BV58" s="1156"/>
      <c r="BW58" s="1270"/>
      <c r="BX58" s="1275"/>
    </row>
    <row r="59" spans="1:77" ht="18.75" collapsed="1" x14ac:dyDescent="0.25">
      <c r="A59" s="467">
        <v>9</v>
      </c>
      <c r="B59" s="704" t="s">
        <v>1720</v>
      </c>
      <c r="C59" s="689"/>
      <c r="D59" s="348"/>
      <c r="E59" s="460"/>
      <c r="F59" s="540"/>
      <c r="G59" s="400" t="s">
        <v>1730</v>
      </c>
      <c r="H59" s="401" t="s">
        <v>1730</v>
      </c>
      <c r="I59" s="349"/>
      <c r="J59" s="379">
        <f>SUM(J60:J76)</f>
        <v>4.9144438533021213E-4</v>
      </c>
      <c r="K59" s="380">
        <f t="shared" ref="K59:AN59" si="393">SUM(K60:K76)</f>
        <v>4.5163509858125588E-4</v>
      </c>
      <c r="L59" s="380">
        <f t="shared" si="393"/>
        <v>1.788048787952987E-4</v>
      </c>
      <c r="M59" s="380">
        <f t="shared" si="393"/>
        <v>1.8626158416478885E-4</v>
      </c>
      <c r="N59" s="380">
        <f t="shared" si="393"/>
        <v>1.6502305807751134E-4</v>
      </c>
      <c r="O59" s="380">
        <f t="shared" ref="O59:P59" si="394">SUM(O60:O76)</f>
        <v>1.6839855850261066E-4</v>
      </c>
      <c r="P59" s="380">
        <f t="shared" si="394"/>
        <v>1.7312089253085719E-4</v>
      </c>
      <c r="Q59" s="380">
        <f t="shared" ref="Q59" si="395">SUM(Q60:Q76)</f>
        <v>1.6303049855108392E-4</v>
      </c>
      <c r="R59" s="380">
        <f t="shared" si="393"/>
        <v>0</v>
      </c>
      <c r="S59" s="381">
        <f t="shared" si="393"/>
        <v>0</v>
      </c>
      <c r="T59" s="379">
        <f t="shared" si="393"/>
        <v>-4.9144438533021213E-4</v>
      </c>
      <c r="U59" s="380">
        <f t="shared" si="393"/>
        <v>-4.5163509858125588E-4</v>
      </c>
      <c r="V59" s="380">
        <f t="shared" si="393"/>
        <v>-1.788048787952987E-4</v>
      </c>
      <c r="W59" s="385">
        <f t="shared" si="393"/>
        <v>-1.1478245063814316E-4</v>
      </c>
      <c r="X59" s="385">
        <f t="shared" si="393"/>
        <v>-1.8600613225848206E-4</v>
      </c>
      <c r="Y59" s="385">
        <f t="shared" si="393"/>
        <v>-1.7624820102765662E-4</v>
      </c>
      <c r="Z59" s="380">
        <f>SUM(Z60:Z76)</f>
        <v>-1.6502305807751134E-4</v>
      </c>
      <c r="AA59" s="380">
        <f t="shared" si="393"/>
        <v>-1.6839855850261066E-4</v>
      </c>
      <c r="AB59" s="385">
        <f t="shared" si="393"/>
        <v>0</v>
      </c>
      <c r="AC59" s="385">
        <f>SUM(AC60:AC76)</f>
        <v>-6.7512655413440431E-7</v>
      </c>
      <c r="AD59" s="385">
        <f>SUM(AD60:AD76)</f>
        <v>-4.9400422884881418E-4</v>
      </c>
      <c r="AE59" s="385">
        <f t="shared" si="393"/>
        <v>-1.7252125272194523E-4</v>
      </c>
      <c r="AF59" s="385">
        <f t="shared" ref="AF59:AG59" si="396">SUM(AF60:AF76)</f>
        <v>-1.6781527546862589E-4</v>
      </c>
      <c r="AG59" s="380">
        <f t="shared" si="396"/>
        <v>-1.6452434502699833E-4</v>
      </c>
      <c r="AH59" s="380">
        <f t="shared" ref="AH59" si="397">SUM(AH60:AH76)</f>
        <v>0</v>
      </c>
      <c r="AI59" s="385">
        <f>SUM(AI60:AI76)</f>
        <v>0</v>
      </c>
      <c r="AJ59" s="385">
        <f>SUM(AJ60:AJ76)</f>
        <v>0</v>
      </c>
      <c r="AK59" s="385">
        <f>SUM(AK60:AK76)</f>
        <v>0</v>
      </c>
      <c r="AL59" s="381">
        <f t="shared" ref="AL59:AM59" si="398">SUM(AL60:AL76)</f>
        <v>0</v>
      </c>
      <c r="AM59" s="381">
        <f t="shared" si="398"/>
        <v>0</v>
      </c>
      <c r="AN59" s="381">
        <f t="shared" si="393"/>
        <v>0</v>
      </c>
      <c r="AO59" s="337"/>
      <c r="AP59" s="350">
        <f t="shared" ref="AP59:BW59" si="399">SUM(AP60:AP76)</f>
        <v>25.866021000000003</v>
      </c>
      <c r="AQ59" s="382">
        <f t="shared" si="399"/>
        <v>13.855783000000001</v>
      </c>
      <c r="AR59" s="382">
        <f t="shared" si="399"/>
        <v>13.681854000000001</v>
      </c>
      <c r="AS59" s="382">
        <f t="shared" si="399"/>
        <v>5.8419129999999999</v>
      </c>
      <c r="AT59" s="382">
        <f t="shared" si="399"/>
        <v>5.8419129999999999</v>
      </c>
      <c r="AU59" s="382">
        <f t="shared" si="399"/>
        <v>5.5427249999999999</v>
      </c>
      <c r="AV59" s="382">
        <f t="shared" ref="AV59" si="400">SUM(AV60:AV76)</f>
        <v>6.6414420000000005</v>
      </c>
      <c r="AW59" s="382">
        <f t="shared" si="399"/>
        <v>6.6414420000000005</v>
      </c>
      <c r="AX59" s="382">
        <f t="shared" ref="AX59" si="401">SUM(AX60:AX76)</f>
        <v>6.4297319999999996</v>
      </c>
      <c r="AY59" s="382">
        <f t="shared" si="399"/>
        <v>0</v>
      </c>
      <c r="AZ59" s="383">
        <f t="shared" si="399"/>
        <v>0</v>
      </c>
      <c r="BA59" s="656">
        <f t="shared" si="399"/>
        <v>-13.855783000000001</v>
      </c>
      <c r="BB59" s="350">
        <f t="shared" si="399"/>
        <v>-13.681854000000001</v>
      </c>
      <c r="BC59" s="382">
        <f t="shared" si="399"/>
        <v>-5.8419129999999999</v>
      </c>
      <c r="BD59" s="387">
        <f t="shared" si="399"/>
        <v>-3.5156600000000005</v>
      </c>
      <c r="BE59" s="387">
        <f t="shared" si="399"/>
        <v>-5.833901</v>
      </c>
      <c r="BF59" s="651">
        <f t="shared" si="399"/>
        <v>-5.5278530000000003</v>
      </c>
      <c r="BG59" s="360">
        <f t="shared" si="399"/>
        <v>-5.5427249999999999</v>
      </c>
      <c r="BH59" s="382">
        <f t="shared" si="399"/>
        <v>-6.6414420000000005</v>
      </c>
      <c r="BI59" s="387">
        <f t="shared" si="399"/>
        <v>0</v>
      </c>
      <c r="BJ59" s="515">
        <f t="shared" ref="BJ59" si="402">SUM(BJ60:BJ76)</f>
        <v>-2.2969E-2</v>
      </c>
      <c r="BK59" s="515">
        <f t="shared" si="399"/>
        <v>-16.806898</v>
      </c>
      <c r="BL59" s="515">
        <f t="shared" ref="BL59:BN59" si="403">SUM(BL60:BL76)</f>
        <v>-6.6184380000000003</v>
      </c>
      <c r="BM59" s="515">
        <f t="shared" si="403"/>
        <v>-6.6184380000000003</v>
      </c>
      <c r="BN59" s="350">
        <f t="shared" si="403"/>
        <v>-6.4297319999999996</v>
      </c>
      <c r="BO59" s="382">
        <f t="shared" si="399"/>
        <v>0</v>
      </c>
      <c r="BP59" s="387">
        <f t="shared" ref="BP59:BQ59" si="404">SUM(BP60:BP76)</f>
        <v>0</v>
      </c>
      <c r="BQ59" s="387">
        <f t="shared" si="404"/>
        <v>0</v>
      </c>
      <c r="BR59" s="387">
        <f t="shared" ref="BR59:BT59" si="405">SUM(BR60:BR76)</f>
        <v>0</v>
      </c>
      <c r="BS59" s="383">
        <f t="shared" si="405"/>
        <v>0</v>
      </c>
      <c r="BT59" s="383">
        <f t="shared" si="405"/>
        <v>0</v>
      </c>
      <c r="BU59" s="383">
        <f t="shared" si="399"/>
        <v>0</v>
      </c>
      <c r="BV59" s="350">
        <f t="shared" si="399"/>
        <v>0</v>
      </c>
      <c r="BW59" s="383">
        <f t="shared" si="399"/>
        <v>0</v>
      </c>
      <c r="BX59" s="351"/>
    </row>
    <row r="60" spans="1:77" ht="57.95" hidden="1" customHeight="1" outlineLevel="1" x14ac:dyDescent="0.25">
      <c r="A60" s="677">
        <v>1</v>
      </c>
      <c r="B60" s="701" t="s">
        <v>313</v>
      </c>
      <c r="C60" s="690" t="s">
        <v>313</v>
      </c>
      <c r="D60" s="1304" t="s">
        <v>1995</v>
      </c>
      <c r="E60" s="463" t="s">
        <v>355</v>
      </c>
      <c r="F60" s="1301" t="s">
        <v>1643</v>
      </c>
      <c r="G60" s="69" t="s">
        <v>7</v>
      </c>
      <c r="H60" s="313" t="s">
        <v>126</v>
      </c>
      <c r="I60" s="1205"/>
      <c r="J60" s="1199">
        <f>AQ60/T$8</f>
        <v>2.1031318720295096E-5</v>
      </c>
      <c r="K60" s="1201">
        <f>AR60/U$8</f>
        <v>1.1384910796824921E-5</v>
      </c>
      <c r="L60" s="1201">
        <f>AS60/$V$8</f>
        <v>1.1477717923604309E-5</v>
      </c>
      <c r="M60" s="1201">
        <f>AT60/Y$8</f>
        <v>1.1956373547808022E-5</v>
      </c>
      <c r="N60" s="1201">
        <f>AU60/$Z$8</f>
        <v>4.6129850561721049E-6</v>
      </c>
      <c r="O60" s="1201">
        <f>AV60/AA$8</f>
        <v>7.752004954797943E-7</v>
      </c>
      <c r="P60" s="1201">
        <f>AW60/AE$8</f>
        <v>7.9693913570966922E-7</v>
      </c>
      <c r="Q60" s="1201">
        <f>AX60/AF$8</f>
        <v>1.9366700632828536E-7</v>
      </c>
      <c r="R60" s="1201">
        <f>AY60/AH$8</f>
        <v>0</v>
      </c>
      <c r="S60" s="1210">
        <f>AZ60/AN$8</f>
        <v>0</v>
      </c>
      <c r="T60" s="1206">
        <f t="shared" ref="T60:AF60" si="406">BA60/T$8</f>
        <v>-2.1031318720295096E-5</v>
      </c>
      <c r="U60" s="1220">
        <f t="shared" si="406"/>
        <v>-1.1384910796824921E-5</v>
      </c>
      <c r="V60" s="1220">
        <f t="shared" si="406"/>
        <v>-1.1477717923604309E-5</v>
      </c>
      <c r="W60" s="1193">
        <f t="shared" si="406"/>
        <v>-3.9736329742543729E-5</v>
      </c>
      <c r="X60" s="1193">
        <f t="shared" si="406"/>
        <v>-1.1956373547808022E-5</v>
      </c>
      <c r="Y60" s="1193">
        <f t="shared" si="406"/>
        <v>-4.6613915005054212E-6</v>
      </c>
      <c r="Z60" s="1220">
        <f t="shared" si="406"/>
        <v>-4.6129850561721049E-6</v>
      </c>
      <c r="AA60" s="1220">
        <f t="shared" si="406"/>
        <v>-7.752004954797943E-7</v>
      </c>
      <c r="AB60" s="1193">
        <f t="shared" si="406"/>
        <v>0</v>
      </c>
      <c r="AC60" s="1193">
        <f t="shared" si="406"/>
        <v>-6.7512655413440431E-7</v>
      </c>
      <c r="AD60" s="1193">
        <f t="shared" si="406"/>
        <v>-6.7512655413440431E-7</v>
      </c>
      <c r="AE60" s="1193">
        <f t="shared" si="406"/>
        <v>-1.9909793342329682E-7</v>
      </c>
      <c r="AF60" s="1193">
        <f t="shared" si="406"/>
        <v>-1.9366700632828536E-7</v>
      </c>
      <c r="AG60" s="1220">
        <f t="shared" ref="AG60:AN60" si="407">BN60/AG$8</f>
        <v>-1.9544157475244899E-7</v>
      </c>
      <c r="AH60" s="1220">
        <f t="shared" si="407"/>
        <v>0</v>
      </c>
      <c r="AI60" s="1193">
        <f t="shared" si="407"/>
        <v>0</v>
      </c>
      <c r="AJ60" s="1193">
        <f t="shared" si="407"/>
        <v>0</v>
      </c>
      <c r="AK60" s="1193">
        <f t="shared" si="407"/>
        <v>0</v>
      </c>
      <c r="AL60" s="1150">
        <f t="shared" si="407"/>
        <v>0</v>
      </c>
      <c r="AM60" s="1150">
        <f t="shared" si="407"/>
        <v>0</v>
      </c>
      <c r="AN60" s="1150">
        <f t="shared" si="407"/>
        <v>0</v>
      </c>
      <c r="AO60" s="283"/>
      <c r="AP60" s="1231">
        <f>AR60+AU60+AZ60+AW60+AY60</f>
        <v>0.53040699999999996</v>
      </c>
      <c r="AQ60" s="1162">
        <f>-BA60</f>
        <v>0.59295699999999996</v>
      </c>
      <c r="AR60" s="1165">
        <f>-BB60</f>
        <v>0.34489500000000001</v>
      </c>
      <c r="AS60" s="1165">
        <f>-BC60</f>
        <v>0.375</v>
      </c>
      <c r="AT60" s="1165">
        <f>-BC60</f>
        <v>0.375</v>
      </c>
      <c r="AU60" s="1165">
        <f>-BG60</f>
        <v>0.15493899999999999</v>
      </c>
      <c r="AV60" s="1165">
        <f>-BH60</f>
        <v>3.0572999999999999E-2</v>
      </c>
      <c r="AW60" s="1165">
        <f>-BH60</f>
        <v>3.0572999999999999E-2</v>
      </c>
      <c r="AX60" s="1165">
        <f>-BN60</f>
        <v>7.6379999999999998E-3</v>
      </c>
      <c r="AY60" s="1165">
        <f>-BO60</f>
        <v>0</v>
      </c>
      <c r="AZ60" s="1218">
        <f>-BU60</f>
        <v>0</v>
      </c>
      <c r="BA60" s="1175">
        <v>-0.59295699999999996</v>
      </c>
      <c r="BB60" s="1154">
        <f>-0.342956-0.001939</f>
        <v>-0.34489500000000001</v>
      </c>
      <c r="BC60" s="1169">
        <f>-0.375</f>
        <v>-0.375</v>
      </c>
      <c r="BD60" s="1177">
        <f>-0.375-0.84208</f>
        <v>-1.2170800000000002</v>
      </c>
      <c r="BE60" s="1177">
        <v>-0.375</v>
      </c>
      <c r="BF60" s="1168">
        <v>-0.1462</v>
      </c>
      <c r="BG60" s="1171">
        <f>-0.154939</f>
        <v>-0.15493899999999999</v>
      </c>
      <c r="BH60" s="1169">
        <f>-0.022969-0.007604</f>
        <v>-3.0572999999999999E-2</v>
      </c>
      <c r="BI60" s="1177">
        <v>0</v>
      </c>
      <c r="BJ60" s="1177">
        <v>-2.2969E-2</v>
      </c>
      <c r="BK60" s="1177">
        <v>-2.2969E-2</v>
      </c>
      <c r="BL60" s="1177">
        <v>-7.6379999999999998E-3</v>
      </c>
      <c r="BM60" s="1177">
        <v>-7.6379999999999998E-3</v>
      </c>
      <c r="BN60" s="1157">
        <f>-0.007638</f>
        <v>-7.6379999999999998E-3</v>
      </c>
      <c r="BO60" s="1169">
        <v>0</v>
      </c>
      <c r="BP60" s="1242">
        <v>0</v>
      </c>
      <c r="BQ60" s="1242">
        <v>0</v>
      </c>
      <c r="BR60" s="1242">
        <v>0</v>
      </c>
      <c r="BS60" s="1269">
        <v>0</v>
      </c>
      <c r="BT60" s="1269">
        <v>0</v>
      </c>
      <c r="BU60" s="1269">
        <v>0</v>
      </c>
      <c r="BV60" s="1157">
        <v>0</v>
      </c>
      <c r="BW60" s="1269">
        <f>-BV60</f>
        <v>0</v>
      </c>
      <c r="BX60" s="439" t="s">
        <v>568</v>
      </c>
    </row>
    <row r="61" spans="1:77" ht="204.95" hidden="1" customHeight="1" outlineLevel="1" x14ac:dyDescent="0.25">
      <c r="A61" s="677">
        <v>2</v>
      </c>
      <c r="B61" s="701" t="s">
        <v>313</v>
      </c>
      <c r="C61" s="690" t="s">
        <v>313</v>
      </c>
      <c r="D61" s="1305"/>
      <c r="E61" s="463" t="s">
        <v>569</v>
      </c>
      <c r="F61" s="1303"/>
      <c r="G61" s="69" t="s">
        <v>7</v>
      </c>
      <c r="H61" s="313" t="s">
        <v>126</v>
      </c>
      <c r="I61" s="1205"/>
      <c r="J61" s="1200"/>
      <c r="K61" s="1202"/>
      <c r="L61" s="1202"/>
      <c r="M61" s="1202"/>
      <c r="N61" s="1202"/>
      <c r="O61" s="1202"/>
      <c r="P61" s="1202"/>
      <c r="Q61" s="1202"/>
      <c r="R61" s="1202"/>
      <c r="S61" s="1211"/>
      <c r="T61" s="1207"/>
      <c r="U61" s="1221"/>
      <c r="V61" s="1221"/>
      <c r="W61" s="1194"/>
      <c r="X61" s="1194"/>
      <c r="Y61" s="1194"/>
      <c r="Z61" s="1221"/>
      <c r="AA61" s="1221"/>
      <c r="AB61" s="1194"/>
      <c r="AC61" s="1194"/>
      <c r="AD61" s="1194"/>
      <c r="AE61" s="1194"/>
      <c r="AF61" s="1194"/>
      <c r="AG61" s="1221"/>
      <c r="AH61" s="1221"/>
      <c r="AI61" s="1194"/>
      <c r="AJ61" s="1194"/>
      <c r="AK61" s="1194"/>
      <c r="AL61" s="1227"/>
      <c r="AM61" s="1227"/>
      <c r="AN61" s="1227"/>
      <c r="AO61" s="283"/>
      <c r="AP61" s="1232"/>
      <c r="AQ61" s="1164"/>
      <c r="AR61" s="1166"/>
      <c r="AS61" s="1166"/>
      <c r="AT61" s="1166"/>
      <c r="AU61" s="1166"/>
      <c r="AV61" s="1166"/>
      <c r="AW61" s="1166"/>
      <c r="AX61" s="1166"/>
      <c r="AY61" s="1166"/>
      <c r="AZ61" s="1219"/>
      <c r="BA61" s="1176"/>
      <c r="BB61" s="1156"/>
      <c r="BC61" s="1170"/>
      <c r="BD61" s="1178"/>
      <c r="BE61" s="1178"/>
      <c r="BF61" s="1168"/>
      <c r="BG61" s="1171"/>
      <c r="BH61" s="1170"/>
      <c r="BI61" s="1178"/>
      <c r="BJ61" s="1178"/>
      <c r="BK61" s="1178"/>
      <c r="BL61" s="1178"/>
      <c r="BM61" s="1178"/>
      <c r="BN61" s="1158"/>
      <c r="BO61" s="1170"/>
      <c r="BP61" s="1243"/>
      <c r="BQ61" s="1243"/>
      <c r="BR61" s="1243"/>
      <c r="BS61" s="1270"/>
      <c r="BT61" s="1270"/>
      <c r="BU61" s="1270"/>
      <c r="BV61" s="1158"/>
      <c r="BW61" s="1270"/>
      <c r="BX61" s="439" t="s">
        <v>1996</v>
      </c>
    </row>
    <row r="62" spans="1:77" ht="72.599999999999994" hidden="1" customHeight="1" outlineLevel="1" x14ac:dyDescent="0.25">
      <c r="A62" s="677">
        <v>3</v>
      </c>
      <c r="B62" s="701" t="s">
        <v>359</v>
      </c>
      <c r="C62" s="691" t="s">
        <v>359</v>
      </c>
      <c r="D62" s="64">
        <v>43951</v>
      </c>
      <c r="E62" s="463" t="s">
        <v>164</v>
      </c>
      <c r="F62" s="544" t="s">
        <v>163</v>
      </c>
      <c r="G62" s="73" t="s">
        <v>272</v>
      </c>
      <c r="H62" s="306" t="s">
        <v>127</v>
      </c>
      <c r="I62" s="334"/>
      <c r="J62" s="294">
        <f t="shared" ref="J62:L64" si="408">AQ62/T$8</f>
        <v>5.9207278144286016E-5</v>
      </c>
      <c r="K62" s="52">
        <f t="shared" si="408"/>
        <v>5.5089902982582879E-5</v>
      </c>
      <c r="L62" s="52">
        <f t="shared" si="408"/>
        <v>0</v>
      </c>
      <c r="M62" s="52">
        <f>AT62/Y$8</f>
        <v>0</v>
      </c>
      <c r="N62" s="52">
        <f>AU62/$Z$8</f>
        <v>-5.4186698005235807E-9</v>
      </c>
      <c r="O62" s="52">
        <f>AV62/AA$8</f>
        <v>0</v>
      </c>
      <c r="P62" s="52">
        <f t="shared" ref="P62:Q64" si="409">AW62/AE$8</f>
        <v>0</v>
      </c>
      <c r="Q62" s="52">
        <f t="shared" si="409"/>
        <v>0</v>
      </c>
      <c r="R62" s="52">
        <f>AY62/AH$8</f>
        <v>0</v>
      </c>
      <c r="S62" s="527">
        <f t="shared" ref="S62:S64" si="410">AZ62/AN$8</f>
        <v>0</v>
      </c>
      <c r="T62" s="533">
        <f t="shared" ref="T62:AF64" si="411">BA62/T$8</f>
        <v>-5.9207278144286016E-5</v>
      </c>
      <c r="U62" s="375">
        <f t="shared" si="411"/>
        <v>-5.5089902982582879E-5</v>
      </c>
      <c r="V62" s="375">
        <f t="shared" si="411"/>
        <v>0</v>
      </c>
      <c r="W62" s="376">
        <f t="shared" si="411"/>
        <v>0</v>
      </c>
      <c r="X62" s="376">
        <f t="shared" si="411"/>
        <v>0</v>
      </c>
      <c r="Y62" s="376">
        <f t="shared" si="411"/>
        <v>0</v>
      </c>
      <c r="Z62" s="375">
        <f t="shared" si="411"/>
        <v>5.4186698005235807E-9</v>
      </c>
      <c r="AA62" s="375">
        <f t="shared" si="411"/>
        <v>0</v>
      </c>
      <c r="AB62" s="376">
        <f t="shared" si="411"/>
        <v>0</v>
      </c>
      <c r="AC62" s="376">
        <f t="shared" si="411"/>
        <v>0</v>
      </c>
      <c r="AD62" s="376">
        <f t="shared" si="411"/>
        <v>0</v>
      </c>
      <c r="AE62" s="376">
        <f t="shared" si="411"/>
        <v>0</v>
      </c>
      <c r="AF62" s="376">
        <f t="shared" si="411"/>
        <v>0</v>
      </c>
      <c r="AG62" s="375">
        <f>BN62/AG$8</f>
        <v>0</v>
      </c>
      <c r="AH62" s="375">
        <f t="shared" ref="AH62:AK64" si="412">BO62/AH$8</f>
        <v>0</v>
      </c>
      <c r="AI62" s="376">
        <f t="shared" si="412"/>
        <v>0</v>
      </c>
      <c r="AJ62" s="376">
        <f t="shared" si="412"/>
        <v>0</v>
      </c>
      <c r="AK62" s="376">
        <f t="shared" si="412"/>
        <v>0</v>
      </c>
      <c r="AL62" s="377">
        <f t="shared" ref="AL62:AN64" si="413">BS62/AL$8</f>
        <v>0</v>
      </c>
      <c r="AM62" s="377">
        <f t="shared" si="413"/>
        <v>0</v>
      </c>
      <c r="AN62" s="377">
        <f t="shared" si="413"/>
        <v>0</v>
      </c>
      <c r="AO62" s="283"/>
      <c r="AP62" s="295">
        <f>AR62+AU62+AZ62+AW62+AY62</f>
        <v>1.668714</v>
      </c>
      <c r="AQ62" s="180">
        <f t="shared" ref="AQ62:AS72" si="414">-BA62</f>
        <v>1.6692899999999999</v>
      </c>
      <c r="AR62" s="80">
        <f t="shared" si="414"/>
        <v>1.6688959999999999</v>
      </c>
      <c r="AS62" s="80">
        <f t="shared" si="414"/>
        <v>0</v>
      </c>
      <c r="AT62" s="80">
        <f>-BC62</f>
        <v>0</v>
      </c>
      <c r="AU62" s="80">
        <f t="shared" ref="AU62:AV64" si="415">-BG62</f>
        <v>-1.8200000000000001E-4</v>
      </c>
      <c r="AV62" s="80">
        <f t="shared" si="415"/>
        <v>0</v>
      </c>
      <c r="AW62" s="80">
        <f t="shared" ref="AW62:AW64" si="416">-BH62</f>
        <v>0</v>
      </c>
      <c r="AX62" s="80">
        <f>-BN62</f>
        <v>0</v>
      </c>
      <c r="AY62" s="80">
        <f t="shared" ref="AY62:AY64" si="417">-BO62</f>
        <v>0</v>
      </c>
      <c r="AZ62" s="432">
        <f>-BU62</f>
        <v>0</v>
      </c>
      <c r="BA62" s="1008">
        <v>-1.6692899999999999</v>
      </c>
      <c r="BB62" s="409">
        <v>-1.6688959999999999</v>
      </c>
      <c r="BC62" s="207">
        <v>0</v>
      </c>
      <c r="BD62" s="132">
        <v>0</v>
      </c>
      <c r="BE62" s="132">
        <v>0</v>
      </c>
      <c r="BF62" s="132">
        <v>0</v>
      </c>
      <c r="BG62" s="207">
        <f>0.000182</f>
        <v>1.8200000000000001E-4</v>
      </c>
      <c r="BH62" s="207">
        <v>0</v>
      </c>
      <c r="BI62" s="132">
        <v>0</v>
      </c>
      <c r="BJ62" s="132">
        <v>0</v>
      </c>
      <c r="BK62" s="132">
        <v>0</v>
      </c>
      <c r="BL62" s="132">
        <v>0</v>
      </c>
      <c r="BM62" s="132">
        <v>0</v>
      </c>
      <c r="BN62" s="409">
        <v>0</v>
      </c>
      <c r="BO62" s="207">
        <v>0</v>
      </c>
      <c r="BP62" s="389">
        <v>0</v>
      </c>
      <c r="BQ62" s="389">
        <v>0</v>
      </c>
      <c r="BR62" s="389">
        <v>0</v>
      </c>
      <c r="BS62" s="296">
        <v>0</v>
      </c>
      <c r="BT62" s="296">
        <v>0</v>
      </c>
      <c r="BU62" s="296">
        <v>0</v>
      </c>
      <c r="BV62" s="409">
        <v>0</v>
      </c>
      <c r="BW62" s="296">
        <f>-BV62</f>
        <v>0</v>
      </c>
      <c r="BX62" s="439" t="s">
        <v>445</v>
      </c>
    </row>
    <row r="63" spans="1:77" ht="87" hidden="1" customHeight="1" outlineLevel="1" x14ac:dyDescent="0.25">
      <c r="A63" s="677">
        <v>4</v>
      </c>
      <c r="B63" s="701" t="s">
        <v>526</v>
      </c>
      <c r="C63" s="690" t="s">
        <v>526</v>
      </c>
      <c r="D63" s="64">
        <v>43937</v>
      </c>
      <c r="E63" s="463" t="s">
        <v>144</v>
      </c>
      <c r="F63" s="544" t="s">
        <v>143</v>
      </c>
      <c r="G63" s="73" t="s">
        <v>273</v>
      </c>
      <c r="H63" s="306" t="s">
        <v>127</v>
      </c>
      <c r="I63" s="334"/>
      <c r="J63" s="294">
        <f t="shared" si="408"/>
        <v>5.6749663048875653E-5</v>
      </c>
      <c r="K63" s="52">
        <f t="shared" si="408"/>
        <v>5.2251094233206563E-5</v>
      </c>
      <c r="L63" s="52">
        <f t="shared" si="408"/>
        <v>0</v>
      </c>
      <c r="M63" s="52">
        <f>AT63/Y$8</f>
        <v>0</v>
      </c>
      <c r="N63" s="52">
        <f>AU63/$Z$8</f>
        <v>0</v>
      </c>
      <c r="O63" s="52">
        <f>AV63/AA$8</f>
        <v>0</v>
      </c>
      <c r="P63" s="52">
        <f t="shared" si="409"/>
        <v>0</v>
      </c>
      <c r="Q63" s="52">
        <f t="shared" si="409"/>
        <v>0</v>
      </c>
      <c r="R63" s="52">
        <f>AY63/AH$8</f>
        <v>0</v>
      </c>
      <c r="S63" s="527">
        <f t="shared" si="410"/>
        <v>0</v>
      </c>
      <c r="T63" s="533">
        <f t="shared" si="411"/>
        <v>-5.6749663048875653E-5</v>
      </c>
      <c r="U63" s="375">
        <f t="shared" si="411"/>
        <v>-5.2251094233206563E-5</v>
      </c>
      <c r="V63" s="375">
        <f t="shared" si="411"/>
        <v>0</v>
      </c>
      <c r="W63" s="376">
        <f t="shared" si="411"/>
        <v>0</v>
      </c>
      <c r="X63" s="376">
        <f t="shared" si="411"/>
        <v>0</v>
      </c>
      <c r="Y63" s="376">
        <f t="shared" si="411"/>
        <v>0</v>
      </c>
      <c r="Z63" s="375">
        <f t="shared" si="411"/>
        <v>0</v>
      </c>
      <c r="AA63" s="375">
        <f t="shared" si="411"/>
        <v>0</v>
      </c>
      <c r="AB63" s="376">
        <f t="shared" si="411"/>
        <v>0</v>
      </c>
      <c r="AC63" s="376">
        <f t="shared" si="411"/>
        <v>0</v>
      </c>
      <c r="AD63" s="376">
        <f t="shared" si="411"/>
        <v>0</v>
      </c>
      <c r="AE63" s="376">
        <f t="shared" si="411"/>
        <v>0</v>
      </c>
      <c r="AF63" s="376">
        <f t="shared" si="411"/>
        <v>0</v>
      </c>
      <c r="AG63" s="375">
        <f>BN63/AG$8</f>
        <v>0</v>
      </c>
      <c r="AH63" s="375">
        <f t="shared" si="412"/>
        <v>0</v>
      </c>
      <c r="AI63" s="376">
        <f t="shared" si="412"/>
        <v>0</v>
      </c>
      <c r="AJ63" s="376">
        <f t="shared" si="412"/>
        <v>0</v>
      </c>
      <c r="AK63" s="376">
        <f t="shared" si="412"/>
        <v>0</v>
      </c>
      <c r="AL63" s="377">
        <f t="shared" si="413"/>
        <v>0</v>
      </c>
      <c r="AM63" s="377">
        <f t="shared" si="413"/>
        <v>0</v>
      </c>
      <c r="AN63" s="377">
        <f t="shared" si="413"/>
        <v>0</v>
      </c>
      <c r="AO63" s="283"/>
      <c r="AP63" s="295">
        <f>AR63+AU63+AZ63+AW63+AY63</f>
        <v>1.582897</v>
      </c>
      <c r="AQ63" s="180">
        <f t="shared" si="414"/>
        <v>1.6</v>
      </c>
      <c r="AR63" s="80">
        <f t="shared" si="414"/>
        <v>1.582897</v>
      </c>
      <c r="AS63" s="80">
        <f t="shared" si="414"/>
        <v>0</v>
      </c>
      <c r="AT63" s="80">
        <f>-BC63</f>
        <v>0</v>
      </c>
      <c r="AU63" s="80">
        <f t="shared" si="415"/>
        <v>0</v>
      </c>
      <c r="AV63" s="80">
        <f t="shared" si="415"/>
        <v>0</v>
      </c>
      <c r="AW63" s="80">
        <f t="shared" si="416"/>
        <v>0</v>
      </c>
      <c r="AX63" s="80">
        <f>-BN63</f>
        <v>0</v>
      </c>
      <c r="AY63" s="80">
        <f t="shared" si="417"/>
        <v>0</v>
      </c>
      <c r="AZ63" s="432">
        <f>-BU63</f>
        <v>0</v>
      </c>
      <c r="BA63" s="1008">
        <v>-1.6</v>
      </c>
      <c r="BB63" s="410">
        <v>-1.582897</v>
      </c>
      <c r="BC63" s="207">
        <v>0</v>
      </c>
      <c r="BD63" s="132">
        <v>0</v>
      </c>
      <c r="BE63" s="132">
        <v>0</v>
      </c>
      <c r="BF63" s="132">
        <v>0</v>
      </c>
      <c r="BG63" s="207">
        <v>0</v>
      </c>
      <c r="BH63" s="207">
        <v>0</v>
      </c>
      <c r="BI63" s="132">
        <v>0</v>
      </c>
      <c r="BJ63" s="132">
        <v>0</v>
      </c>
      <c r="BK63" s="132">
        <v>0</v>
      </c>
      <c r="BL63" s="132">
        <v>0</v>
      </c>
      <c r="BM63" s="132">
        <v>0</v>
      </c>
      <c r="BN63" s="410">
        <v>0</v>
      </c>
      <c r="BO63" s="207">
        <v>0</v>
      </c>
      <c r="BP63" s="389">
        <v>0</v>
      </c>
      <c r="BQ63" s="389">
        <v>0</v>
      </c>
      <c r="BR63" s="389">
        <v>0</v>
      </c>
      <c r="BS63" s="296">
        <v>0</v>
      </c>
      <c r="BT63" s="296">
        <v>0</v>
      </c>
      <c r="BU63" s="296">
        <v>0</v>
      </c>
      <c r="BV63" s="410">
        <v>0</v>
      </c>
      <c r="BW63" s="980">
        <f>-BV63</f>
        <v>0</v>
      </c>
      <c r="BX63" s="439" t="s">
        <v>621</v>
      </c>
    </row>
    <row r="64" spans="1:77" ht="43.5" hidden="1" customHeight="1" outlineLevel="1" x14ac:dyDescent="0.25">
      <c r="A64" s="677">
        <v>5</v>
      </c>
      <c r="B64" s="701" t="s">
        <v>526</v>
      </c>
      <c r="C64" s="690" t="s">
        <v>526</v>
      </c>
      <c r="D64" s="1298" t="s">
        <v>1664</v>
      </c>
      <c r="E64" s="463" t="s">
        <v>627</v>
      </c>
      <c r="F64" s="1301" t="s">
        <v>443</v>
      </c>
      <c r="G64" s="67" t="s">
        <v>294</v>
      </c>
      <c r="H64" s="313" t="s">
        <v>127</v>
      </c>
      <c r="I64" s="1205"/>
      <c r="J64" s="1199">
        <f t="shared" si="408"/>
        <v>1.5960842732496278E-5</v>
      </c>
      <c r="K64" s="1201">
        <f t="shared" si="408"/>
        <v>7.2896504907152546E-6</v>
      </c>
      <c r="L64" s="1201">
        <f t="shared" si="408"/>
        <v>1.1800107125367287E-4</v>
      </c>
      <c r="M64" s="1201">
        <f>AT64/Y$8</f>
        <v>1.2292207356385135E-4</v>
      </c>
      <c r="N64" s="1201">
        <f>AU64/Z$8</f>
        <v>1.1457303903922341E-4</v>
      </c>
      <c r="O64" s="1201">
        <f>AV64/AA$8</f>
        <v>0</v>
      </c>
      <c r="P64" s="1201">
        <f t="shared" si="409"/>
        <v>0</v>
      </c>
      <c r="Q64" s="1201">
        <f t="shared" si="409"/>
        <v>0</v>
      </c>
      <c r="R64" s="1201">
        <f>AY64/AH$8</f>
        <v>0</v>
      </c>
      <c r="S64" s="1210">
        <f t="shared" si="410"/>
        <v>0</v>
      </c>
      <c r="T64" s="1206">
        <f t="shared" si="411"/>
        <v>-1.5960842732496278E-5</v>
      </c>
      <c r="U64" s="1220">
        <f t="shared" si="411"/>
        <v>-7.2896504907152546E-6</v>
      </c>
      <c r="V64" s="1220">
        <f t="shared" si="411"/>
        <v>-1.1800107125367287E-4</v>
      </c>
      <c r="W64" s="1193">
        <f t="shared" si="411"/>
        <v>-4.407602224375886E-5</v>
      </c>
      <c r="X64" s="1193">
        <f t="shared" si="411"/>
        <v>-1.2266668542487016E-4</v>
      </c>
      <c r="Y64" s="1193">
        <f t="shared" si="411"/>
        <v>-1.2269569955801284E-4</v>
      </c>
      <c r="Z64" s="1220">
        <f t="shared" si="411"/>
        <v>-1.1457303903922341E-4</v>
      </c>
      <c r="AA64" s="1220">
        <f t="shared" si="411"/>
        <v>0</v>
      </c>
      <c r="AB64" s="1193">
        <f t="shared" si="411"/>
        <v>0</v>
      </c>
      <c r="AC64" s="1193">
        <f t="shared" si="411"/>
        <v>0</v>
      </c>
      <c r="AD64" s="1193">
        <f t="shared" si="411"/>
        <v>0</v>
      </c>
      <c r="AE64" s="1193">
        <f t="shared" si="411"/>
        <v>0</v>
      </c>
      <c r="AF64" s="1193">
        <f t="shared" si="411"/>
        <v>0</v>
      </c>
      <c r="AG64" s="1220">
        <f>BN64/AG$8</f>
        <v>0</v>
      </c>
      <c r="AH64" s="1220">
        <f t="shared" si="412"/>
        <v>0</v>
      </c>
      <c r="AI64" s="1193">
        <f t="shared" si="412"/>
        <v>0</v>
      </c>
      <c r="AJ64" s="1193">
        <f t="shared" si="412"/>
        <v>0</v>
      </c>
      <c r="AK64" s="1193">
        <f t="shared" si="412"/>
        <v>0</v>
      </c>
      <c r="AL64" s="1150">
        <f t="shared" si="413"/>
        <v>0</v>
      </c>
      <c r="AM64" s="1150">
        <f t="shared" si="413"/>
        <v>0</v>
      </c>
      <c r="AN64" s="1150">
        <f t="shared" si="413"/>
        <v>0</v>
      </c>
      <c r="AO64" s="283"/>
      <c r="AP64" s="1231">
        <f>AR64+AU64+AZ64+AW64+AY64</f>
        <v>4.069064</v>
      </c>
      <c r="AQ64" s="1262">
        <f>-BA64</f>
        <v>0.45</v>
      </c>
      <c r="AR64" s="1265">
        <f t="shared" si="414"/>
        <v>0.220833</v>
      </c>
      <c r="AS64" s="1265">
        <f t="shared" si="414"/>
        <v>3.8553310000000001</v>
      </c>
      <c r="AT64" s="1265">
        <f>-BC64</f>
        <v>3.8553310000000001</v>
      </c>
      <c r="AU64" s="1265">
        <f t="shared" si="415"/>
        <v>3.8482310000000002</v>
      </c>
      <c r="AV64" s="1265">
        <f t="shared" si="415"/>
        <v>0</v>
      </c>
      <c r="AW64" s="1265">
        <f t="shared" si="416"/>
        <v>0</v>
      </c>
      <c r="AX64" s="1265">
        <f>-BN64</f>
        <v>0</v>
      </c>
      <c r="AY64" s="1265">
        <f t="shared" si="417"/>
        <v>0</v>
      </c>
      <c r="AZ64" s="1258">
        <f>-BU64</f>
        <v>0</v>
      </c>
      <c r="BA64" s="1306">
        <v>-0.45</v>
      </c>
      <c r="BB64" s="1238">
        <v>-0.220833</v>
      </c>
      <c r="BC64" s="1309">
        <f>-1.35-2.1612-0.344131</f>
        <v>-3.8553310000000001</v>
      </c>
      <c r="BD64" s="1177">
        <v>-1.35</v>
      </c>
      <c r="BE64" s="1177">
        <v>-3.847321</v>
      </c>
      <c r="BF64" s="1168">
        <v>-3.8482310000000002</v>
      </c>
      <c r="BG64" s="1312">
        <v>-3.8482310000000002</v>
      </c>
      <c r="BH64" s="1169">
        <v>0</v>
      </c>
      <c r="BI64" s="1177">
        <v>0</v>
      </c>
      <c r="BJ64" s="1177">
        <v>0</v>
      </c>
      <c r="BK64" s="1177">
        <v>0</v>
      </c>
      <c r="BL64" s="1177">
        <v>0</v>
      </c>
      <c r="BM64" s="1177">
        <v>0</v>
      </c>
      <c r="BN64" s="1154">
        <v>0</v>
      </c>
      <c r="BO64" s="1169">
        <v>0</v>
      </c>
      <c r="BP64" s="1242">
        <v>0</v>
      </c>
      <c r="BQ64" s="1242">
        <v>0</v>
      </c>
      <c r="BR64" s="1242">
        <v>0</v>
      </c>
      <c r="BS64" s="1269">
        <v>0</v>
      </c>
      <c r="BT64" s="1269">
        <v>0</v>
      </c>
      <c r="BU64" s="1269">
        <v>0</v>
      </c>
      <c r="BV64" s="1154">
        <v>0</v>
      </c>
      <c r="BW64" s="1271">
        <f>-BV64</f>
        <v>0</v>
      </c>
      <c r="BX64" s="1274" t="s">
        <v>1225</v>
      </c>
    </row>
    <row r="65" spans="1:77" ht="43.5" hidden="1" customHeight="1" outlineLevel="1" x14ac:dyDescent="0.25">
      <c r="A65" s="677">
        <v>6</v>
      </c>
      <c r="B65" s="701" t="s">
        <v>526</v>
      </c>
      <c r="C65" s="690" t="s">
        <v>526</v>
      </c>
      <c r="D65" s="1299"/>
      <c r="E65" s="463" t="s">
        <v>572</v>
      </c>
      <c r="F65" s="1302"/>
      <c r="G65" s="67" t="s">
        <v>294</v>
      </c>
      <c r="H65" s="313" t="s">
        <v>127</v>
      </c>
      <c r="I65" s="1205"/>
      <c r="J65" s="1286"/>
      <c r="K65" s="1228"/>
      <c r="L65" s="1228"/>
      <c r="M65" s="1228"/>
      <c r="N65" s="1228"/>
      <c r="O65" s="1228"/>
      <c r="P65" s="1228"/>
      <c r="Q65" s="1228"/>
      <c r="R65" s="1228"/>
      <c r="S65" s="1288"/>
      <c r="T65" s="1384"/>
      <c r="U65" s="1254"/>
      <c r="V65" s="1254"/>
      <c r="W65" s="1253"/>
      <c r="X65" s="1253"/>
      <c r="Y65" s="1253"/>
      <c r="Z65" s="1254"/>
      <c r="AA65" s="1254"/>
      <c r="AB65" s="1253"/>
      <c r="AC65" s="1253"/>
      <c r="AD65" s="1253"/>
      <c r="AE65" s="1253"/>
      <c r="AF65" s="1253"/>
      <c r="AG65" s="1254"/>
      <c r="AH65" s="1254"/>
      <c r="AI65" s="1253"/>
      <c r="AJ65" s="1253"/>
      <c r="AK65" s="1253"/>
      <c r="AL65" s="1151"/>
      <c r="AM65" s="1151"/>
      <c r="AN65" s="1151"/>
      <c r="AO65" s="283"/>
      <c r="AP65" s="1261"/>
      <c r="AQ65" s="1263"/>
      <c r="AR65" s="1266"/>
      <c r="AS65" s="1266"/>
      <c r="AT65" s="1266"/>
      <c r="AU65" s="1266"/>
      <c r="AV65" s="1266"/>
      <c r="AW65" s="1266"/>
      <c r="AX65" s="1266"/>
      <c r="AY65" s="1266"/>
      <c r="AZ65" s="1259"/>
      <c r="BA65" s="1307"/>
      <c r="BB65" s="1249"/>
      <c r="BC65" s="1310"/>
      <c r="BD65" s="1179"/>
      <c r="BE65" s="1179"/>
      <c r="BF65" s="1168"/>
      <c r="BG65" s="1312"/>
      <c r="BH65" s="1182"/>
      <c r="BI65" s="1179"/>
      <c r="BJ65" s="1179"/>
      <c r="BK65" s="1179"/>
      <c r="BL65" s="1179"/>
      <c r="BM65" s="1179"/>
      <c r="BN65" s="1155"/>
      <c r="BO65" s="1182"/>
      <c r="BP65" s="1293"/>
      <c r="BQ65" s="1293"/>
      <c r="BR65" s="1293"/>
      <c r="BS65" s="1294"/>
      <c r="BT65" s="1294"/>
      <c r="BU65" s="1294"/>
      <c r="BV65" s="1155"/>
      <c r="BW65" s="1295"/>
      <c r="BX65" s="1327"/>
    </row>
    <row r="66" spans="1:77" ht="57.95" hidden="1" customHeight="1" outlineLevel="1" x14ac:dyDescent="0.25">
      <c r="A66" s="677">
        <v>7</v>
      </c>
      <c r="B66" s="701" t="s">
        <v>526</v>
      </c>
      <c r="C66" s="690" t="s">
        <v>526</v>
      </c>
      <c r="D66" s="1300"/>
      <c r="E66" s="463" t="s">
        <v>1433</v>
      </c>
      <c r="F66" s="1303"/>
      <c r="G66" s="67" t="s">
        <v>294</v>
      </c>
      <c r="H66" s="313" t="s">
        <v>127</v>
      </c>
      <c r="I66" s="1205"/>
      <c r="J66" s="1200"/>
      <c r="K66" s="1202"/>
      <c r="L66" s="1202"/>
      <c r="M66" s="1202"/>
      <c r="N66" s="1202"/>
      <c r="O66" s="1202"/>
      <c r="P66" s="1202"/>
      <c r="Q66" s="1202"/>
      <c r="R66" s="1202"/>
      <c r="S66" s="1211"/>
      <c r="T66" s="1207"/>
      <c r="U66" s="1221"/>
      <c r="V66" s="1221"/>
      <c r="W66" s="1194"/>
      <c r="X66" s="1194"/>
      <c r="Y66" s="1194"/>
      <c r="Z66" s="1221"/>
      <c r="AA66" s="1221"/>
      <c r="AB66" s="1194"/>
      <c r="AC66" s="1194"/>
      <c r="AD66" s="1194"/>
      <c r="AE66" s="1194"/>
      <c r="AF66" s="1194"/>
      <c r="AG66" s="1221"/>
      <c r="AH66" s="1221"/>
      <c r="AI66" s="1194"/>
      <c r="AJ66" s="1194"/>
      <c r="AK66" s="1194"/>
      <c r="AL66" s="1227"/>
      <c r="AM66" s="1227"/>
      <c r="AN66" s="1227"/>
      <c r="AO66" s="283"/>
      <c r="AP66" s="1232"/>
      <c r="AQ66" s="1264"/>
      <c r="AR66" s="1267"/>
      <c r="AS66" s="1267"/>
      <c r="AT66" s="1267"/>
      <c r="AU66" s="1267"/>
      <c r="AV66" s="1267"/>
      <c r="AW66" s="1267"/>
      <c r="AX66" s="1267"/>
      <c r="AY66" s="1267"/>
      <c r="AZ66" s="1260"/>
      <c r="BA66" s="1308"/>
      <c r="BB66" s="1239"/>
      <c r="BC66" s="1311"/>
      <c r="BD66" s="1178"/>
      <c r="BE66" s="1178"/>
      <c r="BF66" s="1168"/>
      <c r="BG66" s="1312"/>
      <c r="BH66" s="1170"/>
      <c r="BI66" s="1178"/>
      <c r="BJ66" s="1178"/>
      <c r="BK66" s="1178"/>
      <c r="BL66" s="1178"/>
      <c r="BM66" s="1178"/>
      <c r="BN66" s="1156"/>
      <c r="BO66" s="1170"/>
      <c r="BP66" s="1243"/>
      <c r="BQ66" s="1243"/>
      <c r="BR66" s="1243"/>
      <c r="BS66" s="1270"/>
      <c r="BT66" s="1270"/>
      <c r="BU66" s="1270"/>
      <c r="BV66" s="1156"/>
      <c r="BW66" s="1272"/>
      <c r="BX66" s="1275"/>
    </row>
    <row r="67" spans="1:77" ht="144.94999999999999" hidden="1" customHeight="1" outlineLevel="1" x14ac:dyDescent="0.25">
      <c r="A67" s="677">
        <v>8</v>
      </c>
      <c r="B67" s="705" t="s">
        <v>22</v>
      </c>
      <c r="C67" s="691" t="s">
        <v>22</v>
      </c>
      <c r="D67" s="62">
        <v>43937</v>
      </c>
      <c r="E67" s="463" t="s">
        <v>21</v>
      </c>
      <c r="F67" s="544" t="s">
        <v>30</v>
      </c>
      <c r="G67" s="69" t="s">
        <v>7</v>
      </c>
      <c r="H67" s="306" t="s">
        <v>126</v>
      </c>
      <c r="I67" s="334"/>
      <c r="J67" s="294">
        <f t="shared" ref="J67:J73" si="418">AQ67/T$8</f>
        <v>1.230165638079024E-4</v>
      </c>
      <c r="K67" s="52">
        <f t="shared" ref="K67:L72" si="419">AR67/U$8</f>
        <v>1.3139552674461269E-4</v>
      </c>
      <c r="L67" s="52">
        <f t="shared" si="419"/>
        <v>0</v>
      </c>
      <c r="M67" s="52">
        <f t="shared" ref="M67:M73" si="420">AT67/Y$8</f>
        <v>0</v>
      </c>
      <c r="N67" s="52">
        <f t="shared" ref="N67:N73" si="421">AU67/Z$8</f>
        <v>0</v>
      </c>
      <c r="O67" s="52">
        <f t="shared" ref="O67:O73" si="422">AV67/AA$8</f>
        <v>0</v>
      </c>
      <c r="P67" s="52">
        <f t="shared" ref="P67:Q73" si="423">AW67/AE$8</f>
        <v>0</v>
      </c>
      <c r="Q67" s="52">
        <f t="shared" si="423"/>
        <v>0</v>
      </c>
      <c r="R67" s="52">
        <f t="shared" ref="R67:R73" si="424">AY67/AH$8</f>
        <v>0</v>
      </c>
      <c r="S67" s="527">
        <f t="shared" ref="S67:S73" si="425">AZ67/AN$8</f>
        <v>0</v>
      </c>
      <c r="T67" s="533">
        <f t="shared" ref="T67:T73" si="426">BA67/T$8</f>
        <v>-1.230165638079024E-4</v>
      </c>
      <c r="U67" s="375">
        <f t="shared" ref="U67:AF67" si="427">BB67/U$8</f>
        <v>-1.3139552674461269E-4</v>
      </c>
      <c r="V67" s="375">
        <f t="shared" si="427"/>
        <v>0</v>
      </c>
      <c r="W67" s="376">
        <f t="shared" si="427"/>
        <v>0</v>
      </c>
      <c r="X67" s="376">
        <f t="shared" si="427"/>
        <v>0</v>
      </c>
      <c r="Y67" s="376">
        <f t="shared" si="427"/>
        <v>0</v>
      </c>
      <c r="Z67" s="375">
        <f t="shared" si="427"/>
        <v>0</v>
      </c>
      <c r="AA67" s="375">
        <f t="shared" si="427"/>
        <v>0</v>
      </c>
      <c r="AB67" s="376">
        <f t="shared" si="427"/>
        <v>0</v>
      </c>
      <c r="AC67" s="376">
        <f t="shared" si="427"/>
        <v>0</v>
      </c>
      <c r="AD67" s="376">
        <f t="shared" si="427"/>
        <v>0</v>
      </c>
      <c r="AE67" s="376">
        <f t="shared" si="427"/>
        <v>0</v>
      </c>
      <c r="AF67" s="376">
        <f t="shared" si="427"/>
        <v>0</v>
      </c>
      <c r="AG67" s="375">
        <f t="shared" ref="AG67:AG73" si="428">BN67/AG$8</f>
        <v>0</v>
      </c>
      <c r="AH67" s="375">
        <f t="shared" ref="AH67:AK73" si="429">BO67/AH$8</f>
        <v>0</v>
      </c>
      <c r="AI67" s="376">
        <f t="shared" si="429"/>
        <v>0</v>
      </c>
      <c r="AJ67" s="376">
        <f t="shared" si="429"/>
        <v>0</v>
      </c>
      <c r="AK67" s="376">
        <f t="shared" si="429"/>
        <v>0</v>
      </c>
      <c r="AL67" s="377">
        <f t="shared" ref="AL67:AM73" si="430">BS67/AL$8</f>
        <v>0</v>
      </c>
      <c r="AM67" s="377">
        <f t="shared" si="430"/>
        <v>0</v>
      </c>
      <c r="AN67" s="377">
        <f t="shared" ref="AN67:AN73" si="431">BU67/AN$8</f>
        <v>0</v>
      </c>
      <c r="AO67" s="283"/>
      <c r="AP67" s="295">
        <f t="shared" ref="AP67:AP73" si="432">AR67+AU67+AZ67+AW67+AY67</f>
        <v>3.980502</v>
      </c>
      <c r="AQ67" s="180">
        <f t="shared" si="414"/>
        <v>3.4683290000000002</v>
      </c>
      <c r="AR67" s="80">
        <f t="shared" si="414"/>
        <v>3.980502</v>
      </c>
      <c r="AS67" s="80">
        <f t="shared" si="414"/>
        <v>0</v>
      </c>
      <c r="AT67" s="80">
        <f t="shared" ref="AT67:AT73" si="433">-BC67</f>
        <v>0</v>
      </c>
      <c r="AU67" s="80">
        <f t="shared" ref="AU67:AV73" si="434">-BG67</f>
        <v>0</v>
      </c>
      <c r="AV67" s="80">
        <f t="shared" si="434"/>
        <v>0</v>
      </c>
      <c r="AW67" s="80">
        <f t="shared" ref="AW67:AW69" si="435">-BH67</f>
        <v>0</v>
      </c>
      <c r="AX67" s="80">
        <f t="shared" ref="AX67:AX73" si="436">-BN67</f>
        <v>0</v>
      </c>
      <c r="AY67" s="80">
        <f t="shared" ref="AY67:AY69" si="437">-BO67</f>
        <v>0</v>
      </c>
      <c r="AZ67" s="432">
        <f t="shared" ref="AZ67:AZ73" si="438">-BU67</f>
        <v>0</v>
      </c>
      <c r="BA67" s="1008">
        <v>-3.4683290000000002</v>
      </c>
      <c r="BB67" s="409">
        <v>-3.980502</v>
      </c>
      <c r="BC67" s="207">
        <v>0</v>
      </c>
      <c r="BD67" s="132">
        <v>0</v>
      </c>
      <c r="BE67" s="132">
        <v>0</v>
      </c>
      <c r="BF67" s="132">
        <v>0</v>
      </c>
      <c r="BG67" s="207">
        <v>0</v>
      </c>
      <c r="BH67" s="207">
        <v>0</v>
      </c>
      <c r="BI67" s="132">
        <v>0</v>
      </c>
      <c r="BJ67" s="132">
        <v>0</v>
      </c>
      <c r="BK67" s="132">
        <v>0</v>
      </c>
      <c r="BL67" s="132">
        <v>0</v>
      </c>
      <c r="BM67" s="132">
        <v>0</v>
      </c>
      <c r="BN67" s="409">
        <v>0</v>
      </c>
      <c r="BO67" s="207">
        <v>0</v>
      </c>
      <c r="BP67" s="389">
        <v>0</v>
      </c>
      <c r="BQ67" s="389">
        <v>0</v>
      </c>
      <c r="BR67" s="389">
        <v>0</v>
      </c>
      <c r="BS67" s="296">
        <v>0</v>
      </c>
      <c r="BT67" s="296">
        <v>0</v>
      </c>
      <c r="BU67" s="296">
        <v>0</v>
      </c>
      <c r="BV67" s="409">
        <v>0</v>
      </c>
      <c r="BW67" s="296">
        <f>-BV67</f>
        <v>0</v>
      </c>
      <c r="BX67" s="439" t="s">
        <v>636</v>
      </c>
    </row>
    <row r="68" spans="1:77" ht="144.94999999999999" hidden="1" customHeight="1" outlineLevel="1" x14ac:dyDescent="0.25">
      <c r="A68" s="677">
        <v>9</v>
      </c>
      <c r="B68" s="701" t="s">
        <v>36</v>
      </c>
      <c r="C68" s="690" t="s">
        <v>36</v>
      </c>
      <c r="D68" s="64">
        <v>43930</v>
      </c>
      <c r="E68" s="463" t="s">
        <v>60</v>
      </c>
      <c r="F68" s="544" t="s">
        <v>56</v>
      </c>
      <c r="G68" s="69" t="s">
        <v>7</v>
      </c>
      <c r="H68" s="306" t="s">
        <v>127</v>
      </c>
      <c r="I68" s="334"/>
      <c r="J68" s="294">
        <f t="shared" si="418"/>
        <v>2.5328048520961909E-5</v>
      </c>
      <c r="K68" s="52">
        <f t="shared" si="419"/>
        <v>2.3572256527644298E-5</v>
      </c>
      <c r="L68" s="52">
        <f t="shared" si="419"/>
        <v>0</v>
      </c>
      <c r="M68" s="52">
        <f t="shared" si="420"/>
        <v>0</v>
      </c>
      <c r="N68" s="52">
        <f t="shared" si="421"/>
        <v>0</v>
      </c>
      <c r="O68" s="52">
        <f t="shared" si="422"/>
        <v>0</v>
      </c>
      <c r="P68" s="52">
        <f t="shared" si="423"/>
        <v>0</v>
      </c>
      <c r="Q68" s="52">
        <f t="shared" si="423"/>
        <v>0</v>
      </c>
      <c r="R68" s="52">
        <f t="shared" si="424"/>
        <v>0</v>
      </c>
      <c r="S68" s="527">
        <f t="shared" si="425"/>
        <v>0</v>
      </c>
      <c r="T68" s="533">
        <f t="shared" si="426"/>
        <v>-2.5328048520961909E-5</v>
      </c>
      <c r="U68" s="375">
        <f t="shared" ref="U68:U73" si="439">BB68/U$8</f>
        <v>-2.3572256527644298E-5</v>
      </c>
      <c r="V68" s="375">
        <f t="shared" ref="V68:V73" si="440">BC68/V$8</f>
        <v>0</v>
      </c>
      <c r="W68" s="376">
        <f t="shared" ref="W68:W73" si="441">BD68/W$8</f>
        <v>0</v>
      </c>
      <c r="X68" s="376">
        <f t="shared" ref="X68:X73" si="442">BE68/X$8</f>
        <v>0</v>
      </c>
      <c r="Y68" s="376">
        <f t="shared" ref="Y68:Z73" si="443">BF68/Y$8</f>
        <v>0</v>
      </c>
      <c r="Z68" s="375">
        <f t="shared" si="443"/>
        <v>0</v>
      </c>
      <c r="AA68" s="375">
        <f t="shared" ref="AA68:AA73" si="444">BH68/AA$8</f>
        <v>0</v>
      </c>
      <c r="AB68" s="376">
        <f t="shared" ref="AB68:AB73" si="445">BI68/AB$8</f>
        <v>0</v>
      </c>
      <c r="AC68" s="376">
        <f t="shared" ref="AC68:AF73" si="446">BJ68/AC$8</f>
        <v>0</v>
      </c>
      <c r="AD68" s="376">
        <f t="shared" si="446"/>
        <v>0</v>
      </c>
      <c r="AE68" s="376">
        <f t="shared" si="446"/>
        <v>0</v>
      </c>
      <c r="AF68" s="376">
        <f t="shared" si="446"/>
        <v>0</v>
      </c>
      <c r="AG68" s="375">
        <f t="shared" si="428"/>
        <v>0</v>
      </c>
      <c r="AH68" s="375">
        <f t="shared" si="429"/>
        <v>0</v>
      </c>
      <c r="AI68" s="376">
        <f t="shared" si="429"/>
        <v>0</v>
      </c>
      <c r="AJ68" s="376">
        <f t="shared" si="429"/>
        <v>0</v>
      </c>
      <c r="AK68" s="376">
        <f t="shared" si="429"/>
        <v>0</v>
      </c>
      <c r="AL68" s="377">
        <f t="shared" si="430"/>
        <v>0</v>
      </c>
      <c r="AM68" s="377">
        <f t="shared" si="430"/>
        <v>0</v>
      </c>
      <c r="AN68" s="377">
        <f t="shared" si="431"/>
        <v>0</v>
      </c>
      <c r="AO68" s="283"/>
      <c r="AP68" s="295">
        <f t="shared" si="432"/>
        <v>0.71409900000000004</v>
      </c>
      <c r="AQ68" s="180">
        <f t="shared" si="414"/>
        <v>0.71409900000000004</v>
      </c>
      <c r="AR68" s="80">
        <f t="shared" si="414"/>
        <v>0.71409900000000004</v>
      </c>
      <c r="AS68" s="80">
        <f t="shared" si="414"/>
        <v>0</v>
      </c>
      <c r="AT68" s="80">
        <f t="shared" si="433"/>
        <v>0</v>
      </c>
      <c r="AU68" s="80">
        <f t="shared" si="434"/>
        <v>0</v>
      </c>
      <c r="AV68" s="80">
        <f t="shared" si="434"/>
        <v>0</v>
      </c>
      <c r="AW68" s="80">
        <f t="shared" si="435"/>
        <v>0</v>
      </c>
      <c r="AX68" s="80">
        <f t="shared" si="436"/>
        <v>0</v>
      </c>
      <c r="AY68" s="80">
        <f t="shared" si="437"/>
        <v>0</v>
      </c>
      <c r="AZ68" s="432">
        <f t="shared" si="438"/>
        <v>0</v>
      </c>
      <c r="BA68" s="1008">
        <v>-0.71409900000000004</v>
      </c>
      <c r="BB68" s="409">
        <v>-0.71409900000000004</v>
      </c>
      <c r="BC68" s="207">
        <v>0</v>
      </c>
      <c r="BD68" s="132">
        <v>0</v>
      </c>
      <c r="BE68" s="132">
        <v>0</v>
      </c>
      <c r="BF68" s="132">
        <v>0</v>
      </c>
      <c r="BG68" s="207">
        <v>0</v>
      </c>
      <c r="BH68" s="207">
        <v>0</v>
      </c>
      <c r="BI68" s="132">
        <v>0</v>
      </c>
      <c r="BJ68" s="132">
        <v>0</v>
      </c>
      <c r="BK68" s="132">
        <v>0</v>
      </c>
      <c r="BL68" s="132">
        <v>0</v>
      </c>
      <c r="BM68" s="132">
        <v>0</v>
      </c>
      <c r="BN68" s="409">
        <v>0</v>
      </c>
      <c r="BO68" s="207">
        <v>0</v>
      </c>
      <c r="BP68" s="389">
        <v>0</v>
      </c>
      <c r="BQ68" s="389">
        <v>0</v>
      </c>
      <c r="BR68" s="389">
        <v>0</v>
      </c>
      <c r="BS68" s="296">
        <v>0</v>
      </c>
      <c r="BT68" s="296">
        <v>0</v>
      </c>
      <c r="BU68" s="296">
        <v>0</v>
      </c>
      <c r="BV68" s="409">
        <v>0</v>
      </c>
      <c r="BW68" s="296">
        <f>-BV68</f>
        <v>0</v>
      </c>
      <c r="BX68" s="439" t="s">
        <v>37</v>
      </c>
    </row>
    <row r="69" spans="1:77" s="261" customFormat="1" ht="113.1" hidden="1" customHeight="1" outlineLevel="1" x14ac:dyDescent="0.25">
      <c r="A69" s="677">
        <v>10</v>
      </c>
      <c r="B69" s="701" t="s">
        <v>36</v>
      </c>
      <c r="C69" s="690" t="s">
        <v>36</v>
      </c>
      <c r="D69" s="272" t="s">
        <v>1665</v>
      </c>
      <c r="E69" s="468" t="s">
        <v>573</v>
      </c>
      <c r="F69" s="548" t="s">
        <v>574</v>
      </c>
      <c r="G69" s="69" t="s">
        <v>7</v>
      </c>
      <c r="H69" s="307" t="s">
        <v>127</v>
      </c>
      <c r="I69" s="329"/>
      <c r="J69" s="294">
        <f t="shared" si="418"/>
        <v>5.4621550684542808E-6</v>
      </c>
      <c r="K69" s="52">
        <f t="shared" si="419"/>
        <v>0</v>
      </c>
      <c r="L69" s="52">
        <f t="shared" si="419"/>
        <v>4.268186826640549E-5</v>
      </c>
      <c r="M69" s="52">
        <f t="shared" si="420"/>
        <v>4.4461831533774359E-5</v>
      </c>
      <c r="N69" s="52">
        <f t="shared" si="421"/>
        <v>4.1840318410564814E-5</v>
      </c>
      <c r="O69" s="52">
        <f t="shared" si="422"/>
        <v>0</v>
      </c>
      <c r="P69" s="52">
        <f t="shared" si="423"/>
        <v>0</v>
      </c>
      <c r="Q69" s="52">
        <f t="shared" si="423"/>
        <v>0</v>
      </c>
      <c r="R69" s="52">
        <f t="shared" si="424"/>
        <v>0</v>
      </c>
      <c r="S69" s="527">
        <f t="shared" si="425"/>
        <v>0</v>
      </c>
      <c r="T69" s="533">
        <f t="shared" si="426"/>
        <v>-5.4621550684542808E-6</v>
      </c>
      <c r="U69" s="375">
        <f t="shared" si="439"/>
        <v>0</v>
      </c>
      <c r="V69" s="375">
        <f t="shared" si="440"/>
        <v>-4.268186826640549E-5</v>
      </c>
      <c r="W69" s="376">
        <f t="shared" si="441"/>
        <v>-2.3882674275044151E-5</v>
      </c>
      <c r="X69" s="376">
        <f t="shared" si="442"/>
        <v>-4.4461767766448772E-5</v>
      </c>
      <c r="Y69" s="376">
        <f t="shared" si="443"/>
        <v>-4.4461767766448772E-5</v>
      </c>
      <c r="Z69" s="375">
        <f t="shared" si="443"/>
        <v>-4.1840318410564814E-5</v>
      </c>
      <c r="AA69" s="375">
        <f t="shared" si="444"/>
        <v>0</v>
      </c>
      <c r="AB69" s="376">
        <f t="shared" si="445"/>
        <v>0</v>
      </c>
      <c r="AC69" s="376">
        <f t="shared" si="446"/>
        <v>0</v>
      </c>
      <c r="AD69" s="376">
        <f t="shared" si="446"/>
        <v>0</v>
      </c>
      <c r="AE69" s="376">
        <f t="shared" si="446"/>
        <v>0</v>
      </c>
      <c r="AF69" s="376">
        <f t="shared" si="446"/>
        <v>0</v>
      </c>
      <c r="AG69" s="375">
        <f t="shared" si="428"/>
        <v>0</v>
      </c>
      <c r="AH69" s="375">
        <f t="shared" si="429"/>
        <v>0</v>
      </c>
      <c r="AI69" s="376">
        <f t="shared" si="429"/>
        <v>0</v>
      </c>
      <c r="AJ69" s="376">
        <f t="shared" si="429"/>
        <v>0</v>
      </c>
      <c r="AK69" s="376">
        <f t="shared" si="429"/>
        <v>0</v>
      </c>
      <c r="AL69" s="377">
        <f t="shared" si="430"/>
        <v>0</v>
      </c>
      <c r="AM69" s="377">
        <f t="shared" si="430"/>
        <v>0</v>
      </c>
      <c r="AN69" s="377">
        <f t="shared" si="431"/>
        <v>0</v>
      </c>
      <c r="AO69" s="285"/>
      <c r="AP69" s="295">
        <f t="shared" si="432"/>
        <v>1.4053150000000001</v>
      </c>
      <c r="AQ69" s="180">
        <f t="shared" si="414"/>
        <v>0.154</v>
      </c>
      <c r="AR69" s="80">
        <f t="shared" si="414"/>
        <v>0</v>
      </c>
      <c r="AS69" s="80">
        <f t="shared" si="414"/>
        <v>1.3945020000000001</v>
      </c>
      <c r="AT69" s="80">
        <f t="shared" si="433"/>
        <v>1.3945020000000001</v>
      </c>
      <c r="AU69" s="80">
        <f t="shared" si="434"/>
        <v>1.4053150000000001</v>
      </c>
      <c r="AV69" s="80">
        <f t="shared" si="434"/>
        <v>0</v>
      </c>
      <c r="AW69" s="80">
        <f t="shared" si="435"/>
        <v>0</v>
      </c>
      <c r="AX69" s="80">
        <f t="shared" si="436"/>
        <v>0</v>
      </c>
      <c r="AY69" s="80">
        <f t="shared" si="437"/>
        <v>0</v>
      </c>
      <c r="AZ69" s="432">
        <f t="shared" si="438"/>
        <v>0</v>
      </c>
      <c r="BA69" s="1008">
        <f>-0.154</f>
        <v>-0.154</v>
      </c>
      <c r="BB69" s="409">
        <v>0</v>
      </c>
      <c r="BC69" s="1014">
        <f>-0.7315-0.663002</f>
        <v>-1.3945020000000001</v>
      </c>
      <c r="BD69" s="132">
        <f>-0.7315</f>
        <v>-0.73150000000000004</v>
      </c>
      <c r="BE69" s="132">
        <v>-1.3945000000000001</v>
      </c>
      <c r="BF69" s="132">
        <v>-1.3945000000000001</v>
      </c>
      <c r="BG69" s="207">
        <f>-1.394501-0.010814</f>
        <v>-1.4053150000000001</v>
      </c>
      <c r="BH69" s="207">
        <v>0</v>
      </c>
      <c r="BI69" s="132">
        <v>0</v>
      </c>
      <c r="BJ69" s="132">
        <v>0</v>
      </c>
      <c r="BK69" s="132">
        <v>0</v>
      </c>
      <c r="BL69" s="132">
        <v>0</v>
      </c>
      <c r="BM69" s="132">
        <v>0</v>
      </c>
      <c r="BN69" s="409">
        <v>0</v>
      </c>
      <c r="BO69" s="207">
        <v>0</v>
      </c>
      <c r="BP69" s="389">
        <v>0</v>
      </c>
      <c r="BQ69" s="389">
        <v>0</v>
      </c>
      <c r="BR69" s="389">
        <v>0</v>
      </c>
      <c r="BS69" s="296">
        <v>0</v>
      </c>
      <c r="BT69" s="296">
        <v>0</v>
      </c>
      <c r="BU69" s="296">
        <v>0</v>
      </c>
      <c r="BV69" s="409">
        <v>0</v>
      </c>
      <c r="BW69" s="296">
        <f>-BV69</f>
        <v>0</v>
      </c>
      <c r="BX69" s="444" t="s">
        <v>622</v>
      </c>
    </row>
    <row r="70" spans="1:77" ht="174" hidden="1" customHeight="1" outlineLevel="1" x14ac:dyDescent="0.25">
      <c r="A70" s="677">
        <v>11</v>
      </c>
      <c r="B70" s="701" t="s">
        <v>519</v>
      </c>
      <c r="C70" s="691" t="s">
        <v>519</v>
      </c>
      <c r="D70" s="64">
        <v>43971</v>
      </c>
      <c r="E70" s="463" t="s">
        <v>237</v>
      </c>
      <c r="F70" s="544" t="s">
        <v>190</v>
      </c>
      <c r="G70" s="69" t="s">
        <v>7</v>
      </c>
      <c r="H70" s="306" t="s">
        <v>127</v>
      </c>
      <c r="I70" s="334"/>
      <c r="J70" s="294">
        <f t="shared" si="418"/>
        <v>1.2010211392494857E-4</v>
      </c>
      <c r="K70" s="52">
        <f t="shared" si="419"/>
        <v>1.1177639037639246E-4</v>
      </c>
      <c r="L70" s="52">
        <f t="shared" si="419"/>
        <v>0</v>
      </c>
      <c r="M70" s="52">
        <f t="shared" si="420"/>
        <v>0</v>
      </c>
      <c r="N70" s="52">
        <f t="shared" si="421"/>
        <v>0</v>
      </c>
      <c r="O70" s="52">
        <f t="shared" si="422"/>
        <v>0</v>
      </c>
      <c r="P70" s="52">
        <f t="shared" si="423"/>
        <v>0</v>
      </c>
      <c r="Q70" s="52">
        <f t="shared" si="423"/>
        <v>0</v>
      </c>
      <c r="R70" s="52">
        <f t="shared" si="424"/>
        <v>0</v>
      </c>
      <c r="S70" s="527">
        <f t="shared" si="425"/>
        <v>0</v>
      </c>
      <c r="T70" s="533">
        <f t="shared" si="426"/>
        <v>-1.2010211392494857E-4</v>
      </c>
      <c r="U70" s="375">
        <f t="shared" si="439"/>
        <v>-1.1177639037639246E-4</v>
      </c>
      <c r="V70" s="375">
        <f t="shared" si="440"/>
        <v>0</v>
      </c>
      <c r="W70" s="376">
        <f t="shared" si="441"/>
        <v>0</v>
      </c>
      <c r="X70" s="376">
        <f t="shared" si="442"/>
        <v>0</v>
      </c>
      <c r="Y70" s="376">
        <f t="shared" si="443"/>
        <v>0</v>
      </c>
      <c r="Z70" s="375">
        <f t="shared" si="443"/>
        <v>0</v>
      </c>
      <c r="AA70" s="375">
        <f t="shared" si="444"/>
        <v>0</v>
      </c>
      <c r="AB70" s="376">
        <f t="shared" si="445"/>
        <v>0</v>
      </c>
      <c r="AC70" s="376">
        <f t="shared" si="446"/>
        <v>0</v>
      </c>
      <c r="AD70" s="376">
        <f t="shared" si="446"/>
        <v>0</v>
      </c>
      <c r="AE70" s="376">
        <f t="shared" si="446"/>
        <v>0</v>
      </c>
      <c r="AF70" s="376">
        <f t="shared" si="446"/>
        <v>0</v>
      </c>
      <c r="AG70" s="375">
        <f t="shared" si="428"/>
        <v>0</v>
      </c>
      <c r="AH70" s="375">
        <f t="shared" si="429"/>
        <v>0</v>
      </c>
      <c r="AI70" s="376">
        <f t="shared" si="429"/>
        <v>0</v>
      </c>
      <c r="AJ70" s="376">
        <f t="shared" si="429"/>
        <v>0</v>
      </c>
      <c r="AK70" s="376">
        <f t="shared" si="429"/>
        <v>0</v>
      </c>
      <c r="AL70" s="377">
        <f t="shared" si="430"/>
        <v>0</v>
      </c>
      <c r="AM70" s="377">
        <f t="shared" si="430"/>
        <v>0</v>
      </c>
      <c r="AN70" s="377">
        <f t="shared" si="431"/>
        <v>0</v>
      </c>
      <c r="AO70" s="283"/>
      <c r="AP70" s="295">
        <f t="shared" si="432"/>
        <v>3.3861590000000001</v>
      </c>
      <c r="AQ70" s="180">
        <f t="shared" si="414"/>
        <v>3.3861590000000001</v>
      </c>
      <c r="AR70" s="80">
        <f t="shared" si="414"/>
        <v>3.3861590000000001</v>
      </c>
      <c r="AS70" s="80">
        <f t="shared" si="414"/>
        <v>0</v>
      </c>
      <c r="AT70" s="80">
        <f t="shared" si="433"/>
        <v>0</v>
      </c>
      <c r="AU70" s="80">
        <f t="shared" si="434"/>
        <v>0</v>
      </c>
      <c r="AV70" s="80">
        <f t="shared" si="434"/>
        <v>0</v>
      </c>
      <c r="AW70" s="80">
        <f t="shared" ref="AW70:AW73" si="447">-BH70</f>
        <v>0</v>
      </c>
      <c r="AX70" s="80">
        <f t="shared" si="436"/>
        <v>0</v>
      </c>
      <c r="AY70" s="80">
        <f t="shared" ref="AY70:AY73" si="448">-BO70</f>
        <v>0</v>
      </c>
      <c r="AZ70" s="432">
        <f t="shared" si="438"/>
        <v>0</v>
      </c>
      <c r="BA70" s="1008">
        <v>-3.3861590000000001</v>
      </c>
      <c r="BB70" s="409">
        <f>-3.384779-0.00138</f>
        <v>-3.3861590000000001</v>
      </c>
      <c r="BC70" s="207">
        <v>0</v>
      </c>
      <c r="BD70" s="132">
        <v>0</v>
      </c>
      <c r="BE70" s="132">
        <v>0</v>
      </c>
      <c r="BF70" s="132">
        <v>0</v>
      </c>
      <c r="BG70" s="207">
        <v>0</v>
      </c>
      <c r="BH70" s="207">
        <v>0</v>
      </c>
      <c r="BI70" s="132">
        <v>0</v>
      </c>
      <c r="BJ70" s="132">
        <v>0</v>
      </c>
      <c r="BK70" s="132">
        <v>0</v>
      </c>
      <c r="BL70" s="132">
        <v>0</v>
      </c>
      <c r="BM70" s="132">
        <v>0</v>
      </c>
      <c r="BN70" s="409">
        <v>0</v>
      </c>
      <c r="BO70" s="207">
        <v>0</v>
      </c>
      <c r="BP70" s="389">
        <v>0</v>
      </c>
      <c r="BQ70" s="389">
        <v>0</v>
      </c>
      <c r="BR70" s="389">
        <v>0</v>
      </c>
      <c r="BS70" s="296">
        <v>0</v>
      </c>
      <c r="BT70" s="296">
        <v>0</v>
      </c>
      <c r="BU70" s="296">
        <v>0</v>
      </c>
      <c r="BV70" s="409">
        <v>0</v>
      </c>
      <c r="BW70" s="296">
        <v>0</v>
      </c>
      <c r="BX70" s="439" t="s">
        <v>632</v>
      </c>
    </row>
    <row r="71" spans="1:77" ht="116.1" hidden="1" customHeight="1" outlineLevel="1" x14ac:dyDescent="0.25">
      <c r="A71" s="677">
        <v>12</v>
      </c>
      <c r="B71" s="701" t="s">
        <v>520</v>
      </c>
      <c r="C71" s="691" t="s">
        <v>520</v>
      </c>
      <c r="D71" s="62">
        <v>43956</v>
      </c>
      <c r="E71" s="463" t="s">
        <v>238</v>
      </c>
      <c r="F71" s="544" t="s">
        <v>197</v>
      </c>
      <c r="G71" s="69" t="s">
        <v>7</v>
      </c>
      <c r="H71" s="306" t="s">
        <v>127</v>
      </c>
      <c r="I71" s="334"/>
      <c r="J71" s="294">
        <f t="shared" si="418"/>
        <v>1.1998226573029723E-5</v>
      </c>
      <c r="K71" s="52">
        <f t="shared" si="419"/>
        <v>1.1166485030308763E-5</v>
      </c>
      <c r="L71" s="52">
        <f t="shared" si="419"/>
        <v>0</v>
      </c>
      <c r="M71" s="52">
        <f t="shared" si="420"/>
        <v>0</v>
      </c>
      <c r="N71" s="52">
        <f t="shared" si="421"/>
        <v>0</v>
      </c>
      <c r="O71" s="52">
        <f t="shared" si="422"/>
        <v>0</v>
      </c>
      <c r="P71" s="52">
        <f t="shared" si="423"/>
        <v>0</v>
      </c>
      <c r="Q71" s="52">
        <f t="shared" si="423"/>
        <v>0</v>
      </c>
      <c r="R71" s="52">
        <f t="shared" si="424"/>
        <v>0</v>
      </c>
      <c r="S71" s="527">
        <f t="shared" si="425"/>
        <v>0</v>
      </c>
      <c r="T71" s="533">
        <f t="shared" si="426"/>
        <v>-1.1998226573029723E-5</v>
      </c>
      <c r="U71" s="375">
        <f t="shared" si="439"/>
        <v>-1.1166485030308763E-5</v>
      </c>
      <c r="V71" s="375">
        <f t="shared" si="440"/>
        <v>0</v>
      </c>
      <c r="W71" s="376">
        <f t="shared" si="441"/>
        <v>0</v>
      </c>
      <c r="X71" s="376">
        <f t="shared" si="442"/>
        <v>0</v>
      </c>
      <c r="Y71" s="376">
        <f t="shared" si="443"/>
        <v>0</v>
      </c>
      <c r="Z71" s="375">
        <f t="shared" si="443"/>
        <v>0</v>
      </c>
      <c r="AA71" s="375">
        <f t="shared" si="444"/>
        <v>0</v>
      </c>
      <c r="AB71" s="376">
        <f t="shared" si="445"/>
        <v>0</v>
      </c>
      <c r="AC71" s="376">
        <f t="shared" si="446"/>
        <v>0</v>
      </c>
      <c r="AD71" s="376">
        <f t="shared" si="446"/>
        <v>0</v>
      </c>
      <c r="AE71" s="376">
        <f t="shared" si="446"/>
        <v>0</v>
      </c>
      <c r="AF71" s="376">
        <f t="shared" si="446"/>
        <v>0</v>
      </c>
      <c r="AG71" s="375">
        <f t="shared" si="428"/>
        <v>0</v>
      </c>
      <c r="AH71" s="375">
        <f t="shared" si="429"/>
        <v>0</v>
      </c>
      <c r="AI71" s="376">
        <f t="shared" si="429"/>
        <v>0</v>
      </c>
      <c r="AJ71" s="376">
        <f t="shared" si="429"/>
        <v>0</v>
      </c>
      <c r="AK71" s="376">
        <f t="shared" si="429"/>
        <v>0</v>
      </c>
      <c r="AL71" s="377">
        <f t="shared" si="430"/>
        <v>0</v>
      </c>
      <c r="AM71" s="377">
        <f t="shared" si="430"/>
        <v>0</v>
      </c>
      <c r="AN71" s="377">
        <f t="shared" si="431"/>
        <v>0</v>
      </c>
      <c r="AO71" s="283"/>
      <c r="AP71" s="295">
        <f t="shared" si="432"/>
        <v>0.33827800000000002</v>
      </c>
      <c r="AQ71" s="180">
        <f t="shared" si="414"/>
        <v>0.33827800000000002</v>
      </c>
      <c r="AR71" s="80">
        <f t="shared" si="414"/>
        <v>0.33827800000000002</v>
      </c>
      <c r="AS71" s="80">
        <f t="shared" si="414"/>
        <v>0</v>
      </c>
      <c r="AT71" s="80">
        <f t="shared" si="433"/>
        <v>0</v>
      </c>
      <c r="AU71" s="80">
        <f t="shared" si="434"/>
        <v>0</v>
      </c>
      <c r="AV71" s="80">
        <f t="shared" si="434"/>
        <v>0</v>
      </c>
      <c r="AW71" s="80">
        <f t="shared" si="447"/>
        <v>0</v>
      </c>
      <c r="AX71" s="80">
        <f t="shared" si="436"/>
        <v>0</v>
      </c>
      <c r="AY71" s="80">
        <f t="shared" si="448"/>
        <v>0</v>
      </c>
      <c r="AZ71" s="432">
        <f t="shared" si="438"/>
        <v>0</v>
      </c>
      <c r="BA71" s="1008">
        <v>-0.33827800000000002</v>
      </c>
      <c r="BB71" s="409">
        <v>-0.33827800000000002</v>
      </c>
      <c r="BC71" s="207">
        <v>0</v>
      </c>
      <c r="BD71" s="132">
        <v>0</v>
      </c>
      <c r="BE71" s="132">
        <v>0</v>
      </c>
      <c r="BF71" s="132">
        <v>0</v>
      </c>
      <c r="BG71" s="207">
        <v>0</v>
      </c>
      <c r="BH71" s="207">
        <v>0</v>
      </c>
      <c r="BI71" s="132">
        <v>0</v>
      </c>
      <c r="BJ71" s="132">
        <v>0</v>
      </c>
      <c r="BK71" s="132">
        <v>0</v>
      </c>
      <c r="BL71" s="132">
        <v>0</v>
      </c>
      <c r="BM71" s="132">
        <v>0</v>
      </c>
      <c r="BN71" s="409">
        <v>0</v>
      </c>
      <c r="BO71" s="207">
        <v>0</v>
      </c>
      <c r="BP71" s="389">
        <v>0</v>
      </c>
      <c r="BQ71" s="389">
        <v>0</v>
      </c>
      <c r="BR71" s="389">
        <v>0</v>
      </c>
      <c r="BS71" s="296">
        <v>0</v>
      </c>
      <c r="BT71" s="296">
        <v>0</v>
      </c>
      <c r="BU71" s="296">
        <v>0</v>
      </c>
      <c r="BV71" s="409">
        <v>0</v>
      </c>
      <c r="BW71" s="296">
        <f t="shared" ref="BW71:BW72" si="449">-BV71</f>
        <v>0</v>
      </c>
      <c r="BX71" s="439" t="s">
        <v>631</v>
      </c>
    </row>
    <row r="72" spans="1:77" ht="116.1" hidden="1" customHeight="1" outlineLevel="1" x14ac:dyDescent="0.25">
      <c r="A72" s="677">
        <v>13</v>
      </c>
      <c r="B72" s="701" t="s">
        <v>521</v>
      </c>
      <c r="C72" s="691" t="s">
        <v>521</v>
      </c>
      <c r="D72" s="62" t="s">
        <v>353</v>
      </c>
      <c r="E72" s="463" t="s">
        <v>633</v>
      </c>
      <c r="F72" s="544" t="s">
        <v>354</v>
      </c>
      <c r="G72" s="69" t="s">
        <v>7</v>
      </c>
      <c r="H72" s="306" t="s">
        <v>127</v>
      </c>
      <c r="I72" s="334"/>
      <c r="J72" s="294">
        <f t="shared" si="418"/>
        <v>4.3973717812300492E-5</v>
      </c>
      <c r="K72" s="52">
        <f t="shared" si="419"/>
        <v>4.0925369986081423E-5</v>
      </c>
      <c r="L72" s="52">
        <f t="shared" si="419"/>
        <v>0</v>
      </c>
      <c r="M72" s="52">
        <f t="shared" si="420"/>
        <v>0</v>
      </c>
      <c r="N72" s="52">
        <f t="shared" si="421"/>
        <v>6.6989049731747565E-8</v>
      </c>
      <c r="O72" s="52">
        <f t="shared" si="422"/>
        <v>0</v>
      </c>
      <c r="P72" s="52">
        <f t="shared" si="423"/>
        <v>0</v>
      </c>
      <c r="Q72" s="52">
        <f t="shared" si="423"/>
        <v>0</v>
      </c>
      <c r="R72" s="52">
        <f t="shared" si="424"/>
        <v>0</v>
      </c>
      <c r="S72" s="527">
        <f t="shared" si="425"/>
        <v>0</v>
      </c>
      <c r="T72" s="533">
        <f t="shared" si="426"/>
        <v>-4.3973717812300492E-5</v>
      </c>
      <c r="U72" s="375">
        <f t="shared" si="439"/>
        <v>-4.0925369986081423E-5</v>
      </c>
      <c r="V72" s="375">
        <f t="shared" si="440"/>
        <v>0</v>
      </c>
      <c r="W72" s="376">
        <f t="shared" si="441"/>
        <v>0</v>
      </c>
      <c r="X72" s="376">
        <f t="shared" si="442"/>
        <v>0</v>
      </c>
      <c r="Y72" s="376">
        <f t="shared" si="443"/>
        <v>-7.1738241286848135E-8</v>
      </c>
      <c r="Z72" s="375">
        <f t="shared" si="443"/>
        <v>-6.6989049731747565E-8</v>
      </c>
      <c r="AA72" s="375">
        <f t="shared" si="444"/>
        <v>0</v>
      </c>
      <c r="AB72" s="376">
        <f t="shared" si="445"/>
        <v>0</v>
      </c>
      <c r="AC72" s="376">
        <f t="shared" si="446"/>
        <v>0</v>
      </c>
      <c r="AD72" s="376">
        <f t="shared" si="446"/>
        <v>0</v>
      </c>
      <c r="AE72" s="376">
        <f t="shared" si="446"/>
        <v>0</v>
      </c>
      <c r="AF72" s="376">
        <f t="shared" si="446"/>
        <v>0</v>
      </c>
      <c r="AG72" s="375">
        <f t="shared" si="428"/>
        <v>0</v>
      </c>
      <c r="AH72" s="375">
        <f t="shared" si="429"/>
        <v>0</v>
      </c>
      <c r="AI72" s="376">
        <f t="shared" si="429"/>
        <v>0</v>
      </c>
      <c r="AJ72" s="376">
        <f t="shared" si="429"/>
        <v>0</v>
      </c>
      <c r="AK72" s="376">
        <f t="shared" si="429"/>
        <v>0</v>
      </c>
      <c r="AL72" s="377">
        <f t="shared" si="430"/>
        <v>0</v>
      </c>
      <c r="AM72" s="377">
        <f t="shared" si="430"/>
        <v>0</v>
      </c>
      <c r="AN72" s="377">
        <f t="shared" si="431"/>
        <v>0</v>
      </c>
      <c r="AO72" s="283"/>
      <c r="AP72" s="295">
        <f t="shared" si="432"/>
        <v>1.2420450000000001</v>
      </c>
      <c r="AQ72" s="180">
        <f t="shared" si="414"/>
        <v>1.239795</v>
      </c>
      <c r="AR72" s="80">
        <f t="shared" si="414"/>
        <v>1.239795</v>
      </c>
      <c r="AS72" s="80">
        <f t="shared" si="414"/>
        <v>0</v>
      </c>
      <c r="AT72" s="80">
        <f t="shared" si="433"/>
        <v>0</v>
      </c>
      <c r="AU72" s="80">
        <f t="shared" si="434"/>
        <v>2.2499999999999998E-3</v>
      </c>
      <c r="AV72" s="80">
        <f t="shared" si="434"/>
        <v>0</v>
      </c>
      <c r="AW72" s="80">
        <f t="shared" si="447"/>
        <v>0</v>
      </c>
      <c r="AX72" s="80">
        <f t="shared" si="436"/>
        <v>0</v>
      </c>
      <c r="AY72" s="80">
        <f t="shared" si="448"/>
        <v>0</v>
      </c>
      <c r="AZ72" s="432">
        <f t="shared" si="438"/>
        <v>0</v>
      </c>
      <c r="BA72" s="1008">
        <v>-1.239795</v>
      </c>
      <c r="BB72" s="409">
        <f>-1.2162-0.023595</f>
        <v>-1.239795</v>
      </c>
      <c r="BC72" s="207">
        <v>0</v>
      </c>
      <c r="BD72" s="132">
        <v>0</v>
      </c>
      <c r="BE72" s="132">
        <v>0</v>
      </c>
      <c r="BF72" s="132">
        <v>-2.2499999999999998E-3</v>
      </c>
      <c r="BG72" s="207">
        <v>-2.2499999999999998E-3</v>
      </c>
      <c r="BH72" s="207">
        <v>0</v>
      </c>
      <c r="BI72" s="132">
        <v>0</v>
      </c>
      <c r="BJ72" s="132">
        <v>0</v>
      </c>
      <c r="BK72" s="132">
        <v>0</v>
      </c>
      <c r="BL72" s="132">
        <v>0</v>
      </c>
      <c r="BM72" s="132">
        <v>0</v>
      </c>
      <c r="BN72" s="409">
        <v>0</v>
      </c>
      <c r="BO72" s="207">
        <v>0</v>
      </c>
      <c r="BP72" s="389">
        <v>0</v>
      </c>
      <c r="BQ72" s="389">
        <v>0</v>
      </c>
      <c r="BR72" s="389">
        <v>0</v>
      </c>
      <c r="BS72" s="296">
        <v>0</v>
      </c>
      <c r="BT72" s="296">
        <v>0</v>
      </c>
      <c r="BU72" s="296">
        <v>0</v>
      </c>
      <c r="BV72" s="409">
        <v>0</v>
      </c>
      <c r="BW72" s="296">
        <f t="shared" si="449"/>
        <v>0</v>
      </c>
      <c r="BX72" s="439" t="s">
        <v>630</v>
      </c>
    </row>
    <row r="73" spans="1:77" ht="43.5" hidden="1" customHeight="1" outlineLevel="1" x14ac:dyDescent="0.25">
      <c r="A73" s="678">
        <v>14</v>
      </c>
      <c r="B73" s="702" t="s">
        <v>269</v>
      </c>
      <c r="C73" s="694" t="s">
        <v>269</v>
      </c>
      <c r="D73" s="1208" t="s">
        <v>634</v>
      </c>
      <c r="E73" s="463" t="s">
        <v>577</v>
      </c>
      <c r="F73" s="1240" t="s">
        <v>578</v>
      </c>
      <c r="G73" s="67" t="s">
        <v>294</v>
      </c>
      <c r="H73" s="313" t="s">
        <v>127</v>
      </c>
      <c r="I73" s="1204"/>
      <c r="J73" s="1199">
        <f t="shared" si="418"/>
        <v>8.6144569766617022E-6</v>
      </c>
      <c r="K73" s="1201">
        <f>AR73/U$8</f>
        <v>6.7835114128865918E-6</v>
      </c>
      <c r="L73" s="1201">
        <f t="shared" ref="L73" si="450">AS73/V$8</f>
        <v>6.6442213516160622E-6</v>
      </c>
      <c r="M73" s="1201">
        <f t="shared" si="420"/>
        <v>6.9213055193551079E-6</v>
      </c>
      <c r="N73" s="1201">
        <f t="shared" si="421"/>
        <v>3.9351451916197951E-6</v>
      </c>
      <c r="O73" s="1201">
        <f t="shared" si="422"/>
        <v>0</v>
      </c>
      <c r="P73" s="1201">
        <f t="shared" si="423"/>
        <v>0</v>
      </c>
      <c r="Q73" s="1201">
        <f t="shared" si="423"/>
        <v>0</v>
      </c>
      <c r="R73" s="1201">
        <f t="shared" si="424"/>
        <v>0</v>
      </c>
      <c r="S73" s="1210">
        <f t="shared" si="425"/>
        <v>0</v>
      </c>
      <c r="T73" s="1296">
        <f t="shared" si="426"/>
        <v>-8.6144569766617022E-6</v>
      </c>
      <c r="U73" s="1197">
        <f t="shared" si="439"/>
        <v>-6.7835114128865918E-6</v>
      </c>
      <c r="V73" s="1197">
        <f t="shared" si="440"/>
        <v>-6.6442213516160622E-6</v>
      </c>
      <c r="W73" s="1255">
        <f t="shared" si="441"/>
        <v>-7.087424376796424E-6</v>
      </c>
      <c r="X73" s="1255">
        <f t="shared" si="442"/>
        <v>-6.9213055193551079E-6</v>
      </c>
      <c r="Y73" s="1255">
        <f t="shared" si="443"/>
        <v>-4.2141274788290191E-6</v>
      </c>
      <c r="Z73" s="1197">
        <f t="shared" si="443"/>
        <v>-3.9351451916197951E-6</v>
      </c>
      <c r="AA73" s="1197">
        <f t="shared" si="444"/>
        <v>0</v>
      </c>
      <c r="AB73" s="1255">
        <f t="shared" si="445"/>
        <v>0</v>
      </c>
      <c r="AC73" s="1255">
        <f t="shared" si="446"/>
        <v>0</v>
      </c>
      <c r="AD73" s="1255">
        <f t="shared" si="446"/>
        <v>0</v>
      </c>
      <c r="AE73" s="1255">
        <f t="shared" si="446"/>
        <v>0</v>
      </c>
      <c r="AF73" s="1255">
        <f t="shared" si="446"/>
        <v>0</v>
      </c>
      <c r="AG73" s="1197">
        <f t="shared" si="428"/>
        <v>0</v>
      </c>
      <c r="AH73" s="1197">
        <f t="shared" si="429"/>
        <v>0</v>
      </c>
      <c r="AI73" s="1255">
        <f t="shared" si="429"/>
        <v>0</v>
      </c>
      <c r="AJ73" s="1255">
        <f t="shared" si="429"/>
        <v>0</v>
      </c>
      <c r="AK73" s="1255">
        <f t="shared" si="429"/>
        <v>0</v>
      </c>
      <c r="AL73" s="1291">
        <f t="shared" si="430"/>
        <v>0</v>
      </c>
      <c r="AM73" s="1291">
        <f t="shared" si="430"/>
        <v>0</v>
      </c>
      <c r="AN73" s="1291">
        <f t="shared" si="431"/>
        <v>0</v>
      </c>
      <c r="AO73" s="284"/>
      <c r="AP73" s="1231">
        <f t="shared" si="432"/>
        <v>0.33767199999999997</v>
      </c>
      <c r="AQ73" s="1262">
        <f>-BA73</f>
        <v>0.24287600000000001</v>
      </c>
      <c r="AR73" s="1233">
        <f t="shared" ref="AR73:AS73" si="451">-BB73</f>
        <v>0.20549999999999999</v>
      </c>
      <c r="AS73" s="1265">
        <f t="shared" si="451"/>
        <v>0.21708</v>
      </c>
      <c r="AT73" s="1265">
        <f t="shared" si="433"/>
        <v>0.21708</v>
      </c>
      <c r="AU73" s="1265">
        <f t="shared" si="434"/>
        <v>0.13217200000000001</v>
      </c>
      <c r="AV73" s="1265">
        <f t="shared" si="434"/>
        <v>0</v>
      </c>
      <c r="AW73" s="1265">
        <f t="shared" si="447"/>
        <v>0</v>
      </c>
      <c r="AX73" s="1265">
        <f t="shared" si="436"/>
        <v>0</v>
      </c>
      <c r="AY73" s="1265">
        <f t="shared" si="448"/>
        <v>0</v>
      </c>
      <c r="AZ73" s="1258">
        <f t="shared" si="438"/>
        <v>0</v>
      </c>
      <c r="BA73" s="1306">
        <v>-0.24287600000000001</v>
      </c>
      <c r="BB73" s="1238">
        <v>-0.20549999999999999</v>
      </c>
      <c r="BC73" s="1169">
        <v>-0.21708</v>
      </c>
      <c r="BD73" s="1177">
        <v>-0.21708</v>
      </c>
      <c r="BE73" s="1177">
        <v>-0.21708</v>
      </c>
      <c r="BF73" s="1168">
        <f>-0.132172</f>
        <v>-0.13217200000000001</v>
      </c>
      <c r="BG73" s="1171">
        <f>-0.132172</f>
        <v>-0.13217200000000001</v>
      </c>
      <c r="BH73" s="1169">
        <v>0</v>
      </c>
      <c r="BI73" s="1177">
        <v>0</v>
      </c>
      <c r="BJ73" s="1177">
        <v>0</v>
      </c>
      <c r="BK73" s="1177">
        <v>0</v>
      </c>
      <c r="BL73" s="1177">
        <v>0</v>
      </c>
      <c r="BM73" s="1177">
        <v>0</v>
      </c>
      <c r="BN73" s="1154">
        <v>0</v>
      </c>
      <c r="BO73" s="1169">
        <v>0</v>
      </c>
      <c r="BP73" s="1242">
        <v>0</v>
      </c>
      <c r="BQ73" s="1242">
        <v>0</v>
      </c>
      <c r="BR73" s="1242">
        <v>0</v>
      </c>
      <c r="BS73" s="1269">
        <v>0</v>
      </c>
      <c r="BT73" s="1269">
        <v>0</v>
      </c>
      <c r="BU73" s="1269">
        <v>0</v>
      </c>
      <c r="BV73" s="1154">
        <v>0</v>
      </c>
      <c r="BW73" s="1271">
        <f>-BV73</f>
        <v>0</v>
      </c>
      <c r="BX73" s="1274" t="s">
        <v>623</v>
      </c>
    </row>
    <row r="74" spans="1:77" ht="77.099999999999994" hidden="1" customHeight="1" outlineLevel="1" x14ac:dyDescent="0.25">
      <c r="A74" s="678">
        <v>15</v>
      </c>
      <c r="B74" s="702" t="s">
        <v>269</v>
      </c>
      <c r="C74" s="694" t="s">
        <v>269</v>
      </c>
      <c r="D74" s="1209"/>
      <c r="E74" s="463" t="s">
        <v>579</v>
      </c>
      <c r="F74" s="1241"/>
      <c r="G74" s="67" t="s">
        <v>294</v>
      </c>
      <c r="H74" s="313" t="s">
        <v>127</v>
      </c>
      <c r="I74" s="1204"/>
      <c r="J74" s="1200"/>
      <c r="K74" s="1202"/>
      <c r="L74" s="1202"/>
      <c r="M74" s="1202"/>
      <c r="N74" s="1202"/>
      <c r="O74" s="1202"/>
      <c r="P74" s="1202"/>
      <c r="Q74" s="1202"/>
      <c r="R74" s="1202"/>
      <c r="S74" s="1211"/>
      <c r="T74" s="1297"/>
      <c r="U74" s="1198"/>
      <c r="V74" s="1198"/>
      <c r="W74" s="1256"/>
      <c r="X74" s="1256"/>
      <c r="Y74" s="1256"/>
      <c r="Z74" s="1198"/>
      <c r="AA74" s="1198"/>
      <c r="AB74" s="1256"/>
      <c r="AC74" s="1256"/>
      <c r="AD74" s="1256"/>
      <c r="AE74" s="1256"/>
      <c r="AF74" s="1256"/>
      <c r="AG74" s="1198"/>
      <c r="AH74" s="1198"/>
      <c r="AI74" s="1256"/>
      <c r="AJ74" s="1256"/>
      <c r="AK74" s="1256"/>
      <c r="AL74" s="1292"/>
      <c r="AM74" s="1292"/>
      <c r="AN74" s="1292"/>
      <c r="AO74" s="284"/>
      <c r="AP74" s="1232"/>
      <c r="AQ74" s="1264"/>
      <c r="AR74" s="1234"/>
      <c r="AS74" s="1267"/>
      <c r="AT74" s="1267"/>
      <c r="AU74" s="1267"/>
      <c r="AV74" s="1267"/>
      <c r="AW74" s="1267"/>
      <c r="AX74" s="1267"/>
      <c r="AY74" s="1267"/>
      <c r="AZ74" s="1260"/>
      <c r="BA74" s="1308"/>
      <c r="BB74" s="1239"/>
      <c r="BC74" s="1170"/>
      <c r="BD74" s="1178"/>
      <c r="BE74" s="1178"/>
      <c r="BF74" s="1168"/>
      <c r="BG74" s="1171"/>
      <c r="BH74" s="1170"/>
      <c r="BI74" s="1178"/>
      <c r="BJ74" s="1178"/>
      <c r="BK74" s="1178"/>
      <c r="BL74" s="1178"/>
      <c r="BM74" s="1178"/>
      <c r="BN74" s="1156"/>
      <c r="BO74" s="1170"/>
      <c r="BP74" s="1243"/>
      <c r="BQ74" s="1243"/>
      <c r="BR74" s="1243"/>
      <c r="BS74" s="1270"/>
      <c r="BT74" s="1270"/>
      <c r="BU74" s="1270"/>
      <c r="BV74" s="1156"/>
      <c r="BW74" s="1272"/>
      <c r="BX74" s="1275"/>
    </row>
    <row r="75" spans="1:77" ht="119.45" hidden="1" customHeight="1" outlineLevel="1" x14ac:dyDescent="0.25">
      <c r="A75" s="677">
        <v>16</v>
      </c>
      <c r="B75" s="701" t="s">
        <v>1915</v>
      </c>
      <c r="C75" s="691" t="s">
        <v>1915</v>
      </c>
      <c r="D75" s="62">
        <v>44572</v>
      </c>
      <c r="E75" s="463" t="s">
        <v>1943</v>
      </c>
      <c r="F75" s="544" t="s">
        <v>1916</v>
      </c>
      <c r="G75" s="69" t="s">
        <v>7</v>
      </c>
      <c r="H75" s="306" t="s">
        <v>126</v>
      </c>
      <c r="I75" s="335"/>
      <c r="J75" s="294">
        <f>AQ75/T$8</f>
        <v>0</v>
      </c>
      <c r="K75" s="52">
        <f t="shared" ref="K75" si="452">AR75/U$8</f>
        <v>0</v>
      </c>
      <c r="L75" s="52">
        <f t="shared" ref="L75" si="453">AS75/V$8</f>
        <v>0</v>
      </c>
      <c r="M75" s="52">
        <f t="shared" ref="M75:O76" si="454">AT75/Y$8</f>
        <v>0</v>
      </c>
      <c r="N75" s="52">
        <f t="shared" si="454"/>
        <v>0</v>
      </c>
      <c r="O75" s="52">
        <f t="shared" si="454"/>
        <v>1.6529570270719154E-4</v>
      </c>
      <c r="P75" s="52">
        <f>AW75/AE$8</f>
        <v>1.6993102458024066E-4</v>
      </c>
      <c r="Q75" s="52">
        <f>AX75/AF$8</f>
        <v>1.6258327432254002E-4</v>
      </c>
      <c r="R75" s="52">
        <f>AY75/AH$8</f>
        <v>0</v>
      </c>
      <c r="S75" s="527">
        <f t="shared" ref="S75" si="455">AZ75/AN$8</f>
        <v>0</v>
      </c>
      <c r="T75" s="718">
        <f>BA75/T$8</f>
        <v>0</v>
      </c>
      <c r="U75" s="375">
        <f t="shared" ref="U75" si="456">BB75/U$8</f>
        <v>0</v>
      </c>
      <c r="V75" s="375">
        <f t="shared" ref="V75" si="457">BC75/V$8</f>
        <v>0</v>
      </c>
      <c r="W75" s="376">
        <f t="shared" ref="W75" si="458">BD75/W$8</f>
        <v>0</v>
      </c>
      <c r="X75" s="376">
        <f t="shared" ref="X75" si="459">BE75/X$8</f>
        <v>0</v>
      </c>
      <c r="Y75" s="376">
        <f t="shared" ref="Y75" si="460">BF75/Y$8</f>
        <v>-7.1738241286848135E-8</v>
      </c>
      <c r="Z75" s="375">
        <f>BG75/Z$8</f>
        <v>0</v>
      </c>
      <c r="AA75" s="375">
        <f t="shared" ref="AA75" si="461">BH75/AA$8</f>
        <v>-1.6529570270719154E-4</v>
      </c>
      <c r="AB75" s="376">
        <f t="shared" ref="AB75" si="462">BI75/AB$8</f>
        <v>0</v>
      </c>
      <c r="AC75" s="376">
        <f t="shared" ref="AC75:AF76" si="463">BJ75/AC$8</f>
        <v>0</v>
      </c>
      <c r="AD75" s="376">
        <f t="shared" si="463"/>
        <v>-4.9063082994196361E-4</v>
      </c>
      <c r="AE75" s="376">
        <f t="shared" si="463"/>
        <v>-1.6992922597361507E-4</v>
      </c>
      <c r="AF75" s="376">
        <f t="shared" si="463"/>
        <v>-1.6529395316235826E-4</v>
      </c>
      <c r="AG75" s="375">
        <f>BN75/AG$8</f>
        <v>-1.6407302288828614E-4</v>
      </c>
      <c r="AH75" s="375">
        <f t="shared" ref="AH75:AK76" si="464">BO75/AH$8</f>
        <v>0</v>
      </c>
      <c r="AI75" s="376">
        <f t="shared" si="464"/>
        <v>0</v>
      </c>
      <c r="AJ75" s="376">
        <f t="shared" si="464"/>
        <v>0</v>
      </c>
      <c r="AK75" s="376">
        <f t="shared" si="464"/>
        <v>0</v>
      </c>
      <c r="AL75" s="377">
        <f t="shared" ref="AL75:AN76" si="465">BS75/AL$8</f>
        <v>0</v>
      </c>
      <c r="AM75" s="377">
        <f t="shared" si="465"/>
        <v>0</v>
      </c>
      <c r="AN75" s="377">
        <f t="shared" si="465"/>
        <v>0</v>
      </c>
      <c r="AO75" s="284"/>
      <c r="AP75" s="295">
        <f>AR75+AU75+AZ75+AW75+AY75</f>
        <v>6.519069</v>
      </c>
      <c r="AQ75" s="180">
        <f t="shared" ref="AQ75" si="466">-BA75</f>
        <v>0</v>
      </c>
      <c r="AR75" s="80">
        <f t="shared" ref="AR75" si="467">-BB75</f>
        <v>0</v>
      </c>
      <c r="AS75" s="80">
        <f t="shared" ref="AS75" si="468">-BC75</f>
        <v>0</v>
      </c>
      <c r="AT75" s="80">
        <f>-BC75</f>
        <v>0</v>
      </c>
      <c r="AU75" s="80">
        <f>-BG75</f>
        <v>0</v>
      </c>
      <c r="AV75" s="80">
        <f>-BH75</f>
        <v>6.519069</v>
      </c>
      <c r="AW75" s="80">
        <f t="shared" ref="AW75" si="469">-BH75</f>
        <v>6.519069</v>
      </c>
      <c r="AX75" s="80">
        <f>-BN75</f>
        <v>6.4120939999999997</v>
      </c>
      <c r="AY75" s="80">
        <f t="shared" ref="AY75" si="470">-BO75</f>
        <v>0</v>
      </c>
      <c r="AZ75" s="432">
        <f t="shared" ref="AZ75" si="471">-BU75</f>
        <v>0</v>
      </c>
      <c r="BA75" s="1008">
        <v>0</v>
      </c>
      <c r="BB75" s="409">
        <v>0</v>
      </c>
      <c r="BC75" s="207">
        <v>0</v>
      </c>
      <c r="BD75" s="132">
        <v>0</v>
      </c>
      <c r="BE75" s="132">
        <v>0</v>
      </c>
      <c r="BF75" s="132">
        <v>-2.2499999999999998E-3</v>
      </c>
      <c r="BG75" s="207">
        <v>0</v>
      </c>
      <c r="BH75" s="207">
        <v>-6.519069</v>
      </c>
      <c r="BI75" s="132">
        <v>0</v>
      </c>
      <c r="BJ75" s="132">
        <v>0</v>
      </c>
      <c r="BK75" s="132">
        <v>-16.692129000000001</v>
      </c>
      <c r="BL75" s="132">
        <v>-6.5190000000000001</v>
      </c>
      <c r="BM75" s="132">
        <v>-6.5190000000000001</v>
      </c>
      <c r="BN75" s="713">
        <f>-6.412094</f>
        <v>-6.4120939999999997</v>
      </c>
      <c r="BO75" s="207">
        <v>0</v>
      </c>
      <c r="BP75" s="389">
        <v>0</v>
      </c>
      <c r="BQ75" s="389">
        <v>0</v>
      </c>
      <c r="BR75" s="389">
        <v>0</v>
      </c>
      <c r="BS75" s="296">
        <v>0</v>
      </c>
      <c r="BT75" s="296">
        <v>0</v>
      </c>
      <c r="BU75" s="296">
        <v>0</v>
      </c>
      <c r="BV75" s="713">
        <v>0</v>
      </c>
      <c r="BW75" s="296">
        <f t="shared" ref="BW75" si="472">-BV75</f>
        <v>0</v>
      </c>
      <c r="BX75" s="646" t="s">
        <v>2138</v>
      </c>
    </row>
    <row r="76" spans="1:77" ht="150" hidden="1" customHeight="1" outlineLevel="1" x14ac:dyDescent="0.25">
      <c r="A76" s="677">
        <v>17</v>
      </c>
      <c r="B76" s="701" t="s">
        <v>1944</v>
      </c>
      <c r="C76" s="691" t="s">
        <v>1944</v>
      </c>
      <c r="D76" s="62">
        <v>44572</v>
      </c>
      <c r="E76" s="463" t="s">
        <v>1941</v>
      </c>
      <c r="F76" s="544" t="s">
        <v>1942</v>
      </c>
      <c r="G76" s="69" t="s">
        <v>294</v>
      </c>
      <c r="H76" s="313" t="s">
        <v>127</v>
      </c>
      <c r="I76" s="334"/>
      <c r="J76" s="294">
        <f>AQ76/T$8</f>
        <v>0</v>
      </c>
      <c r="K76" s="52">
        <f t="shared" ref="K76" si="473">AR76/U$8</f>
        <v>0</v>
      </c>
      <c r="L76" s="52">
        <f t="shared" ref="L76" si="474">AS76/V$8</f>
        <v>0</v>
      </c>
      <c r="M76" s="52">
        <f t="shared" si="454"/>
        <v>0</v>
      </c>
      <c r="N76" s="52">
        <f t="shared" si="454"/>
        <v>0</v>
      </c>
      <c r="O76" s="52">
        <f t="shared" si="454"/>
        <v>2.3276552999393294E-6</v>
      </c>
      <c r="P76" s="52">
        <f>AW76/AE$8</f>
        <v>2.3929288149068671E-6</v>
      </c>
      <c r="Q76" s="52">
        <f>AX76/AF$8</f>
        <v>2.5355722221561323E-7</v>
      </c>
      <c r="R76" s="52">
        <f>AY76/AH$8</f>
        <v>0</v>
      </c>
      <c r="S76" s="527">
        <f t="shared" ref="S76" si="475">AZ76/AN$8</f>
        <v>0</v>
      </c>
      <c r="T76" s="718">
        <f>BA76/T$8</f>
        <v>0</v>
      </c>
      <c r="U76" s="375">
        <f t="shared" ref="U76" si="476">BB76/U$8</f>
        <v>0</v>
      </c>
      <c r="V76" s="375">
        <f t="shared" ref="V76" si="477">BC76/V$8</f>
        <v>0</v>
      </c>
      <c r="W76" s="376">
        <f t="shared" ref="W76" si="478">BD76/W$8</f>
        <v>0</v>
      </c>
      <c r="X76" s="376">
        <f t="shared" ref="X76" si="479">BE76/X$8</f>
        <v>0</v>
      </c>
      <c r="Y76" s="376">
        <f>BF76/Y$8</f>
        <v>-7.1738241286848135E-8</v>
      </c>
      <c r="Z76" s="375">
        <f>BG76/Z$8</f>
        <v>0</v>
      </c>
      <c r="AA76" s="375">
        <f>BH76/AA$8</f>
        <v>-2.3276552999393294E-6</v>
      </c>
      <c r="AB76" s="376">
        <f t="shared" ref="AB76" si="480">BI76/AB$8</f>
        <v>0</v>
      </c>
      <c r="AC76" s="376">
        <f t="shared" si="463"/>
        <v>0</v>
      </c>
      <c r="AD76" s="376">
        <f t="shared" si="463"/>
        <v>-2.6982723527161966E-6</v>
      </c>
      <c r="AE76" s="376">
        <f t="shared" si="463"/>
        <v>-2.3929288149068671E-6</v>
      </c>
      <c r="AF76" s="376">
        <f t="shared" si="463"/>
        <v>-2.3276552999393294E-6</v>
      </c>
      <c r="AG76" s="375">
        <f>BN76/AG$8</f>
        <v>-2.5588056395973943E-7</v>
      </c>
      <c r="AH76" s="375">
        <f t="shared" si="464"/>
        <v>0</v>
      </c>
      <c r="AI76" s="376">
        <f t="shared" si="464"/>
        <v>0</v>
      </c>
      <c r="AJ76" s="376">
        <f t="shared" si="464"/>
        <v>0</v>
      </c>
      <c r="AK76" s="376">
        <f t="shared" si="464"/>
        <v>0</v>
      </c>
      <c r="AL76" s="377">
        <f t="shared" si="465"/>
        <v>0</v>
      </c>
      <c r="AM76" s="377">
        <f t="shared" si="465"/>
        <v>0</v>
      </c>
      <c r="AN76" s="377">
        <f t="shared" si="465"/>
        <v>0</v>
      </c>
      <c r="AO76" s="283"/>
      <c r="AP76" s="295">
        <f>AR76+AU76+AZ76+AW76+AY76</f>
        <v>9.1800000000000007E-2</v>
      </c>
      <c r="AQ76" s="180">
        <f t="shared" ref="AQ76" si="481">-BA76</f>
        <v>0</v>
      </c>
      <c r="AR76" s="80">
        <f t="shared" ref="AR76" si="482">-BB76</f>
        <v>0</v>
      </c>
      <c r="AS76" s="80">
        <f t="shared" ref="AS76" si="483">-BC76</f>
        <v>0</v>
      </c>
      <c r="AT76" s="80">
        <f>-BC76</f>
        <v>0</v>
      </c>
      <c r="AU76" s="80">
        <f>-BG76</f>
        <v>0</v>
      </c>
      <c r="AV76" s="80">
        <f>-BH76</f>
        <v>9.1800000000000007E-2</v>
      </c>
      <c r="AW76" s="80">
        <f>-BH76</f>
        <v>9.1800000000000007E-2</v>
      </c>
      <c r="AX76" s="80">
        <f>-BN76</f>
        <v>0.01</v>
      </c>
      <c r="AY76" s="80">
        <f t="shared" ref="AY76" si="484">-BO76</f>
        <v>0</v>
      </c>
      <c r="AZ76" s="432">
        <f t="shared" ref="AZ76" si="485">-BU76</f>
        <v>0</v>
      </c>
      <c r="BA76" s="1008">
        <v>0</v>
      </c>
      <c r="BB76" s="409">
        <v>0</v>
      </c>
      <c r="BC76" s="207">
        <v>0</v>
      </c>
      <c r="BD76" s="132">
        <v>0</v>
      </c>
      <c r="BE76" s="132">
        <v>0</v>
      </c>
      <c r="BF76" s="132">
        <v>-2.2499999999999998E-3</v>
      </c>
      <c r="BG76" s="207">
        <v>0</v>
      </c>
      <c r="BH76" s="207">
        <v>-9.1800000000000007E-2</v>
      </c>
      <c r="BI76" s="132">
        <v>0</v>
      </c>
      <c r="BJ76" s="132">
        <v>0</v>
      </c>
      <c r="BK76" s="132">
        <v>-9.1800000000000007E-2</v>
      </c>
      <c r="BL76" s="132">
        <v>-9.1800000000000007E-2</v>
      </c>
      <c r="BM76" s="132">
        <v>-9.1800000000000007E-2</v>
      </c>
      <c r="BN76" s="713">
        <v>-0.01</v>
      </c>
      <c r="BO76" s="207">
        <v>0</v>
      </c>
      <c r="BP76" s="389">
        <v>0</v>
      </c>
      <c r="BQ76" s="389">
        <v>0</v>
      </c>
      <c r="BR76" s="389">
        <v>0</v>
      </c>
      <c r="BS76" s="296">
        <v>0</v>
      </c>
      <c r="BT76" s="296">
        <v>0</v>
      </c>
      <c r="BU76" s="296">
        <v>0</v>
      </c>
      <c r="BV76" s="713">
        <v>0</v>
      </c>
      <c r="BW76" s="296">
        <f t="shared" ref="BW76" si="486">-BV76</f>
        <v>0</v>
      </c>
      <c r="BX76" s="646" t="s">
        <v>1940</v>
      </c>
    </row>
    <row r="77" spans="1:77" ht="18.75" collapsed="1" x14ac:dyDescent="0.25">
      <c r="A77" s="308" t="s">
        <v>51</v>
      </c>
      <c r="B77" s="706"/>
      <c r="C77" s="695"/>
      <c r="D77" s="126"/>
      <c r="E77" s="469"/>
      <c r="F77" s="549"/>
      <c r="G77" s="398" t="s">
        <v>1730</v>
      </c>
      <c r="H77" s="402" t="s">
        <v>1730</v>
      </c>
      <c r="I77" s="331"/>
      <c r="J77" s="294">
        <f>J78+J80+J82+J84+J86+J88+J90+J95</f>
        <v>2.8995530964034906E-2</v>
      </c>
      <c r="K77" s="573">
        <f t="shared" ref="K77:AN77" si="487">K78+K80+K82+K84+K86+K88+K90+K95</f>
        <v>7.9211606007055183E-3</v>
      </c>
      <c r="L77" s="573">
        <f t="shared" si="487"/>
        <v>2.1460250907198823E-2</v>
      </c>
      <c r="M77" s="670">
        <f t="shared" si="487"/>
        <v>8.5520655536585177E-3</v>
      </c>
      <c r="N77" s="573">
        <f t="shared" ref="N77:O77" si="488">N78+N80+N82+N84+N86+N88+N90+N95</f>
        <v>3.9810377191193212E-3</v>
      </c>
      <c r="O77" s="573">
        <f t="shared" si="488"/>
        <v>5.8390177096164647E-3</v>
      </c>
      <c r="P77" s="573">
        <f t="shared" ref="P77:Q77" si="489">P78+P80+P82+P84+P86+P88+P90+P95</f>
        <v>2.8486150212270922E-3</v>
      </c>
      <c r="Q77" s="573">
        <f t="shared" si="489"/>
        <v>1.9488849636432081E-3</v>
      </c>
      <c r="R77" s="573">
        <f t="shared" si="487"/>
        <v>7.2536999698137616E-4</v>
      </c>
      <c r="S77" s="574">
        <f t="shared" si="487"/>
        <v>2.5326834269760685E-4</v>
      </c>
      <c r="T77" s="294">
        <f t="shared" si="487"/>
        <v>-7.3419876569482869E-3</v>
      </c>
      <c r="U77" s="573">
        <f t="shared" si="487"/>
        <v>-2.6964941359927342E-3</v>
      </c>
      <c r="V77" s="573">
        <f t="shared" si="487"/>
        <v>-6.3759708518609211E-3</v>
      </c>
      <c r="W77" s="575">
        <f t="shared" si="487"/>
        <v>-2.9178322285117234E-3</v>
      </c>
      <c r="X77" s="575">
        <f t="shared" si="487"/>
        <v>-3.2295062098321539E-3</v>
      </c>
      <c r="Y77" s="575">
        <f t="shared" si="487"/>
        <v>-3.5675092511462522E-3</v>
      </c>
      <c r="Z77" s="573">
        <f>Z78+Z80+Z82+Z84+Z86+Z88+Z90+Z95</f>
        <v>-2.7309655040467801E-3</v>
      </c>
      <c r="AA77" s="573">
        <f t="shared" si="487"/>
        <v>-2.2527079083999417E-3</v>
      </c>
      <c r="AB77" s="575">
        <f t="shared" si="487"/>
        <v>-5.965598143608758E-4</v>
      </c>
      <c r="AC77" s="575">
        <f t="shared" ref="AC77:AD77" si="490">AC78+AC80+AC82+AC84+AC86+AC88+AC90+AC95</f>
        <v>-8.4646575246896303E-4</v>
      </c>
      <c r="AD77" s="575">
        <f t="shared" si="490"/>
        <v>-2.0591241944271678E-3</v>
      </c>
      <c r="AE77" s="575">
        <f t="shared" si="487"/>
        <v>-1.4409098978442802E-3</v>
      </c>
      <c r="AF77" s="575">
        <f t="shared" ref="AF77:AG77" si="491">AF78+AF80+AF82+AF84+AF86+AF88+AF90+AF95</f>
        <v>-1.4016052377148599E-3</v>
      </c>
      <c r="AG77" s="573">
        <f t="shared" si="491"/>
        <v>-1.8630684682910119E-3</v>
      </c>
      <c r="AH77" s="573">
        <f t="shared" ref="AH77:AI77" si="492">AH78+AH80+AH82+AH84+AH86+AH88+AH90+AH95</f>
        <v>-6.9285947289957203E-4</v>
      </c>
      <c r="AI77" s="575">
        <f t="shared" si="492"/>
        <v>-3.7864401228571035E-4</v>
      </c>
      <c r="AJ77" s="575">
        <f t="shared" ref="AJ77:AM77" si="493">AJ78+AJ80+AJ82+AJ84+AJ86+AJ88+AJ90+AJ95</f>
        <v>-3.672284064835257E-4</v>
      </c>
      <c r="AK77" s="575">
        <f t="shared" si="493"/>
        <v>-6.9839399788665369E-4</v>
      </c>
      <c r="AL77" s="574">
        <f t="shared" si="493"/>
        <v>-2.45779266119302E-4</v>
      </c>
      <c r="AM77" s="574">
        <f t="shared" si="493"/>
        <v>-1.7885806335202008E-4</v>
      </c>
      <c r="AN77" s="574">
        <f t="shared" si="487"/>
        <v>-1.3559597424425723E-4</v>
      </c>
      <c r="AO77" s="576"/>
      <c r="AP77" s="324">
        <f t="shared" ref="AP77:BV77" si="494">AP78+AP80+AP82+AP84+AP86+AP88+AP90+AP95</f>
        <v>527.86486635289998</v>
      </c>
      <c r="AQ77" s="584">
        <f t="shared" si="494"/>
        <v>817.5</v>
      </c>
      <c r="AR77" s="580">
        <f>AR78+AR80+AR82+AR84+AR86+AR88+AR90+AR95</f>
        <v>239.96399569000002</v>
      </c>
      <c r="AS77" s="580">
        <f t="shared" si="494"/>
        <v>701.14931763999994</v>
      </c>
      <c r="AT77" s="581">
        <f t="shared" si="494"/>
        <v>268.22719863999998</v>
      </c>
      <c r="AU77" s="580">
        <f t="shared" ref="AU77" si="495">AU78+AU80+AU82+AU84+AU86+AU88+AU90+AU95</f>
        <v>133.71341889289999</v>
      </c>
      <c r="AV77" s="580">
        <f>AV78+AV80+AV82+AV84+AV86+AV88+AV90+AV95</f>
        <v>230.28402262000003</v>
      </c>
      <c r="AW77" s="580">
        <f>AW78+AW80+AW82+AW84+AW86+AW88+AW90+AW95</f>
        <v>109.28150362000001</v>
      </c>
      <c r="AX77" s="580">
        <f>AX78+AX80+AX82+AX84+AX86+AX88+AX90+AX95</f>
        <v>76.861741370000004</v>
      </c>
      <c r="AY77" s="580">
        <f t="shared" si="494"/>
        <v>31.90594815</v>
      </c>
      <c r="AZ77" s="582">
        <f t="shared" si="494"/>
        <v>13</v>
      </c>
      <c r="BA77" s="658">
        <f t="shared" si="494"/>
        <v>-207</v>
      </c>
      <c r="BB77" s="324">
        <f>BB78+BB80+BB82+BB84+BB86+BB88+BB90+BB95</f>
        <v>-81.687714698000008</v>
      </c>
      <c r="BC77" s="580">
        <f t="shared" si="494"/>
        <v>-208.315719672</v>
      </c>
      <c r="BD77" s="583">
        <f t="shared" si="494"/>
        <v>-89.369986400000002</v>
      </c>
      <c r="BE77" s="583">
        <f t="shared" si="494"/>
        <v>-101.29031381</v>
      </c>
      <c r="BF77" s="583">
        <f t="shared" si="494"/>
        <v>-111.89144968000001</v>
      </c>
      <c r="BG77" s="580">
        <f t="shared" ref="BG77" si="496">BG78+BG80+BG82+BG84+BG86+BG88+BG90+BG95</f>
        <v>-91.726519613446044</v>
      </c>
      <c r="BH77" s="580">
        <f t="shared" si="494"/>
        <v>-88.844162620000006</v>
      </c>
      <c r="BI77" s="583">
        <f t="shared" si="494"/>
        <v>-20.29602049</v>
      </c>
      <c r="BJ77" s="583">
        <f t="shared" ref="BJ77" si="497">BJ78+BJ80+BJ82+BJ84+BJ86+BJ88+BJ90+BJ95</f>
        <v>-28.798262709999999</v>
      </c>
      <c r="BK77" s="583">
        <f t="shared" si="494"/>
        <v>-70.055048690000007</v>
      </c>
      <c r="BL77" s="583">
        <f t="shared" ref="BL77:BN77" si="498">BL78+BL80+BL82+BL84+BL86+BL88+BL90+BL95</f>
        <v>-55.277669690000003</v>
      </c>
      <c r="BM77" s="583">
        <f t="shared" si="498"/>
        <v>-55.277669690000003</v>
      </c>
      <c r="BN77" s="324">
        <f t="shared" si="498"/>
        <v>-72.810081370000006</v>
      </c>
      <c r="BO77" s="580">
        <f t="shared" si="494"/>
        <v>-30.475948150000001</v>
      </c>
      <c r="BP77" s="732">
        <f t="shared" ref="BP77:BQ77" si="499">BP78+BP80+BP82+BP84+BP86+BP88+BP90+BP95</f>
        <v>-21.33832876</v>
      </c>
      <c r="BQ77" s="732">
        <f t="shared" si="499"/>
        <v>-21.33832876</v>
      </c>
      <c r="BR77" s="732">
        <f t="shared" ref="BR77:BT77" si="500">BR78+BR80+BR82+BR84+BR86+BR88+BR90+BR95</f>
        <v>-30.475948150000001</v>
      </c>
      <c r="BS77" s="582">
        <f t="shared" si="500"/>
        <v>-11.31</v>
      </c>
      <c r="BT77" s="582">
        <f t="shared" si="500"/>
        <v>-8.6999999999999993</v>
      </c>
      <c r="BU77" s="582">
        <f t="shared" si="494"/>
        <v>-6.96</v>
      </c>
      <c r="BV77" s="324">
        <f t="shared" si="494"/>
        <v>-0.59044363</v>
      </c>
      <c r="BW77" s="582">
        <f>BW78+BW80+BW82+BW84+BW86+BW88+BW90+BW95</f>
        <v>0.59044363</v>
      </c>
      <c r="BX77" s="445"/>
    </row>
    <row r="78" spans="1:77" ht="18.75" x14ac:dyDescent="0.3">
      <c r="A78" s="467">
        <v>1</v>
      </c>
      <c r="B78" s="707" t="s">
        <v>1930</v>
      </c>
      <c r="C78" s="689"/>
      <c r="D78" s="348"/>
      <c r="E78" s="460"/>
      <c r="F78" s="540"/>
      <c r="G78" s="400" t="s">
        <v>1730</v>
      </c>
      <c r="H78" s="401" t="s">
        <v>1730</v>
      </c>
      <c r="I78" s="349"/>
      <c r="J78" s="379">
        <f>J79</f>
        <v>7.0937078811094557E-3</v>
      </c>
      <c r="K78" s="380">
        <f t="shared" ref="K78:AN78" si="501">K79</f>
        <v>3.0534053804963982E-3</v>
      </c>
      <c r="L78" s="380">
        <f t="shared" si="501"/>
        <v>3.5963516160626837E-3</v>
      </c>
      <c r="M78" s="380">
        <f t="shared" si="501"/>
        <v>1.1159281977954154E-3</v>
      </c>
      <c r="N78" s="380">
        <f t="shared" si="501"/>
        <v>3.9597971619210787E-4</v>
      </c>
      <c r="O78" s="380">
        <f t="shared" si="501"/>
        <v>7.606716666468396E-4</v>
      </c>
      <c r="P78" s="380">
        <f t="shared" si="501"/>
        <v>1.0687372702743086E-4</v>
      </c>
      <c r="Q78" s="380">
        <f t="shared" si="501"/>
        <v>7.8602738886840104E-5</v>
      </c>
      <c r="R78" s="380">
        <f t="shared" si="501"/>
        <v>0</v>
      </c>
      <c r="S78" s="381">
        <f t="shared" si="501"/>
        <v>0</v>
      </c>
      <c r="T78" s="379">
        <f t="shared" si="501"/>
        <v>-2.1281123643328366E-3</v>
      </c>
      <c r="U78" s="380">
        <f t="shared" si="501"/>
        <v>-4.3297288295438924E-4</v>
      </c>
      <c r="V78" s="380">
        <f t="shared" si="501"/>
        <v>-5.0996265915768859E-4</v>
      </c>
      <c r="W78" s="385">
        <f t="shared" si="501"/>
        <v>-3.2648905365747301E-4</v>
      </c>
      <c r="X78" s="385">
        <f t="shared" si="501"/>
        <v>-1.5823861844738992E-4</v>
      </c>
      <c r="Y78" s="385">
        <f t="shared" si="501"/>
        <v>-1.5823861844738992E-4</v>
      </c>
      <c r="Z78" s="380">
        <f>Z79</f>
        <v>-5.6149923756040892E-5</v>
      </c>
      <c r="AA78" s="380">
        <f t="shared" si="501"/>
        <v>-1.4741309785171321E-5</v>
      </c>
      <c r="AB78" s="385">
        <f t="shared" si="501"/>
        <v>0</v>
      </c>
      <c r="AC78" s="385">
        <f t="shared" si="501"/>
        <v>0</v>
      </c>
      <c r="AD78" s="385">
        <f t="shared" si="501"/>
        <v>-1.2503758810952832E-4</v>
      </c>
      <c r="AE78" s="385">
        <f>AE79</f>
        <v>-1.5154694492489697E-5</v>
      </c>
      <c r="AF78" s="385">
        <f>AF79</f>
        <v>-1.4741309785171321E-5</v>
      </c>
      <c r="AG78" s="380">
        <f>AG79</f>
        <v>-1.1247997830542227E-5</v>
      </c>
      <c r="AH78" s="380">
        <f t="shared" si="501"/>
        <v>0</v>
      </c>
      <c r="AI78" s="385">
        <f t="shared" si="501"/>
        <v>0</v>
      </c>
      <c r="AJ78" s="385">
        <f t="shared" si="501"/>
        <v>0</v>
      </c>
      <c r="AK78" s="385">
        <f t="shared" si="501"/>
        <v>0</v>
      </c>
      <c r="AL78" s="381">
        <f t="shared" si="501"/>
        <v>0</v>
      </c>
      <c r="AM78" s="381">
        <f t="shared" si="501"/>
        <v>0</v>
      </c>
      <c r="AN78" s="381">
        <f t="shared" si="501"/>
        <v>0</v>
      </c>
      <c r="AO78" s="403"/>
      <c r="AP78" s="350">
        <f t="shared" ref="AP78:BW78" si="502">AP79</f>
        <v>109.89999999999999</v>
      </c>
      <c r="AQ78" s="382">
        <f t="shared" si="502"/>
        <v>200</v>
      </c>
      <c r="AR78" s="382">
        <f t="shared" si="502"/>
        <v>92.5</v>
      </c>
      <c r="AS78" s="382">
        <f t="shared" si="502"/>
        <v>117.5</v>
      </c>
      <c r="AT78" s="382">
        <f t="shared" si="502"/>
        <v>35</v>
      </c>
      <c r="AU78" s="382">
        <f t="shared" si="502"/>
        <v>13.3</v>
      </c>
      <c r="AV78" s="382">
        <f t="shared" si="502"/>
        <v>30</v>
      </c>
      <c r="AW78" s="382">
        <f t="shared" si="502"/>
        <v>4.0999999999999996</v>
      </c>
      <c r="AX78" s="382">
        <f t="shared" si="502"/>
        <v>3.1</v>
      </c>
      <c r="AY78" s="382">
        <f t="shared" si="502"/>
        <v>0</v>
      </c>
      <c r="AZ78" s="383">
        <f t="shared" si="502"/>
        <v>0</v>
      </c>
      <c r="BA78" s="656">
        <f t="shared" si="502"/>
        <v>-60</v>
      </c>
      <c r="BB78" s="350">
        <f t="shared" si="502"/>
        <v>-13.1165</v>
      </c>
      <c r="BC78" s="382">
        <f t="shared" si="502"/>
        <v>-16.6615</v>
      </c>
      <c r="BD78" s="387">
        <f t="shared" si="502"/>
        <v>-10</v>
      </c>
      <c r="BE78" s="387">
        <f t="shared" si="502"/>
        <v>-4.9630000000000001</v>
      </c>
      <c r="BF78" s="651">
        <f t="shared" si="502"/>
        <v>-4.9630000000000001</v>
      </c>
      <c r="BG78" s="360">
        <f t="shared" si="502"/>
        <v>-1.8859400000000002</v>
      </c>
      <c r="BH78" s="382">
        <f t="shared" si="502"/>
        <v>-0.58138000000000001</v>
      </c>
      <c r="BI78" s="387">
        <f t="shared" si="502"/>
        <v>0</v>
      </c>
      <c r="BJ78" s="515">
        <f t="shared" si="502"/>
        <v>0</v>
      </c>
      <c r="BK78" s="515">
        <f t="shared" si="502"/>
        <v>-4.2540000000000004</v>
      </c>
      <c r="BL78" s="515">
        <f t="shared" si="502"/>
        <v>-0.58138000000000001</v>
      </c>
      <c r="BM78" s="515">
        <f t="shared" si="502"/>
        <v>-0.58138000000000001</v>
      </c>
      <c r="BN78" s="350">
        <f t="shared" si="502"/>
        <v>-0.43958000000000003</v>
      </c>
      <c r="BO78" s="382">
        <f t="shared" si="502"/>
        <v>0</v>
      </c>
      <c r="BP78" s="387">
        <f t="shared" si="502"/>
        <v>0</v>
      </c>
      <c r="BQ78" s="387">
        <f t="shared" si="502"/>
        <v>0</v>
      </c>
      <c r="BR78" s="387">
        <f t="shared" si="502"/>
        <v>0</v>
      </c>
      <c r="BS78" s="383">
        <f t="shared" si="502"/>
        <v>0</v>
      </c>
      <c r="BT78" s="383">
        <f t="shared" si="502"/>
        <v>0</v>
      </c>
      <c r="BU78" s="383">
        <f t="shared" si="502"/>
        <v>0</v>
      </c>
      <c r="BV78" s="350">
        <f t="shared" si="502"/>
        <v>0</v>
      </c>
      <c r="BW78" s="383">
        <f t="shared" si="502"/>
        <v>0</v>
      </c>
      <c r="BX78" s="351"/>
    </row>
    <row r="79" spans="1:77" ht="72.599999999999994" hidden="1" customHeight="1" outlineLevel="1" x14ac:dyDescent="0.25">
      <c r="A79" s="309">
        <v>1</v>
      </c>
      <c r="B79" s="306" t="s">
        <v>8</v>
      </c>
      <c r="C79" s="696" t="s">
        <v>8</v>
      </c>
      <c r="D79" s="79" t="s">
        <v>500</v>
      </c>
      <c r="E79" s="463" t="s">
        <v>31</v>
      </c>
      <c r="F79" s="550" t="s">
        <v>1331</v>
      </c>
      <c r="G79" s="67" t="s">
        <v>216</v>
      </c>
      <c r="H79" s="306" t="s">
        <v>127</v>
      </c>
      <c r="I79" s="335"/>
      <c r="J79" s="294">
        <f>AQ79/T$8</f>
        <v>7.0937078811094557E-3</v>
      </c>
      <c r="K79" s="52">
        <f>AR79/U$8</f>
        <v>3.0534053804963982E-3</v>
      </c>
      <c r="L79" s="52">
        <f>AS79/V$8</f>
        <v>3.5963516160626837E-3</v>
      </c>
      <c r="M79" s="52">
        <f>AT79/Y$8</f>
        <v>1.1159281977954154E-3</v>
      </c>
      <c r="N79" s="52">
        <f>AU79/Z$8</f>
        <v>3.9597971619210787E-4</v>
      </c>
      <c r="O79" s="52">
        <f>AV79/AA$8</f>
        <v>7.606716666468396E-4</v>
      </c>
      <c r="P79" s="52">
        <f>AW79/AE$8</f>
        <v>1.0687372702743086E-4</v>
      </c>
      <c r="Q79" s="52">
        <f>AX79/AF$8</f>
        <v>7.8602738886840104E-5</v>
      </c>
      <c r="R79" s="52">
        <f>AY79/AH$8</f>
        <v>0</v>
      </c>
      <c r="S79" s="527">
        <f>AZ79/AN$8</f>
        <v>0</v>
      </c>
      <c r="T79" s="533">
        <f>BA79/T$8</f>
        <v>-2.1281123643328366E-3</v>
      </c>
      <c r="U79" s="375">
        <f t="shared" ref="U79" si="503">BB79/U$8</f>
        <v>-4.3297288295438924E-4</v>
      </c>
      <c r="V79" s="375">
        <f t="shared" ref="V79" si="504">BC79/V$8</f>
        <v>-5.0996265915768859E-4</v>
      </c>
      <c r="W79" s="386">
        <f t="shared" ref="W79" si="505">BD79/W$8</f>
        <v>-3.2648905365747301E-4</v>
      </c>
      <c r="X79" s="386">
        <f t="shared" ref="X79" si="506">BE79/X$8</f>
        <v>-1.5823861844738992E-4</v>
      </c>
      <c r="Y79" s="386">
        <f>BF79/Y$8</f>
        <v>-1.5823861844738992E-4</v>
      </c>
      <c r="Z79" s="375">
        <f>BG79/Z$8</f>
        <v>-5.6149923756040892E-5</v>
      </c>
      <c r="AA79" s="375">
        <f t="shared" ref="AA79" si="507">BH79/AA$8</f>
        <v>-1.4741309785171321E-5</v>
      </c>
      <c r="AB79" s="386">
        <f t="shared" ref="AB79" si="508">BI79/AB$8</f>
        <v>0</v>
      </c>
      <c r="AC79" s="386">
        <f t="shared" ref="AC79:AN79" si="509">BJ79/AC$8</f>
        <v>0</v>
      </c>
      <c r="AD79" s="386">
        <f t="shared" si="509"/>
        <v>-1.2503758810952832E-4</v>
      </c>
      <c r="AE79" s="386">
        <f t="shared" si="509"/>
        <v>-1.5154694492489697E-5</v>
      </c>
      <c r="AF79" s="386">
        <f t="shared" si="509"/>
        <v>-1.4741309785171321E-5</v>
      </c>
      <c r="AG79" s="375">
        <f t="shared" si="509"/>
        <v>-1.1247997830542227E-5</v>
      </c>
      <c r="AH79" s="375">
        <f t="shared" si="509"/>
        <v>0</v>
      </c>
      <c r="AI79" s="386">
        <f t="shared" si="509"/>
        <v>0</v>
      </c>
      <c r="AJ79" s="386">
        <f t="shared" si="509"/>
        <v>0</v>
      </c>
      <c r="AK79" s="386">
        <f t="shared" si="509"/>
        <v>0</v>
      </c>
      <c r="AL79" s="377">
        <f t="shared" si="509"/>
        <v>0</v>
      </c>
      <c r="AM79" s="377">
        <f t="shared" si="509"/>
        <v>0</v>
      </c>
      <c r="AN79" s="377">
        <f t="shared" si="509"/>
        <v>0</v>
      </c>
      <c r="AO79" s="286"/>
      <c r="AP79" s="295">
        <f>AR79+AU79+AZ79+AW79+AY79</f>
        <v>109.89999999999999</v>
      </c>
      <c r="AQ79" s="408">
        <v>200</v>
      </c>
      <c r="AR79" s="987">
        <v>92.5</v>
      </c>
      <c r="AS79" s="987">
        <v>117.5</v>
      </c>
      <c r="AT79" s="987">
        <v>35</v>
      </c>
      <c r="AU79" s="987">
        <v>13.3</v>
      </c>
      <c r="AV79" s="987">
        <v>30</v>
      </c>
      <c r="AW79" s="987">
        <v>4.0999999999999996</v>
      </c>
      <c r="AX79" s="987">
        <v>3.1</v>
      </c>
      <c r="AY79" s="987">
        <v>0</v>
      </c>
      <c r="AZ79" s="988">
        <v>0</v>
      </c>
      <c r="BA79" s="1015">
        <v>-60</v>
      </c>
      <c r="BB79" s="1016">
        <f>-AR79*0.1418</f>
        <v>-13.1165</v>
      </c>
      <c r="BC79" s="1017">
        <f>-AS79*0.1418</f>
        <v>-16.6615</v>
      </c>
      <c r="BD79" s="1018">
        <v>-10</v>
      </c>
      <c r="BE79" s="1018">
        <f>-AT79*0.1418</f>
        <v>-4.9630000000000001</v>
      </c>
      <c r="BF79" s="1019">
        <f>-AT79*0.1418</f>
        <v>-4.9630000000000001</v>
      </c>
      <c r="BG79" s="207">
        <f>-AU79*0.1418</f>
        <v>-1.8859400000000002</v>
      </c>
      <c r="BH79" s="1013">
        <f>-AW79*0.1418</f>
        <v>-0.58138000000000001</v>
      </c>
      <c r="BI79" s="1018">
        <v>0</v>
      </c>
      <c r="BJ79" s="1019">
        <v>0</v>
      </c>
      <c r="BK79" s="1019">
        <v>-4.2540000000000004</v>
      </c>
      <c r="BL79" s="1019">
        <v>-0.58138000000000001</v>
      </c>
      <c r="BM79" s="1019">
        <v>-0.58138000000000001</v>
      </c>
      <c r="BN79" s="409">
        <f>-AX79*0.1418</f>
        <v>-0.43958000000000003</v>
      </c>
      <c r="BO79" s="1013">
        <v>0</v>
      </c>
      <c r="BP79" s="1018">
        <v>0</v>
      </c>
      <c r="BQ79" s="1018">
        <v>0</v>
      </c>
      <c r="BR79" s="1018">
        <v>0</v>
      </c>
      <c r="BS79" s="1020">
        <v>0</v>
      </c>
      <c r="BT79" s="1020">
        <v>0</v>
      </c>
      <c r="BU79" s="1020">
        <v>0</v>
      </c>
      <c r="BV79" s="409">
        <v>0</v>
      </c>
      <c r="BW79" s="1051">
        <v>0</v>
      </c>
      <c r="BX79" s="439" t="s">
        <v>597</v>
      </c>
      <c r="BY79" s="22"/>
    </row>
    <row r="80" spans="1:77" ht="18.75" collapsed="1" x14ac:dyDescent="0.25">
      <c r="A80" s="467">
        <v>2</v>
      </c>
      <c r="B80" s="708" t="s">
        <v>4</v>
      </c>
      <c r="C80" s="689"/>
      <c r="D80" s="348"/>
      <c r="E80" s="460"/>
      <c r="F80" s="540"/>
      <c r="G80" s="400" t="s">
        <v>1730</v>
      </c>
      <c r="H80" s="401" t="s">
        <v>1730</v>
      </c>
      <c r="I80" s="349"/>
      <c r="J80" s="379">
        <f>J81</f>
        <v>3.298574164715897E-3</v>
      </c>
      <c r="K80" s="380">
        <f t="shared" ref="K80" si="510">K81</f>
        <v>3.0302985289683169E-3</v>
      </c>
      <c r="L80" s="380">
        <f t="shared" ref="L80:N80" si="511">L81</f>
        <v>7.5967189030362384E-3</v>
      </c>
      <c r="M80" s="380">
        <f>M81</f>
        <v>1.1159281977954154E-3</v>
      </c>
      <c r="N80" s="380">
        <f t="shared" si="511"/>
        <v>4.4063908267993955E-4</v>
      </c>
      <c r="O80" s="380">
        <f t="shared" ref="O80:Q80" si="512">O81</f>
        <v>1.2677861110780661E-4</v>
      </c>
      <c r="P80" s="380">
        <f t="shared" si="512"/>
        <v>0</v>
      </c>
      <c r="Q80" s="380">
        <f t="shared" si="512"/>
        <v>0</v>
      </c>
      <c r="R80" s="380">
        <f t="shared" ref="R80" si="513">R81</f>
        <v>0</v>
      </c>
      <c r="S80" s="381">
        <f t="shared" ref="S80" si="514">S81</f>
        <v>0</v>
      </c>
      <c r="T80" s="379">
        <f t="shared" ref="T80" si="515">T81</f>
        <v>-7.9804213662481378E-4</v>
      </c>
      <c r="U80" s="380">
        <f t="shared" ref="U80" si="516">U81</f>
        <v>-5.8484761609088522E-4</v>
      </c>
      <c r="V80" s="380">
        <f t="shared" ref="V80" si="517">V81</f>
        <v>-1.466166748285994E-3</v>
      </c>
      <c r="W80" s="385">
        <f t="shared" ref="W80" si="518">W81</f>
        <v>0</v>
      </c>
      <c r="X80" s="385">
        <f t="shared" ref="X80" si="519">X81</f>
        <v>-2.1537414217451519E-4</v>
      </c>
      <c r="Y80" s="385">
        <f t="shared" ref="Y80" si="520">Y81</f>
        <v>-2.1537414217451519E-4</v>
      </c>
      <c r="Z80" s="380">
        <f>Z81</f>
        <v>-8.5043342957228336E-5</v>
      </c>
      <c r="AA80" s="380">
        <f t="shared" ref="AA80" si="521">AA81</f>
        <v>0</v>
      </c>
      <c r="AB80" s="385">
        <f t="shared" ref="AB80" si="522">AB81</f>
        <v>0</v>
      </c>
      <c r="AC80" s="385">
        <f>AC81</f>
        <v>0</v>
      </c>
      <c r="AD80" s="385">
        <f>AD81</f>
        <v>-2.8364191943040629E-5</v>
      </c>
      <c r="AE80" s="385">
        <f t="shared" ref="AE80:AG80" si="523">AE81</f>
        <v>0</v>
      </c>
      <c r="AF80" s="385">
        <f t="shared" si="523"/>
        <v>0</v>
      </c>
      <c r="AG80" s="380">
        <f t="shared" si="523"/>
        <v>0</v>
      </c>
      <c r="AH80" s="380">
        <f t="shared" ref="AH80" si="524">AH81</f>
        <v>0</v>
      </c>
      <c r="AI80" s="385">
        <f>AI81</f>
        <v>0</v>
      </c>
      <c r="AJ80" s="385">
        <f>AJ81</f>
        <v>0</v>
      </c>
      <c r="AK80" s="385">
        <f>AK81</f>
        <v>0</v>
      </c>
      <c r="AL80" s="381">
        <f t="shared" ref="AL80:AN80" si="525">AL81</f>
        <v>0</v>
      </c>
      <c r="AM80" s="381">
        <f t="shared" si="525"/>
        <v>0</v>
      </c>
      <c r="AN80" s="381">
        <f t="shared" si="525"/>
        <v>0</v>
      </c>
      <c r="AO80" s="403"/>
      <c r="AP80" s="350">
        <f t="shared" ref="AP80" si="526">AP81</f>
        <v>106.6</v>
      </c>
      <c r="AQ80" s="382">
        <f t="shared" ref="AQ80" si="527">AQ81</f>
        <v>93</v>
      </c>
      <c r="AR80" s="382">
        <f t="shared" ref="AR80" si="528">AR81</f>
        <v>91.8</v>
      </c>
      <c r="AS80" s="382">
        <f t="shared" ref="AS80" si="529">AS81</f>
        <v>248.2</v>
      </c>
      <c r="AT80" s="382">
        <f t="shared" ref="AT80:AU80" si="530">AT81</f>
        <v>35</v>
      </c>
      <c r="AU80" s="382">
        <f t="shared" si="530"/>
        <v>14.8</v>
      </c>
      <c r="AV80" s="382">
        <f t="shared" ref="AV80:AX80" si="531">AV81</f>
        <v>5</v>
      </c>
      <c r="AW80" s="382">
        <f t="shared" si="531"/>
        <v>0</v>
      </c>
      <c r="AX80" s="382">
        <f t="shared" si="531"/>
        <v>0</v>
      </c>
      <c r="AY80" s="382">
        <f t="shared" ref="AY80" si="532">AY81</f>
        <v>0</v>
      </c>
      <c r="AZ80" s="383">
        <f t="shared" ref="AZ80" si="533">AZ81</f>
        <v>0</v>
      </c>
      <c r="BA80" s="656">
        <f t="shared" ref="BA80" si="534">BA81</f>
        <v>-22.5</v>
      </c>
      <c r="BB80" s="350">
        <f t="shared" ref="BB80" si="535">BB81</f>
        <v>-17.717400000000001</v>
      </c>
      <c r="BC80" s="382">
        <f t="shared" ref="BC80" si="536">BC81</f>
        <v>-47.9026</v>
      </c>
      <c r="BD80" s="387">
        <f t="shared" ref="BD80" si="537">BD81</f>
        <v>0</v>
      </c>
      <c r="BE80" s="387">
        <f t="shared" ref="BE80" si="538">BE81</f>
        <v>-6.7549999999999999</v>
      </c>
      <c r="BF80" s="651">
        <f t="shared" ref="BF80:BG80" si="539">BF81</f>
        <v>-6.7549999999999999</v>
      </c>
      <c r="BG80" s="360">
        <f t="shared" si="539"/>
        <v>-2.8564000000000003</v>
      </c>
      <c r="BH80" s="382">
        <f t="shared" ref="BH80" si="540">BH81</f>
        <v>0</v>
      </c>
      <c r="BI80" s="387">
        <f t="shared" ref="BI80" si="541">BI81</f>
        <v>0</v>
      </c>
      <c r="BJ80" s="515">
        <f t="shared" ref="BJ80:BN80" si="542">BJ81</f>
        <v>0</v>
      </c>
      <c r="BK80" s="515">
        <f t="shared" si="542"/>
        <v>-0.96500000000000008</v>
      </c>
      <c r="BL80" s="515">
        <f t="shared" si="542"/>
        <v>0</v>
      </c>
      <c r="BM80" s="515">
        <f t="shared" si="542"/>
        <v>0</v>
      </c>
      <c r="BN80" s="350">
        <f t="shared" si="542"/>
        <v>0</v>
      </c>
      <c r="BO80" s="382">
        <f t="shared" ref="BO80:BR80" si="543">BO81</f>
        <v>0</v>
      </c>
      <c r="BP80" s="387">
        <f t="shared" si="543"/>
        <v>0</v>
      </c>
      <c r="BQ80" s="387">
        <f t="shared" si="543"/>
        <v>0</v>
      </c>
      <c r="BR80" s="387">
        <f t="shared" si="543"/>
        <v>0</v>
      </c>
      <c r="BS80" s="383">
        <f t="shared" ref="BS80:BU80" si="544">BS81</f>
        <v>0</v>
      </c>
      <c r="BT80" s="383">
        <f t="shared" si="544"/>
        <v>0</v>
      </c>
      <c r="BU80" s="383">
        <f t="shared" si="544"/>
        <v>0</v>
      </c>
      <c r="BV80" s="350">
        <f t="shared" ref="BV80" si="545">BV81</f>
        <v>0</v>
      </c>
      <c r="BW80" s="383">
        <f>BW81</f>
        <v>0</v>
      </c>
      <c r="BX80" s="351"/>
      <c r="BY80" s="22"/>
    </row>
    <row r="81" spans="1:76" ht="130.5" hidden="1" customHeight="1" outlineLevel="1" x14ac:dyDescent="0.25">
      <c r="A81" s="678">
        <v>1</v>
      </c>
      <c r="B81" s="709" t="s">
        <v>4</v>
      </c>
      <c r="C81" s="696" t="s">
        <v>4</v>
      </c>
      <c r="D81" s="79" t="s">
        <v>500</v>
      </c>
      <c r="E81" s="463" t="s">
        <v>32</v>
      </c>
      <c r="F81" s="551" t="s">
        <v>34</v>
      </c>
      <c r="G81" s="67" t="s">
        <v>216</v>
      </c>
      <c r="H81" s="306" t="s">
        <v>127</v>
      </c>
      <c r="I81" s="335"/>
      <c r="J81" s="294">
        <f>AQ81/T$8</f>
        <v>3.298574164715897E-3</v>
      </c>
      <c r="K81" s="52">
        <f>AR81/U$8</f>
        <v>3.0302985289683169E-3</v>
      </c>
      <c r="L81" s="52">
        <f>AS81/V$8</f>
        <v>7.5967189030362384E-3</v>
      </c>
      <c r="M81" s="52">
        <f>AT81/Y$8</f>
        <v>1.1159281977954154E-3</v>
      </c>
      <c r="N81" s="52">
        <f>AU81/Z$8</f>
        <v>4.4063908267993955E-4</v>
      </c>
      <c r="O81" s="52">
        <f>AV81/AA$8</f>
        <v>1.2677861110780661E-4</v>
      </c>
      <c r="P81" s="52">
        <f>AW81/AE$8</f>
        <v>0</v>
      </c>
      <c r="Q81" s="52">
        <f>AX81/AF$8</f>
        <v>0</v>
      </c>
      <c r="R81" s="52">
        <f>AY81/AH$8</f>
        <v>0</v>
      </c>
      <c r="S81" s="527">
        <f>AZ81/AN$8</f>
        <v>0</v>
      </c>
      <c r="T81" s="533">
        <f>BA81/T$8</f>
        <v>-7.9804213662481378E-4</v>
      </c>
      <c r="U81" s="375">
        <f t="shared" ref="U81" si="546">BB81/U$8</f>
        <v>-5.8484761609088522E-4</v>
      </c>
      <c r="V81" s="375">
        <f t="shared" ref="V81" si="547">BC81/V$8</f>
        <v>-1.466166748285994E-3</v>
      </c>
      <c r="W81" s="386">
        <f t="shared" ref="W81" si="548">BD81/W$8</f>
        <v>0</v>
      </c>
      <c r="X81" s="386">
        <f t="shared" ref="X81" si="549">BE81/X$8</f>
        <v>-2.1537414217451519E-4</v>
      </c>
      <c r="Y81" s="386">
        <f>BF81/Y$8</f>
        <v>-2.1537414217451519E-4</v>
      </c>
      <c r="Z81" s="375">
        <f>BG81/Z$8</f>
        <v>-8.5043342957228336E-5</v>
      </c>
      <c r="AA81" s="375">
        <f t="shared" ref="AA81" si="550">BH81/AA$8</f>
        <v>0</v>
      </c>
      <c r="AB81" s="386">
        <f t="shared" ref="AB81" si="551">BI81/AB$8</f>
        <v>0</v>
      </c>
      <c r="AC81" s="386">
        <f t="shared" ref="AC81:AN81" si="552">BJ81/AC$8</f>
        <v>0</v>
      </c>
      <c r="AD81" s="386">
        <f t="shared" si="552"/>
        <v>-2.8364191943040629E-5</v>
      </c>
      <c r="AE81" s="386">
        <f t="shared" si="552"/>
        <v>0</v>
      </c>
      <c r="AF81" s="386">
        <f t="shared" si="552"/>
        <v>0</v>
      </c>
      <c r="AG81" s="375">
        <f t="shared" si="552"/>
        <v>0</v>
      </c>
      <c r="AH81" s="375">
        <f t="shared" si="552"/>
        <v>0</v>
      </c>
      <c r="AI81" s="386">
        <f t="shared" si="552"/>
        <v>0</v>
      </c>
      <c r="AJ81" s="386">
        <f t="shared" si="552"/>
        <v>0</v>
      </c>
      <c r="AK81" s="386">
        <f t="shared" si="552"/>
        <v>0</v>
      </c>
      <c r="AL81" s="377">
        <f t="shared" si="552"/>
        <v>0</v>
      </c>
      <c r="AM81" s="377">
        <f t="shared" si="552"/>
        <v>0</v>
      </c>
      <c r="AN81" s="377">
        <f t="shared" si="552"/>
        <v>0</v>
      </c>
      <c r="AO81" s="286"/>
      <c r="AP81" s="295">
        <f>AR81+AU81+AZ81+AW81+AY81</f>
        <v>106.6</v>
      </c>
      <c r="AQ81" s="181">
        <v>93</v>
      </c>
      <c r="AR81" s="94">
        <v>91.8</v>
      </c>
      <c r="AS81" s="94">
        <v>248.2</v>
      </c>
      <c r="AT81" s="94">
        <v>35</v>
      </c>
      <c r="AU81" s="94">
        <v>14.8</v>
      </c>
      <c r="AV81" s="94">
        <v>5</v>
      </c>
      <c r="AW81" s="94">
        <v>0</v>
      </c>
      <c r="AX81" s="94">
        <v>0</v>
      </c>
      <c r="AY81" s="94">
        <v>0</v>
      </c>
      <c r="AZ81" s="433">
        <v>0</v>
      </c>
      <c r="BA81" s="1015">
        <v>-22.5</v>
      </c>
      <c r="BB81" s="1016">
        <f>-AR81*0.193</f>
        <v>-17.717400000000001</v>
      </c>
      <c r="BC81" s="1017">
        <f>-AS81*0.193</f>
        <v>-47.9026</v>
      </c>
      <c r="BD81" s="1018">
        <v>0</v>
      </c>
      <c r="BE81" s="1018">
        <f>-AT81*0.193</f>
        <v>-6.7549999999999999</v>
      </c>
      <c r="BF81" s="1019">
        <f>-AT81*0.193</f>
        <v>-6.7549999999999999</v>
      </c>
      <c r="BG81" s="207">
        <f>-AU81*0.193</f>
        <v>-2.8564000000000003</v>
      </c>
      <c r="BH81" s="207">
        <f>-AW81*0.193</f>
        <v>0</v>
      </c>
      <c r="BI81" s="1018">
        <v>0</v>
      </c>
      <c r="BJ81" s="1019">
        <v>0</v>
      </c>
      <c r="BK81" s="1019">
        <v>-0.96500000000000008</v>
      </c>
      <c r="BL81" s="1019">
        <v>0</v>
      </c>
      <c r="BM81" s="1019">
        <v>0</v>
      </c>
      <c r="BN81" s="409">
        <f>-BO81*0.193</f>
        <v>0</v>
      </c>
      <c r="BO81" s="1013">
        <v>0</v>
      </c>
      <c r="BP81" s="1018">
        <v>0</v>
      </c>
      <c r="BQ81" s="1018">
        <v>0</v>
      </c>
      <c r="BR81" s="1018">
        <v>0</v>
      </c>
      <c r="BS81" s="1020">
        <v>0</v>
      </c>
      <c r="BT81" s="1020">
        <v>0</v>
      </c>
      <c r="BU81" s="1020">
        <v>0</v>
      </c>
      <c r="BV81" s="409">
        <f>-BW81*0.193</f>
        <v>0</v>
      </c>
      <c r="BW81" s="1051">
        <v>0</v>
      </c>
      <c r="BX81" s="439" t="s">
        <v>502</v>
      </c>
    </row>
    <row r="82" spans="1:76" ht="18.75" collapsed="1" x14ac:dyDescent="0.25">
      <c r="A82" s="467">
        <v>3</v>
      </c>
      <c r="B82" s="708" t="s">
        <v>1721</v>
      </c>
      <c r="C82" s="689"/>
      <c r="D82" s="348"/>
      <c r="E82" s="460"/>
      <c r="F82" s="540"/>
      <c r="G82" s="400" t="s">
        <v>1730</v>
      </c>
      <c r="H82" s="401" t="s">
        <v>1730</v>
      </c>
      <c r="I82" s="349"/>
      <c r="J82" s="379">
        <f>J83</f>
        <v>1.0640561821664184E-2</v>
      </c>
      <c r="K82" s="380">
        <f t="shared" ref="K82" si="553">K83</f>
        <v>1.0034582704290563E-4</v>
      </c>
      <c r="L82" s="380">
        <f t="shared" ref="L82:N82" si="554">L83</f>
        <v>3.2125403709598438E-3</v>
      </c>
      <c r="M82" s="380">
        <f>M83</f>
        <v>4.7825494191232089E-5</v>
      </c>
      <c r="N82" s="380">
        <f t="shared" si="554"/>
        <v>1.7566017485213806E-6</v>
      </c>
      <c r="O82" s="380">
        <f t="shared" ref="O82:Q82" si="555">O83</f>
        <v>0</v>
      </c>
      <c r="P82" s="380">
        <f t="shared" si="555"/>
        <v>0</v>
      </c>
      <c r="Q82" s="380">
        <f t="shared" si="555"/>
        <v>0</v>
      </c>
      <c r="R82" s="380">
        <f t="shared" ref="R82" si="556">R83</f>
        <v>0</v>
      </c>
      <c r="S82" s="381">
        <f t="shared" ref="S82" si="557">S83</f>
        <v>0</v>
      </c>
      <c r="T82" s="379">
        <f t="shared" ref="T82" si="558">T83</f>
        <v>-8.8671348513868196E-4</v>
      </c>
      <c r="U82" s="380">
        <f t="shared" ref="U82" si="559">U83</f>
        <v>-1.6858098943208146E-5</v>
      </c>
      <c r="V82" s="380">
        <f t="shared" ref="V82" si="560">V83</f>
        <v>-5.3970678232125383E-4</v>
      </c>
      <c r="W82" s="385">
        <f t="shared" ref="W82" si="561">W83</f>
        <v>0</v>
      </c>
      <c r="X82" s="385">
        <f t="shared" ref="X82" si="562">X83</f>
        <v>-8.0346830241269912E-6</v>
      </c>
      <c r="Y82" s="385">
        <f t="shared" ref="Y82" si="563">Y83</f>
        <v>-8.0346830241269912E-6</v>
      </c>
      <c r="Z82" s="380">
        <f>Z83</f>
        <v>-2.9510909375159197E-7</v>
      </c>
      <c r="AA82" s="380">
        <f t="shared" ref="AA82" si="564">AA83</f>
        <v>0</v>
      </c>
      <c r="AB82" s="385">
        <f t="shared" ref="AB82" si="565">AB83</f>
        <v>0</v>
      </c>
      <c r="AC82" s="385">
        <f t="shared" ref="AC82:AK82" si="566">AC83</f>
        <v>0</v>
      </c>
      <c r="AD82" s="385">
        <f t="shared" si="566"/>
        <v>0</v>
      </c>
      <c r="AE82" s="385">
        <f t="shared" si="566"/>
        <v>0</v>
      </c>
      <c r="AF82" s="385">
        <f t="shared" si="566"/>
        <v>0</v>
      </c>
      <c r="AG82" s="380">
        <f t="shared" si="566"/>
        <v>0</v>
      </c>
      <c r="AH82" s="380">
        <f t="shared" ref="AH82" si="567">AH83</f>
        <v>0</v>
      </c>
      <c r="AI82" s="385">
        <f t="shared" si="566"/>
        <v>0</v>
      </c>
      <c r="AJ82" s="385">
        <f t="shared" si="566"/>
        <v>0</v>
      </c>
      <c r="AK82" s="385">
        <f t="shared" si="566"/>
        <v>0</v>
      </c>
      <c r="AL82" s="381">
        <f t="shared" ref="AL82:AN82" si="568">AL83</f>
        <v>0</v>
      </c>
      <c r="AM82" s="381">
        <f t="shared" si="568"/>
        <v>0</v>
      </c>
      <c r="AN82" s="381">
        <f t="shared" si="568"/>
        <v>0</v>
      </c>
      <c r="AO82" s="403"/>
      <c r="AP82" s="350">
        <f t="shared" ref="AP82" si="569">AP83</f>
        <v>3.098881</v>
      </c>
      <c r="AQ82" s="382">
        <f t="shared" ref="AQ82" si="570">AQ83</f>
        <v>300</v>
      </c>
      <c r="AR82" s="382">
        <f t="shared" ref="AR82" si="571">AR83</f>
        <v>3.0398809999999998</v>
      </c>
      <c r="AS82" s="382">
        <f t="shared" ref="AS82" si="572">AS83</f>
        <v>104.96011900000002</v>
      </c>
      <c r="AT82" s="382">
        <f t="shared" ref="AT82:AU82" si="573">AT83</f>
        <v>1.5</v>
      </c>
      <c r="AU82" s="382">
        <f t="shared" si="573"/>
        <v>5.8999999999999997E-2</v>
      </c>
      <c r="AV82" s="382">
        <f t="shared" ref="AV82:AX82" si="574">AV83</f>
        <v>0</v>
      </c>
      <c r="AW82" s="382">
        <f t="shared" si="574"/>
        <v>0</v>
      </c>
      <c r="AX82" s="382">
        <f t="shared" si="574"/>
        <v>0</v>
      </c>
      <c r="AY82" s="382">
        <f t="shared" ref="AY82" si="575">AY83</f>
        <v>0</v>
      </c>
      <c r="AZ82" s="383">
        <f t="shared" ref="AZ82" si="576">AZ83</f>
        <v>0</v>
      </c>
      <c r="BA82" s="656">
        <f t="shared" ref="BA82" si="577">BA83</f>
        <v>-25</v>
      </c>
      <c r="BB82" s="350">
        <f t="shared" ref="BB82" si="578">BB83</f>
        <v>-0.51070000800000004</v>
      </c>
      <c r="BC82" s="382">
        <f t="shared" ref="BC82" si="579">BC83</f>
        <v>-17.633299992000005</v>
      </c>
      <c r="BD82" s="387">
        <f t="shared" ref="BD82" si="580">BD83</f>
        <v>0</v>
      </c>
      <c r="BE82" s="387">
        <f t="shared" ref="BE82" si="581">BE83</f>
        <v>-0.252</v>
      </c>
      <c r="BF82" s="651">
        <f t="shared" ref="BF82:BG82" si="582">BF83</f>
        <v>-0.252</v>
      </c>
      <c r="BG82" s="360">
        <f t="shared" si="582"/>
        <v>-9.9120000000000007E-3</v>
      </c>
      <c r="BH82" s="382">
        <f t="shared" ref="BH82" si="583">BH83</f>
        <v>0</v>
      </c>
      <c r="BI82" s="387">
        <f t="shared" ref="BI82" si="584">BI83</f>
        <v>0</v>
      </c>
      <c r="BJ82" s="515">
        <f t="shared" ref="BJ82:BN82" si="585">BJ83</f>
        <v>0</v>
      </c>
      <c r="BK82" s="515">
        <f t="shared" si="585"/>
        <v>0</v>
      </c>
      <c r="BL82" s="515">
        <f t="shared" si="585"/>
        <v>0</v>
      </c>
      <c r="BM82" s="515">
        <f t="shared" si="585"/>
        <v>0</v>
      </c>
      <c r="BN82" s="350">
        <f t="shared" si="585"/>
        <v>0</v>
      </c>
      <c r="BO82" s="382">
        <f t="shared" ref="BO82:BR82" si="586">BO83</f>
        <v>0</v>
      </c>
      <c r="BP82" s="387">
        <f t="shared" si="586"/>
        <v>0</v>
      </c>
      <c r="BQ82" s="387">
        <f t="shared" si="586"/>
        <v>0</v>
      </c>
      <c r="BR82" s="387">
        <f t="shared" si="586"/>
        <v>0</v>
      </c>
      <c r="BS82" s="383">
        <f t="shared" ref="BS82:BU82" si="587">BS83</f>
        <v>0</v>
      </c>
      <c r="BT82" s="383">
        <f t="shared" si="587"/>
        <v>0</v>
      </c>
      <c r="BU82" s="383">
        <f t="shared" si="587"/>
        <v>0</v>
      </c>
      <c r="BV82" s="350">
        <f t="shared" ref="BV82" si="588">BV83</f>
        <v>0</v>
      </c>
      <c r="BW82" s="383">
        <f t="shared" ref="BW82" si="589">BW83</f>
        <v>0</v>
      </c>
      <c r="BX82" s="351"/>
    </row>
    <row r="83" spans="1:76" ht="130.5" hidden="1" customHeight="1" outlineLevel="1" x14ac:dyDescent="0.25">
      <c r="A83" s="678">
        <v>1</v>
      </c>
      <c r="B83" s="709" t="s">
        <v>5</v>
      </c>
      <c r="C83" s="696" t="s">
        <v>5</v>
      </c>
      <c r="D83" s="79" t="s">
        <v>500</v>
      </c>
      <c r="E83" s="463" t="s">
        <v>33</v>
      </c>
      <c r="F83" s="552" t="s">
        <v>61</v>
      </c>
      <c r="G83" s="67" t="s">
        <v>216</v>
      </c>
      <c r="H83" s="306" t="s">
        <v>127</v>
      </c>
      <c r="I83" s="335"/>
      <c r="J83" s="294">
        <f>AQ83/T$8</f>
        <v>1.0640561821664184E-2</v>
      </c>
      <c r="K83" s="52">
        <f>AR83/U$8</f>
        <v>1.0034582704290563E-4</v>
      </c>
      <c r="L83" s="52">
        <f>AS83/V$8</f>
        <v>3.2125403709598438E-3</v>
      </c>
      <c r="M83" s="52">
        <f>AT83/Y$8</f>
        <v>4.7825494191232089E-5</v>
      </c>
      <c r="N83" s="52">
        <f>AU83/Z$8</f>
        <v>1.7566017485213806E-6</v>
      </c>
      <c r="O83" s="52">
        <f>AV83/AA$8</f>
        <v>0</v>
      </c>
      <c r="P83" s="52">
        <f>AW83/AE$8</f>
        <v>0</v>
      </c>
      <c r="Q83" s="52">
        <f>AX83/AF$8</f>
        <v>0</v>
      </c>
      <c r="R83" s="52">
        <f>AY83/AH$8</f>
        <v>0</v>
      </c>
      <c r="S83" s="527">
        <f>AZ83/AN$8</f>
        <v>0</v>
      </c>
      <c r="T83" s="533">
        <f>BA83/T$8</f>
        <v>-8.8671348513868196E-4</v>
      </c>
      <c r="U83" s="375">
        <f t="shared" ref="U83" si="590">BB83/U$8</f>
        <v>-1.6858098943208146E-5</v>
      </c>
      <c r="V83" s="375">
        <f t="shared" ref="V83" si="591">BC83/V$8</f>
        <v>-5.3970678232125383E-4</v>
      </c>
      <c r="W83" s="386">
        <f t="shared" ref="W83" si="592">BD83/W$8</f>
        <v>0</v>
      </c>
      <c r="X83" s="386">
        <f t="shared" ref="X83" si="593">BE83/X$8</f>
        <v>-8.0346830241269912E-6</v>
      </c>
      <c r="Y83" s="386">
        <f>BF83/Y$8</f>
        <v>-8.0346830241269912E-6</v>
      </c>
      <c r="Z83" s="375">
        <f>BG83/Z$8</f>
        <v>-2.9510909375159197E-7</v>
      </c>
      <c r="AA83" s="375">
        <f t="shared" ref="AA83" si="594">BH83/AA$8</f>
        <v>0</v>
      </c>
      <c r="AB83" s="386">
        <f t="shared" ref="AB83" si="595">BI83/AB$8</f>
        <v>0</v>
      </c>
      <c r="AC83" s="386">
        <f t="shared" ref="AC83:AN83" si="596">BJ83/AC$8</f>
        <v>0</v>
      </c>
      <c r="AD83" s="386">
        <f t="shared" si="596"/>
        <v>0</v>
      </c>
      <c r="AE83" s="386">
        <f t="shared" si="596"/>
        <v>0</v>
      </c>
      <c r="AF83" s="386">
        <f t="shared" si="596"/>
        <v>0</v>
      </c>
      <c r="AG83" s="375">
        <f t="shared" si="596"/>
        <v>0</v>
      </c>
      <c r="AH83" s="375">
        <f t="shared" si="596"/>
        <v>0</v>
      </c>
      <c r="AI83" s="386">
        <f t="shared" si="596"/>
        <v>0</v>
      </c>
      <c r="AJ83" s="386">
        <f t="shared" si="596"/>
        <v>0</v>
      </c>
      <c r="AK83" s="386">
        <f t="shared" si="596"/>
        <v>0</v>
      </c>
      <c r="AL83" s="377">
        <f t="shared" si="596"/>
        <v>0</v>
      </c>
      <c r="AM83" s="377">
        <f t="shared" si="596"/>
        <v>0</v>
      </c>
      <c r="AN83" s="377">
        <f t="shared" si="596"/>
        <v>0</v>
      </c>
      <c r="AO83" s="286"/>
      <c r="AP83" s="295">
        <f>AR83+AU83+AZ83+AW83+AY83</f>
        <v>3.098881</v>
      </c>
      <c r="AQ83" s="408">
        <v>300</v>
      </c>
      <c r="AR83" s="987">
        <v>3.0398809999999998</v>
      </c>
      <c r="AS83" s="987">
        <f>300-3.039881-(300*0.64)</f>
        <v>104.96011900000002</v>
      </c>
      <c r="AT83" s="987">
        <v>1.5</v>
      </c>
      <c r="AU83" s="987">
        <v>5.8999999999999997E-2</v>
      </c>
      <c r="AV83" s="987">
        <v>0</v>
      </c>
      <c r="AW83" s="987">
        <v>0</v>
      </c>
      <c r="AX83" s="987">
        <v>0</v>
      </c>
      <c r="AY83" s="987">
        <v>0</v>
      </c>
      <c r="AZ83" s="988">
        <v>0</v>
      </c>
      <c r="BA83" s="1015">
        <v>-25</v>
      </c>
      <c r="BB83" s="1016">
        <f>-AR83*0.168</f>
        <v>-0.51070000800000004</v>
      </c>
      <c r="BC83" s="1017">
        <f>-AS83*0.168</f>
        <v>-17.633299992000005</v>
      </c>
      <c r="BD83" s="1018">
        <v>0</v>
      </c>
      <c r="BE83" s="1018">
        <f>-AT83*0.168</f>
        <v>-0.252</v>
      </c>
      <c r="BF83" s="1019">
        <f>-AT83*0.168</f>
        <v>-0.252</v>
      </c>
      <c r="BG83" s="207">
        <f>-AU83*0.168</f>
        <v>-9.9120000000000007E-3</v>
      </c>
      <c r="BH83" s="1013">
        <v>0</v>
      </c>
      <c r="BI83" s="1018">
        <v>0</v>
      </c>
      <c r="BJ83" s="1019">
        <v>0</v>
      </c>
      <c r="BK83" s="1019">
        <v>0</v>
      </c>
      <c r="BL83" s="1019">
        <v>0</v>
      </c>
      <c r="BM83" s="1019">
        <v>0</v>
      </c>
      <c r="BN83" s="409">
        <f>-BO83*0.168</f>
        <v>0</v>
      </c>
      <c r="BO83" s="1013">
        <v>0</v>
      </c>
      <c r="BP83" s="1018">
        <v>0</v>
      </c>
      <c r="BQ83" s="1018">
        <v>0</v>
      </c>
      <c r="BR83" s="1018">
        <v>0</v>
      </c>
      <c r="BS83" s="1020">
        <v>0</v>
      </c>
      <c r="BT83" s="1020">
        <v>0</v>
      </c>
      <c r="BU83" s="1020">
        <v>0</v>
      </c>
      <c r="BV83" s="409">
        <v>0</v>
      </c>
      <c r="BW83" s="1051">
        <v>0</v>
      </c>
      <c r="BX83" s="439" t="s">
        <v>503</v>
      </c>
    </row>
    <row r="84" spans="1:76" ht="18.75" collapsed="1" x14ac:dyDescent="0.25">
      <c r="A84" s="467">
        <v>4</v>
      </c>
      <c r="B84" s="708" t="s">
        <v>543</v>
      </c>
      <c r="C84" s="689"/>
      <c r="D84" s="348"/>
      <c r="E84" s="460"/>
      <c r="F84" s="540"/>
      <c r="G84" s="400" t="s">
        <v>1730</v>
      </c>
      <c r="H84" s="401" t="s">
        <v>1730</v>
      </c>
      <c r="I84" s="349"/>
      <c r="J84" s="379">
        <f>J85</f>
        <v>8.8671348513868196E-4</v>
      </c>
      <c r="K84" s="380">
        <f t="shared" ref="K84" si="597">K85</f>
        <v>0</v>
      </c>
      <c r="L84" s="380">
        <f t="shared" ref="L84:N84" si="598">L85</f>
        <v>1.5303623898139079E-3</v>
      </c>
      <c r="M84" s="380">
        <f>M85</f>
        <v>7.7955555531708303E-4</v>
      </c>
      <c r="N84" s="380">
        <f t="shared" si="598"/>
        <v>4.7898956932859022E-4</v>
      </c>
      <c r="O84" s="380">
        <f t="shared" ref="O84:Q84" si="599">O85</f>
        <v>4.7922314998750893E-4</v>
      </c>
      <c r="P84" s="380">
        <f t="shared" si="599"/>
        <v>1.8768069136524445E-4</v>
      </c>
      <c r="Q84" s="380">
        <f t="shared" si="599"/>
        <v>3.296243888802972E-5</v>
      </c>
      <c r="R84" s="380">
        <f t="shared" ref="R84" si="600">R85</f>
        <v>0</v>
      </c>
      <c r="S84" s="381">
        <f t="shared" ref="S84" si="601">S85</f>
        <v>0</v>
      </c>
      <c r="T84" s="379">
        <f t="shared" ref="T84" si="602">T85</f>
        <v>0</v>
      </c>
      <c r="U84" s="380">
        <f t="shared" ref="U84" si="603">U85</f>
        <v>0</v>
      </c>
      <c r="V84" s="380">
        <f t="shared" ref="V84" si="604">V85</f>
        <v>0</v>
      </c>
      <c r="W84" s="385">
        <f t="shared" ref="W84" si="605">W85</f>
        <v>0</v>
      </c>
      <c r="X84" s="385">
        <f t="shared" ref="X84" si="606">X85</f>
        <v>0</v>
      </c>
      <c r="Y84" s="385">
        <f t="shared" ref="Y84" si="607">Y85</f>
        <v>0</v>
      </c>
      <c r="Z84" s="380">
        <f>Z85</f>
        <v>0</v>
      </c>
      <c r="AA84" s="380">
        <f t="shared" ref="AA84" si="608">AA85</f>
        <v>4.7922314998750893E-4</v>
      </c>
      <c r="AB84" s="385">
        <f t="shared" ref="AB84" si="609">AB85</f>
        <v>0</v>
      </c>
      <c r="AC84" s="385">
        <f t="shared" ref="AC84:AK84" si="610">AC85</f>
        <v>0</v>
      </c>
      <c r="AD84" s="385">
        <f t="shared" si="610"/>
        <v>0</v>
      </c>
      <c r="AE84" s="385">
        <f t="shared" si="610"/>
        <v>0</v>
      </c>
      <c r="AF84" s="385">
        <f t="shared" si="610"/>
        <v>0</v>
      </c>
      <c r="AG84" s="380">
        <f t="shared" si="610"/>
        <v>0</v>
      </c>
      <c r="AH84" s="380">
        <f t="shared" ref="AH84" si="611">AH85</f>
        <v>0</v>
      </c>
      <c r="AI84" s="385">
        <f t="shared" si="610"/>
        <v>0</v>
      </c>
      <c r="AJ84" s="385">
        <f t="shared" si="610"/>
        <v>0</v>
      </c>
      <c r="AK84" s="385">
        <f t="shared" si="610"/>
        <v>0</v>
      </c>
      <c r="AL84" s="381">
        <f t="shared" ref="AL84:AN84" si="612">AL85</f>
        <v>0</v>
      </c>
      <c r="AM84" s="381">
        <f t="shared" si="612"/>
        <v>0</v>
      </c>
      <c r="AN84" s="381">
        <f t="shared" si="612"/>
        <v>0</v>
      </c>
      <c r="AO84" s="403"/>
      <c r="AP84" s="350">
        <f t="shared" ref="AP84" si="613">AP85</f>
        <v>23.2881</v>
      </c>
      <c r="AQ84" s="382">
        <f t="shared" ref="AQ84" si="614">AQ85</f>
        <v>25</v>
      </c>
      <c r="AR84" s="382">
        <f t="shared" ref="AR84" si="615">AR85</f>
        <v>0</v>
      </c>
      <c r="AS84" s="382">
        <f t="shared" ref="AS84" si="616">AS85</f>
        <v>50</v>
      </c>
      <c r="AT84" s="382">
        <f t="shared" ref="AT84:AU84" si="617">AT85</f>
        <v>24.45</v>
      </c>
      <c r="AU84" s="382">
        <f t="shared" si="617"/>
        <v>16.088100000000001</v>
      </c>
      <c r="AV84" s="382">
        <f t="shared" ref="AV84:AX84" si="618">AV85</f>
        <v>18.899999999999999</v>
      </c>
      <c r="AW84" s="382">
        <f t="shared" si="618"/>
        <v>7.2</v>
      </c>
      <c r="AX84" s="382">
        <f t="shared" si="618"/>
        <v>1.3</v>
      </c>
      <c r="AY84" s="382">
        <f t="shared" ref="AY84" si="619">AY85</f>
        <v>0</v>
      </c>
      <c r="AZ84" s="383">
        <f t="shared" ref="AZ84" si="620">AZ85</f>
        <v>0</v>
      </c>
      <c r="BA84" s="656">
        <f t="shared" ref="BA84" si="621">BA85</f>
        <v>0</v>
      </c>
      <c r="BB84" s="350">
        <f t="shared" ref="BB84" si="622">BB85</f>
        <v>0</v>
      </c>
      <c r="BC84" s="382">
        <f t="shared" ref="BC84" si="623">BC85</f>
        <v>0</v>
      </c>
      <c r="BD84" s="387">
        <f t="shared" ref="BD84" si="624">BD85</f>
        <v>0</v>
      </c>
      <c r="BE84" s="387">
        <f t="shared" ref="BE84" si="625">BE85</f>
        <v>0</v>
      </c>
      <c r="BF84" s="651">
        <f t="shared" ref="BF84:BG84" si="626">BF85</f>
        <v>0</v>
      </c>
      <c r="BG84" s="360">
        <f t="shared" si="626"/>
        <v>0</v>
      </c>
      <c r="BH84" s="382">
        <f t="shared" ref="BH84" si="627">BH85</f>
        <v>18.899999999999999</v>
      </c>
      <c r="BI84" s="387">
        <f t="shared" ref="BI84" si="628">BI85</f>
        <v>0</v>
      </c>
      <c r="BJ84" s="515">
        <f t="shared" ref="BJ84:BN84" si="629">BJ85</f>
        <v>0</v>
      </c>
      <c r="BK84" s="515">
        <f t="shared" si="629"/>
        <v>0</v>
      </c>
      <c r="BL84" s="515">
        <f t="shared" si="629"/>
        <v>0</v>
      </c>
      <c r="BM84" s="515">
        <f t="shared" si="629"/>
        <v>0</v>
      </c>
      <c r="BN84" s="350">
        <f t="shared" si="629"/>
        <v>0</v>
      </c>
      <c r="BO84" s="382">
        <f t="shared" ref="BO84:BR84" si="630">BO85</f>
        <v>0</v>
      </c>
      <c r="BP84" s="387">
        <f t="shared" si="630"/>
        <v>0</v>
      </c>
      <c r="BQ84" s="387">
        <f t="shared" si="630"/>
        <v>0</v>
      </c>
      <c r="BR84" s="387">
        <f t="shared" si="630"/>
        <v>0</v>
      </c>
      <c r="BS84" s="383">
        <f t="shared" ref="BS84:BU84" si="631">BS85</f>
        <v>0</v>
      </c>
      <c r="BT84" s="383">
        <f t="shared" si="631"/>
        <v>0</v>
      </c>
      <c r="BU84" s="383">
        <f t="shared" si="631"/>
        <v>0</v>
      </c>
      <c r="BV84" s="350">
        <f t="shared" ref="BV84" si="632">BV85</f>
        <v>0</v>
      </c>
      <c r="BW84" s="383">
        <f t="shared" ref="BW84" si="633">BW85</f>
        <v>0</v>
      </c>
      <c r="BX84" s="351"/>
    </row>
    <row r="85" spans="1:76" ht="116.1" hidden="1" customHeight="1" outlineLevel="1" x14ac:dyDescent="0.25">
      <c r="A85" s="678">
        <v>1</v>
      </c>
      <c r="B85" s="709" t="s">
        <v>543</v>
      </c>
      <c r="C85" s="686" t="s">
        <v>543</v>
      </c>
      <c r="D85" s="63" t="s">
        <v>556</v>
      </c>
      <c r="E85" s="463" t="s">
        <v>311</v>
      </c>
      <c r="F85" s="542" t="s">
        <v>217</v>
      </c>
      <c r="G85" s="67" t="s">
        <v>216</v>
      </c>
      <c r="H85" s="306" t="s">
        <v>127</v>
      </c>
      <c r="I85" s="335"/>
      <c r="J85" s="294">
        <f>AQ85/T$8</f>
        <v>8.8671348513868196E-4</v>
      </c>
      <c r="K85" s="52">
        <f>AR85/U$8</f>
        <v>0</v>
      </c>
      <c r="L85" s="52">
        <f>AS85/V$8</f>
        <v>1.5303623898139079E-3</v>
      </c>
      <c r="M85" s="52">
        <f>AT85/Y$8</f>
        <v>7.7955555531708303E-4</v>
      </c>
      <c r="N85" s="52">
        <f>AU85/Z$8</f>
        <v>4.7898956932859022E-4</v>
      </c>
      <c r="O85" s="52">
        <f>AV85/AA$8</f>
        <v>4.7922314998750893E-4</v>
      </c>
      <c r="P85" s="52">
        <f>AW85/AE$8</f>
        <v>1.8768069136524445E-4</v>
      </c>
      <c r="Q85" s="52">
        <f>AX85/AF$8</f>
        <v>3.296243888802972E-5</v>
      </c>
      <c r="R85" s="52">
        <f>AY85/AH$8</f>
        <v>0</v>
      </c>
      <c r="S85" s="527">
        <f>AZ85/AN$8</f>
        <v>0</v>
      </c>
      <c r="T85" s="533">
        <f>BA85/T$8</f>
        <v>0</v>
      </c>
      <c r="U85" s="375">
        <f>BB85/U$8</f>
        <v>0</v>
      </c>
      <c r="V85" s="375">
        <f t="shared" ref="V85" si="634">BC85/V$8</f>
        <v>0</v>
      </c>
      <c r="W85" s="386">
        <f t="shared" ref="W85" si="635">BD85/W$8</f>
        <v>0</v>
      </c>
      <c r="X85" s="386">
        <f t="shared" ref="X85" si="636">BE85/X$8</f>
        <v>0</v>
      </c>
      <c r="Y85" s="386">
        <f t="shared" ref="Y85" si="637">BF85/Y$8</f>
        <v>0</v>
      </c>
      <c r="Z85" s="375">
        <f>BG85/Z$8</f>
        <v>0</v>
      </c>
      <c r="AA85" s="375">
        <f>BH85/AA$8</f>
        <v>4.7922314998750893E-4</v>
      </c>
      <c r="AB85" s="386">
        <f t="shared" ref="AB85" si="638">BI85/AB$8</f>
        <v>0</v>
      </c>
      <c r="AC85" s="386">
        <f t="shared" ref="AC85:AN85" si="639">BJ85/AC$8</f>
        <v>0</v>
      </c>
      <c r="AD85" s="386">
        <f t="shared" si="639"/>
        <v>0</v>
      </c>
      <c r="AE85" s="386">
        <f t="shared" si="639"/>
        <v>0</v>
      </c>
      <c r="AF85" s="386">
        <f t="shared" si="639"/>
        <v>0</v>
      </c>
      <c r="AG85" s="375">
        <f t="shared" si="639"/>
        <v>0</v>
      </c>
      <c r="AH85" s="375">
        <f t="shared" si="639"/>
        <v>0</v>
      </c>
      <c r="AI85" s="386">
        <f t="shared" si="639"/>
        <v>0</v>
      </c>
      <c r="AJ85" s="386">
        <f t="shared" si="639"/>
        <v>0</v>
      </c>
      <c r="AK85" s="386">
        <f t="shared" si="639"/>
        <v>0</v>
      </c>
      <c r="AL85" s="377">
        <f t="shared" si="639"/>
        <v>0</v>
      </c>
      <c r="AM85" s="377">
        <f t="shared" si="639"/>
        <v>0</v>
      </c>
      <c r="AN85" s="377">
        <f t="shared" si="639"/>
        <v>0</v>
      </c>
      <c r="AO85" s="284"/>
      <c r="AP85" s="295">
        <f>AR85+AU85+AZ85+AW85+AY85</f>
        <v>23.2881</v>
      </c>
      <c r="AQ85" s="182">
        <v>25</v>
      </c>
      <c r="AR85" s="80">
        <v>0</v>
      </c>
      <c r="AS85" s="80">
        <v>50</v>
      </c>
      <c r="AT85" s="80">
        <f>50*0.489</f>
        <v>24.45</v>
      </c>
      <c r="AU85" s="1021">
        <f>32.9*0.489</f>
        <v>16.088100000000001</v>
      </c>
      <c r="AV85" s="714">
        <v>18.899999999999999</v>
      </c>
      <c r="AW85" s="714">
        <v>7.2</v>
      </c>
      <c r="AX85" s="714">
        <v>1.3</v>
      </c>
      <c r="AY85" s="80">
        <v>0</v>
      </c>
      <c r="AZ85" s="432">
        <v>0</v>
      </c>
      <c r="BA85" s="657">
        <v>0</v>
      </c>
      <c r="BB85" s="327">
        <v>0</v>
      </c>
      <c r="BC85" s="75">
        <v>0</v>
      </c>
      <c r="BD85" s="389">
        <v>0</v>
      </c>
      <c r="BE85" s="389">
        <v>0</v>
      </c>
      <c r="BF85" s="516">
        <v>0</v>
      </c>
      <c r="BG85" s="207">
        <v>0</v>
      </c>
      <c r="BH85" s="1013">
        <v>18.899999999999999</v>
      </c>
      <c r="BI85" s="389">
        <v>0</v>
      </c>
      <c r="BJ85" s="516">
        <v>0</v>
      </c>
      <c r="BK85" s="516">
        <v>0</v>
      </c>
      <c r="BL85" s="516">
        <v>0</v>
      </c>
      <c r="BM85" s="516">
        <v>0</v>
      </c>
      <c r="BN85" s="409">
        <v>0</v>
      </c>
      <c r="BO85" s="207">
        <v>0</v>
      </c>
      <c r="BP85" s="389">
        <v>0</v>
      </c>
      <c r="BQ85" s="389">
        <v>0</v>
      </c>
      <c r="BR85" s="389">
        <v>0</v>
      </c>
      <c r="BS85" s="296">
        <v>0</v>
      </c>
      <c r="BT85" s="296">
        <v>0</v>
      </c>
      <c r="BU85" s="296">
        <v>0</v>
      </c>
      <c r="BV85" s="409">
        <v>0</v>
      </c>
      <c r="BW85" s="1052">
        <v>0</v>
      </c>
      <c r="BX85" s="442" t="s">
        <v>1548</v>
      </c>
    </row>
    <row r="86" spans="1:76" ht="18.75" collapsed="1" x14ac:dyDescent="0.25">
      <c r="A86" s="467">
        <v>5</v>
      </c>
      <c r="B86" s="708" t="s">
        <v>508</v>
      </c>
      <c r="C86" s="689"/>
      <c r="D86" s="348"/>
      <c r="E86" s="460"/>
      <c r="F86" s="540"/>
      <c r="G86" s="400" t="s">
        <v>1730</v>
      </c>
      <c r="H86" s="401" t="s">
        <v>1730</v>
      </c>
      <c r="I86" s="349"/>
      <c r="J86" s="379">
        <f>J87</f>
        <v>1.5960842732496276E-4</v>
      </c>
      <c r="K86" s="380">
        <f t="shared" ref="K86" si="640">K87</f>
        <v>8.2524469743145895E-5</v>
      </c>
      <c r="L86" s="380">
        <f t="shared" ref="L86:N86" si="641">L87</f>
        <v>1.2891772771792359E-4</v>
      </c>
      <c r="M86" s="380">
        <f>M87</f>
        <v>6.3767325588309461E-5</v>
      </c>
      <c r="N86" s="380">
        <f t="shared" si="641"/>
        <v>8.1319181203861119E-5</v>
      </c>
      <c r="O86" s="380">
        <f t="shared" ref="O86:Q86" si="642">O87</f>
        <v>2.5355722221561322E-4</v>
      </c>
      <c r="P86" s="380">
        <f t="shared" si="642"/>
        <v>2.6066762689617287E-6</v>
      </c>
      <c r="Q86" s="380">
        <f t="shared" si="642"/>
        <v>2.5355722221561325E-6</v>
      </c>
      <c r="R86" s="380">
        <f t="shared" ref="R86" si="643">R87</f>
        <v>0</v>
      </c>
      <c r="S86" s="381">
        <f t="shared" ref="S86" si="644">S87</f>
        <v>0</v>
      </c>
      <c r="T86" s="379">
        <f t="shared" ref="T86" si="645">T87</f>
        <v>-1.5960842732496276E-4</v>
      </c>
      <c r="U86" s="380">
        <f t="shared" ref="U86" si="646">U87</f>
        <v>-7.2291435494995803E-6</v>
      </c>
      <c r="V86" s="380">
        <f t="shared" ref="V86" si="647">V87</f>
        <v>-1.2430247306562193E-5</v>
      </c>
      <c r="W86" s="385">
        <f t="shared" ref="W86" si="648">W87</f>
        <v>-6.5297810731494601E-5</v>
      </c>
      <c r="X86" s="385">
        <f t="shared" ref="X86" si="649">X87</f>
        <v>-6.3767325588309461E-5</v>
      </c>
      <c r="Y86" s="385">
        <f t="shared" ref="Y86" si="650">Y87</f>
        <v>-1.2948626292971423E-5</v>
      </c>
      <c r="Z86" s="380">
        <f>Z87</f>
        <v>-7.123560273458233E-6</v>
      </c>
      <c r="AA86" s="380">
        <f t="shared" ref="AA86" si="651">AA87</f>
        <v>-2.2211612666087719E-7</v>
      </c>
      <c r="AB86" s="385">
        <f t="shared" ref="AB86" si="652">AB87</f>
        <v>0</v>
      </c>
      <c r="AC86" s="385">
        <f t="shared" ref="AC86:AK86" si="653">AC87</f>
        <v>0</v>
      </c>
      <c r="AD86" s="385">
        <f t="shared" si="653"/>
        <v>-2.5748219836376779E-5</v>
      </c>
      <c r="AE86" s="385">
        <f t="shared" si="653"/>
        <v>-2.2834484116104741E-7</v>
      </c>
      <c r="AF86" s="385">
        <f t="shared" si="653"/>
        <v>-2.2211612666087719E-7</v>
      </c>
      <c r="AG86" s="380">
        <f t="shared" si="653"/>
        <v>-2.2415137402873177E-7</v>
      </c>
      <c r="AH86" s="380">
        <f t="shared" ref="AH86" si="654">AH87</f>
        <v>0</v>
      </c>
      <c r="AI86" s="385">
        <f t="shared" si="653"/>
        <v>0</v>
      </c>
      <c r="AJ86" s="385">
        <f t="shared" si="653"/>
        <v>0</v>
      </c>
      <c r="AK86" s="385">
        <f t="shared" si="653"/>
        <v>0</v>
      </c>
      <c r="AL86" s="381">
        <f t="shared" ref="AL86:AN86" si="655">AL87</f>
        <v>0</v>
      </c>
      <c r="AM86" s="381">
        <f t="shared" si="655"/>
        <v>0</v>
      </c>
      <c r="AN86" s="381">
        <f t="shared" si="655"/>
        <v>0</v>
      </c>
      <c r="AO86" s="403"/>
      <c r="AP86" s="350">
        <f t="shared" ref="AP86" si="656">AP87</f>
        <v>5.3313144229000002</v>
      </c>
      <c r="AQ86" s="382">
        <f t="shared" ref="AQ86" si="657">AQ87</f>
        <v>4.5</v>
      </c>
      <c r="AR86" s="382">
        <f t="shared" ref="AR86" si="658">AR87</f>
        <v>2.5</v>
      </c>
      <c r="AS86" s="382">
        <f t="shared" ref="AS86" si="659">AS87</f>
        <v>4.2119999999999997</v>
      </c>
      <c r="AT86" s="382">
        <f t="shared" ref="AT86:AU86" si="660">AT87</f>
        <v>2</v>
      </c>
      <c r="AU86" s="382">
        <f t="shared" si="660"/>
        <v>2.7313144229000001</v>
      </c>
      <c r="AV86" s="382">
        <f t="shared" ref="AV86:AX86" si="661">AV87</f>
        <v>10</v>
      </c>
      <c r="AW86" s="382">
        <f t="shared" si="661"/>
        <v>0.1</v>
      </c>
      <c r="AX86" s="382">
        <f t="shared" si="661"/>
        <v>0.1</v>
      </c>
      <c r="AY86" s="382">
        <f t="shared" ref="AY86" si="662">AY87</f>
        <v>0</v>
      </c>
      <c r="AZ86" s="383">
        <f t="shared" ref="AZ86" si="663">AZ87</f>
        <v>0</v>
      </c>
      <c r="BA86" s="656">
        <f t="shared" ref="BA86" si="664">BA87</f>
        <v>-4.5</v>
      </c>
      <c r="BB86" s="350">
        <f t="shared" ref="BB86" si="665">BB87</f>
        <v>-0.219</v>
      </c>
      <c r="BC86" s="382">
        <f t="shared" ref="BC86" si="666">BC87</f>
        <v>-0.40612103999999999</v>
      </c>
      <c r="BD86" s="387">
        <f t="shared" ref="BD86" si="667">BD87</f>
        <v>-2</v>
      </c>
      <c r="BE86" s="387">
        <f t="shared" ref="BE86" si="668">BE87</f>
        <v>-2</v>
      </c>
      <c r="BF86" s="651">
        <f t="shared" ref="BF86:BG86" si="669">BF87</f>
        <v>-0.40612103999999999</v>
      </c>
      <c r="BG86" s="360">
        <f t="shared" si="669"/>
        <v>-0.23926314344603999</v>
      </c>
      <c r="BH86" s="382">
        <f t="shared" ref="BH86" si="670">BH87</f>
        <v>-8.7600000000000004E-3</v>
      </c>
      <c r="BI86" s="387">
        <f t="shared" ref="BI86" si="671">BI87</f>
        <v>0</v>
      </c>
      <c r="BJ86" s="515">
        <f t="shared" ref="BJ86:BK86" si="672">BJ87</f>
        <v>0</v>
      </c>
      <c r="BK86" s="515">
        <f t="shared" si="672"/>
        <v>-0.876</v>
      </c>
      <c r="BL86" s="515">
        <f>BL87</f>
        <v>-8.7600000000000004E-3</v>
      </c>
      <c r="BM86" s="515">
        <f>BM87</f>
        <v>-8.7600000000000004E-3</v>
      </c>
      <c r="BN86" s="350">
        <f t="shared" ref="BN86" si="673">BN87</f>
        <v>-8.7600000000000004E-3</v>
      </c>
      <c r="BO86" s="382">
        <f t="shared" ref="BO86:BR86" si="674">BO87</f>
        <v>0</v>
      </c>
      <c r="BP86" s="387">
        <f t="shared" si="674"/>
        <v>0</v>
      </c>
      <c r="BQ86" s="387">
        <f t="shared" si="674"/>
        <v>0</v>
      </c>
      <c r="BR86" s="387">
        <f t="shared" si="674"/>
        <v>0</v>
      </c>
      <c r="BS86" s="383">
        <f t="shared" ref="BS86:BU86" si="675">BS87</f>
        <v>0</v>
      </c>
      <c r="BT86" s="383">
        <f t="shared" si="675"/>
        <v>0</v>
      </c>
      <c r="BU86" s="383">
        <f t="shared" si="675"/>
        <v>0</v>
      </c>
      <c r="BV86" s="350">
        <f t="shared" ref="BV86" si="676">BV87</f>
        <v>0</v>
      </c>
      <c r="BW86" s="383">
        <f t="shared" ref="BW86" si="677">BW87</f>
        <v>0</v>
      </c>
      <c r="BX86" s="351"/>
    </row>
    <row r="87" spans="1:76" ht="101.45" hidden="1" customHeight="1" outlineLevel="1" x14ac:dyDescent="0.25">
      <c r="A87" s="678">
        <v>1</v>
      </c>
      <c r="B87" s="709" t="s">
        <v>508</v>
      </c>
      <c r="C87" s="686" t="s">
        <v>508</v>
      </c>
      <c r="D87" s="63" t="s">
        <v>565</v>
      </c>
      <c r="E87" s="463" t="s">
        <v>566</v>
      </c>
      <c r="F87" s="542" t="s">
        <v>509</v>
      </c>
      <c r="G87" s="67" t="s">
        <v>216</v>
      </c>
      <c r="H87" s="306" t="s">
        <v>127</v>
      </c>
      <c r="I87" s="335"/>
      <c r="J87" s="294">
        <f>AQ87/T$8</f>
        <v>1.5960842732496276E-4</v>
      </c>
      <c r="K87" s="52">
        <f>AR87/U$8</f>
        <v>8.2524469743145895E-5</v>
      </c>
      <c r="L87" s="52">
        <f>AS87/V$8</f>
        <v>1.2891772771792359E-4</v>
      </c>
      <c r="M87" s="52">
        <f>AT87/Y$8</f>
        <v>6.3767325588309461E-5</v>
      </c>
      <c r="N87" s="52">
        <f>AU87/Z$8</f>
        <v>8.1319181203861119E-5</v>
      </c>
      <c r="O87" s="52">
        <f>AV87/AA$8</f>
        <v>2.5355722221561322E-4</v>
      </c>
      <c r="P87" s="52">
        <f>AW87/AE$8</f>
        <v>2.6066762689617287E-6</v>
      </c>
      <c r="Q87" s="52">
        <f>AX87/AF$8</f>
        <v>2.5355722221561325E-6</v>
      </c>
      <c r="R87" s="52">
        <f>AY87/AH$8</f>
        <v>0</v>
      </c>
      <c r="S87" s="527">
        <f>AZ87/AN$8</f>
        <v>0</v>
      </c>
      <c r="T87" s="533">
        <f>BA87/T$8</f>
        <v>-1.5960842732496276E-4</v>
      </c>
      <c r="U87" s="375">
        <f t="shared" ref="U87" si="678">BB87/U$8</f>
        <v>-7.2291435494995803E-6</v>
      </c>
      <c r="V87" s="375">
        <f t="shared" ref="V87" si="679">BC87/V$8</f>
        <v>-1.2430247306562193E-5</v>
      </c>
      <c r="W87" s="386">
        <f t="shared" ref="W87" si="680">BD87/W$8</f>
        <v>-6.5297810731494601E-5</v>
      </c>
      <c r="X87" s="386">
        <f t="shared" ref="X87" si="681">BE87/X$8</f>
        <v>-6.3767325588309461E-5</v>
      </c>
      <c r="Y87" s="386">
        <f>BF87/Y$8</f>
        <v>-1.2948626292971423E-5</v>
      </c>
      <c r="Z87" s="375">
        <f>BG87/Z$8</f>
        <v>-7.123560273458233E-6</v>
      </c>
      <c r="AA87" s="375">
        <f t="shared" ref="AA87" si="682">BH87/AA$8</f>
        <v>-2.2211612666087719E-7</v>
      </c>
      <c r="AB87" s="386">
        <f t="shared" ref="AB87" si="683">BI87/AB$8</f>
        <v>0</v>
      </c>
      <c r="AC87" s="386">
        <f t="shared" ref="AC87:AN87" si="684">BJ87/AC$8</f>
        <v>0</v>
      </c>
      <c r="AD87" s="386">
        <f t="shared" si="684"/>
        <v>-2.5748219836376779E-5</v>
      </c>
      <c r="AE87" s="386">
        <f t="shared" si="684"/>
        <v>-2.2834484116104741E-7</v>
      </c>
      <c r="AF87" s="386">
        <f t="shared" si="684"/>
        <v>-2.2211612666087719E-7</v>
      </c>
      <c r="AG87" s="375">
        <f t="shared" si="684"/>
        <v>-2.2415137402873177E-7</v>
      </c>
      <c r="AH87" s="375">
        <f t="shared" si="684"/>
        <v>0</v>
      </c>
      <c r="AI87" s="386">
        <f t="shared" si="684"/>
        <v>0</v>
      </c>
      <c r="AJ87" s="386">
        <f t="shared" si="684"/>
        <v>0</v>
      </c>
      <c r="AK87" s="386">
        <f t="shared" si="684"/>
        <v>0</v>
      </c>
      <c r="AL87" s="377">
        <f t="shared" si="684"/>
        <v>0</v>
      </c>
      <c r="AM87" s="377">
        <f t="shared" si="684"/>
        <v>0</v>
      </c>
      <c r="AN87" s="377">
        <f t="shared" si="684"/>
        <v>0</v>
      </c>
      <c r="AO87" s="284"/>
      <c r="AP87" s="295">
        <f>AR87+AU87+AZ87+AW87+AY87</f>
        <v>5.3313144229000002</v>
      </c>
      <c r="AQ87" s="182">
        <v>4.5</v>
      </c>
      <c r="AR87" s="80">
        <v>2.5</v>
      </c>
      <c r="AS87" s="80">
        <f>7.5*0.5616</f>
        <v>4.2119999999999997</v>
      </c>
      <c r="AT87" s="80">
        <v>2</v>
      </c>
      <c r="AU87" s="80">
        <v>2.7313144229000001</v>
      </c>
      <c r="AV87" s="80">
        <v>10</v>
      </c>
      <c r="AW87" s="80">
        <v>0.1</v>
      </c>
      <c r="AX87" s="80">
        <v>0.1</v>
      </c>
      <c r="AY87" s="80">
        <f>-BO87</f>
        <v>0</v>
      </c>
      <c r="AZ87" s="432">
        <f>-BU87</f>
        <v>0</v>
      </c>
      <c r="BA87" s="657">
        <v>-4.5</v>
      </c>
      <c r="BB87" s="1016">
        <f>-AR87*0.0876</f>
        <v>-0.219</v>
      </c>
      <c r="BC87" s="1013">
        <f>-AS87*0.09642</f>
        <v>-0.40612103999999999</v>
      </c>
      <c r="BD87" s="389">
        <v>-2</v>
      </c>
      <c r="BE87" s="389">
        <v>-2</v>
      </c>
      <c r="BF87" s="516">
        <v>-0.40612103999999999</v>
      </c>
      <c r="BG87" s="207">
        <f>-AU87*0.0876</f>
        <v>-0.23926314344603999</v>
      </c>
      <c r="BH87" s="207">
        <f>-AW87*0.0876</f>
        <v>-8.7600000000000004E-3</v>
      </c>
      <c r="BI87" s="389">
        <v>0</v>
      </c>
      <c r="BJ87" s="516">
        <v>0</v>
      </c>
      <c r="BK87" s="516">
        <v>-0.876</v>
      </c>
      <c r="BL87" s="516">
        <v>-8.7600000000000004E-3</v>
      </c>
      <c r="BM87" s="516">
        <v>-8.7600000000000004E-3</v>
      </c>
      <c r="BN87" s="409">
        <v>-8.7600000000000004E-3</v>
      </c>
      <c r="BO87" s="207">
        <v>0</v>
      </c>
      <c r="BP87" s="389">
        <v>0</v>
      </c>
      <c r="BQ87" s="389">
        <v>0</v>
      </c>
      <c r="BR87" s="389">
        <v>0</v>
      </c>
      <c r="BS87" s="296">
        <v>0</v>
      </c>
      <c r="BT87" s="296">
        <v>0</v>
      </c>
      <c r="BU87" s="296">
        <v>0</v>
      </c>
      <c r="BV87" s="409">
        <v>0</v>
      </c>
      <c r="BW87" s="1011">
        <v>0</v>
      </c>
      <c r="BX87" s="442" t="s">
        <v>510</v>
      </c>
    </row>
    <row r="88" spans="1:76" ht="37.5" collapsed="1" x14ac:dyDescent="0.25">
      <c r="A88" s="461">
        <v>6</v>
      </c>
      <c r="B88" s="708" t="s">
        <v>1536</v>
      </c>
      <c r="C88" s="689"/>
      <c r="D88" s="348"/>
      <c r="E88" s="460"/>
      <c r="F88" s="540"/>
      <c r="G88" s="400" t="s">
        <v>1730</v>
      </c>
      <c r="H88" s="401" t="s">
        <v>1730</v>
      </c>
      <c r="I88" s="349"/>
      <c r="J88" s="379">
        <f>J89</f>
        <v>0</v>
      </c>
      <c r="K88" s="380">
        <f t="shared" ref="K88" si="685">K89</f>
        <v>0</v>
      </c>
      <c r="L88" s="380">
        <f t="shared" ref="L88" si="686">L89</f>
        <v>1.7925134671890302E-3</v>
      </c>
      <c r="M88" s="380">
        <f>M89</f>
        <v>1.8672667115396716E-3</v>
      </c>
      <c r="N88" s="380">
        <f>N89</f>
        <v>0</v>
      </c>
      <c r="O88" s="380">
        <f t="shared" ref="O88:Q88" si="687">O89</f>
        <v>1.7749005555092925E-3</v>
      </c>
      <c r="P88" s="380">
        <f t="shared" si="687"/>
        <v>0</v>
      </c>
      <c r="Q88" s="380">
        <f t="shared" si="687"/>
        <v>0</v>
      </c>
      <c r="R88" s="380">
        <f t="shared" ref="R88" si="688">R89</f>
        <v>2.5008095447541615E-4</v>
      </c>
      <c r="S88" s="381">
        <f t="shared" ref="S88" si="689">S89</f>
        <v>2.5326834269760685E-4</v>
      </c>
      <c r="T88" s="379">
        <f t="shared" ref="T88" si="690">T89</f>
        <v>0</v>
      </c>
      <c r="U88" s="380">
        <f t="shared" ref="U88" si="691">U89</f>
        <v>0</v>
      </c>
      <c r="V88" s="380">
        <f t="shared" ref="V88" si="692">V89</f>
        <v>0</v>
      </c>
      <c r="W88" s="385">
        <f t="shared" ref="W88" si="693">W89</f>
        <v>0</v>
      </c>
      <c r="X88" s="385">
        <f t="shared" ref="X88" si="694">X89</f>
        <v>0</v>
      </c>
      <c r="Y88" s="385">
        <f t="shared" ref="Y88" si="695">Y89</f>
        <v>0</v>
      </c>
      <c r="Z88" s="380">
        <f>Z89</f>
        <v>0</v>
      </c>
      <c r="AA88" s="380">
        <f t="shared" ref="AA88" si="696">AA89</f>
        <v>-2.7308112832621543E-4</v>
      </c>
      <c r="AB88" s="385">
        <f t="shared" ref="AB88" si="697">AB89</f>
        <v>0</v>
      </c>
      <c r="AC88" s="385">
        <f t="shared" ref="AC88:AK88" si="698">AC89</f>
        <v>0</v>
      </c>
      <c r="AD88" s="385">
        <f t="shared" si="698"/>
        <v>-3.1656201785134464E-4</v>
      </c>
      <c r="AE88" s="385">
        <f t="shared" si="698"/>
        <v>0</v>
      </c>
      <c r="AF88" s="385">
        <f t="shared" si="698"/>
        <v>0</v>
      </c>
      <c r="AG88" s="380">
        <f t="shared" si="698"/>
        <v>0</v>
      </c>
      <c r="AH88" s="380">
        <f t="shared" ref="AH88" si="699">AH89</f>
        <v>-2.1757043039361205E-4</v>
      </c>
      <c r="AI88" s="385">
        <f t="shared" si="698"/>
        <v>-3.7864401228571035E-4</v>
      </c>
      <c r="AJ88" s="385">
        <f t="shared" si="698"/>
        <v>-3.672284064835257E-4</v>
      </c>
      <c r="AK88" s="385">
        <f t="shared" si="698"/>
        <v>-2.1930837153544887E-4</v>
      </c>
      <c r="AL88" s="381">
        <f t="shared" ref="AL88:AN88" si="700">AL89</f>
        <v>-2.45779266119302E-4</v>
      </c>
      <c r="AM88" s="381">
        <f t="shared" si="700"/>
        <v>-1.7885806335202008E-4</v>
      </c>
      <c r="AN88" s="381">
        <f t="shared" si="700"/>
        <v>-1.3559597424425723E-4</v>
      </c>
      <c r="AO88" s="403"/>
      <c r="AP88" s="350">
        <f>AP89</f>
        <v>24</v>
      </c>
      <c r="AQ88" s="382">
        <f t="shared" ref="AQ88" si="701">AQ89</f>
        <v>0</v>
      </c>
      <c r="AR88" s="382">
        <f t="shared" ref="AR88" si="702">AR89</f>
        <v>0</v>
      </c>
      <c r="AS88" s="382">
        <f t="shared" ref="AS88" si="703">AS89</f>
        <v>58.564999999999998</v>
      </c>
      <c r="AT88" s="382">
        <f t="shared" ref="AT88:AU88" si="704">AT89</f>
        <v>58.564999999999998</v>
      </c>
      <c r="AU88" s="382">
        <f t="shared" si="704"/>
        <v>0</v>
      </c>
      <c r="AV88" s="382">
        <f t="shared" ref="AV88:AX88" si="705">AV89</f>
        <v>70</v>
      </c>
      <c r="AW88" s="382">
        <f t="shared" si="705"/>
        <v>0</v>
      </c>
      <c r="AX88" s="382">
        <f t="shared" si="705"/>
        <v>0</v>
      </c>
      <c r="AY88" s="382">
        <f t="shared" ref="AY88" si="706">AY89</f>
        <v>11</v>
      </c>
      <c r="AZ88" s="383">
        <f t="shared" ref="AZ88" si="707">AZ89</f>
        <v>13</v>
      </c>
      <c r="BA88" s="656">
        <f t="shared" ref="BA88" si="708">BA89</f>
        <v>0</v>
      </c>
      <c r="BB88" s="350">
        <f t="shared" ref="BB88" si="709">BB89</f>
        <v>0</v>
      </c>
      <c r="BC88" s="382">
        <f t="shared" ref="BC88" si="710">BC89</f>
        <v>0</v>
      </c>
      <c r="BD88" s="387">
        <f t="shared" ref="BD88" si="711">BD89</f>
        <v>0</v>
      </c>
      <c r="BE88" s="387">
        <f t="shared" ref="BE88" si="712">BE89</f>
        <v>0</v>
      </c>
      <c r="BF88" s="651">
        <f t="shared" ref="BF88:BG88" si="713">BF89</f>
        <v>0</v>
      </c>
      <c r="BG88" s="360">
        <f t="shared" si="713"/>
        <v>0</v>
      </c>
      <c r="BH88" s="382">
        <f t="shared" ref="BH88" si="714">BH89</f>
        <v>-10.77</v>
      </c>
      <c r="BI88" s="387">
        <f t="shared" ref="BI88" si="715">BI89</f>
        <v>0</v>
      </c>
      <c r="BJ88" s="515">
        <f t="shared" ref="BJ88:BN88" si="716">BJ89</f>
        <v>0</v>
      </c>
      <c r="BK88" s="515">
        <f t="shared" si="716"/>
        <v>-10.77</v>
      </c>
      <c r="BL88" s="515">
        <f t="shared" si="716"/>
        <v>0</v>
      </c>
      <c r="BM88" s="515">
        <f t="shared" si="716"/>
        <v>0</v>
      </c>
      <c r="BN88" s="350">
        <f t="shared" si="716"/>
        <v>0</v>
      </c>
      <c r="BO88" s="382">
        <f t="shared" ref="BO88:BR88" si="717">BO89</f>
        <v>-9.57</v>
      </c>
      <c r="BP88" s="387">
        <f t="shared" si="717"/>
        <v>-15.65</v>
      </c>
      <c r="BQ88" s="387">
        <f t="shared" si="717"/>
        <v>-15.65</v>
      </c>
      <c r="BR88" s="387">
        <f t="shared" si="717"/>
        <v>-9.57</v>
      </c>
      <c r="BS88" s="383">
        <f>BS89</f>
        <v>-11.31</v>
      </c>
      <c r="BT88" s="383">
        <f>BT89</f>
        <v>-8.6999999999999993</v>
      </c>
      <c r="BU88" s="383">
        <f>BU89</f>
        <v>-6.96</v>
      </c>
      <c r="BV88" s="350">
        <f t="shared" ref="BV88" si="718">BV89</f>
        <v>0</v>
      </c>
      <c r="BW88" s="383">
        <f>BW89</f>
        <v>0</v>
      </c>
      <c r="BX88" s="351"/>
    </row>
    <row r="89" spans="1:76" ht="101.45" hidden="1" customHeight="1" outlineLevel="1" x14ac:dyDescent="0.25">
      <c r="A89" s="678">
        <v>1</v>
      </c>
      <c r="B89" s="709" t="s">
        <v>1536</v>
      </c>
      <c r="C89" s="686" t="s">
        <v>1536</v>
      </c>
      <c r="D89" s="63" t="s">
        <v>1639</v>
      </c>
      <c r="E89" s="463" t="s">
        <v>1537</v>
      </c>
      <c r="F89" s="542" t="s">
        <v>1538</v>
      </c>
      <c r="G89" s="67" t="s">
        <v>216</v>
      </c>
      <c r="H89" s="306" t="s">
        <v>127</v>
      </c>
      <c r="I89" s="335"/>
      <c r="J89" s="294">
        <f>AQ89/T$8</f>
        <v>0</v>
      </c>
      <c r="K89" s="52">
        <f>AR89/U$8</f>
        <v>0</v>
      </c>
      <c r="L89" s="52">
        <f>AS89/V$8</f>
        <v>1.7925134671890302E-3</v>
      </c>
      <c r="M89" s="52">
        <f>AT89/Y$8</f>
        <v>1.8672667115396716E-3</v>
      </c>
      <c r="N89" s="52">
        <f>AU89/Z$8</f>
        <v>0</v>
      </c>
      <c r="O89" s="52">
        <f>AV89/AA$8</f>
        <v>1.7749005555092925E-3</v>
      </c>
      <c r="P89" s="52">
        <f>AW89/AE$8</f>
        <v>0</v>
      </c>
      <c r="Q89" s="52">
        <f>AX89/AF$8</f>
        <v>0</v>
      </c>
      <c r="R89" s="52">
        <f>AY89/AH$8</f>
        <v>2.5008095447541615E-4</v>
      </c>
      <c r="S89" s="527">
        <f>AZ89/AN$8</f>
        <v>2.5326834269760685E-4</v>
      </c>
      <c r="T89" s="533">
        <f>BA89/T$8</f>
        <v>0</v>
      </c>
      <c r="U89" s="375">
        <f t="shared" ref="U89" si="719">BB89/U$8</f>
        <v>0</v>
      </c>
      <c r="V89" s="375">
        <f t="shared" ref="V89" si="720">BC89/V$8</f>
        <v>0</v>
      </c>
      <c r="W89" s="386">
        <f t="shared" ref="W89" si="721">BD89/W$8</f>
        <v>0</v>
      </c>
      <c r="X89" s="386">
        <f t="shared" ref="X89" si="722">BE89/X$8</f>
        <v>0</v>
      </c>
      <c r="Y89" s="386">
        <f>BF89/Y$8</f>
        <v>0</v>
      </c>
      <c r="Z89" s="375">
        <f>BG89/Z$8</f>
        <v>0</v>
      </c>
      <c r="AA89" s="375">
        <f t="shared" ref="AA89" si="723">BH89/AA$8</f>
        <v>-2.7308112832621543E-4</v>
      </c>
      <c r="AB89" s="386">
        <f t="shared" ref="AB89" si="724">BI89/AB$8</f>
        <v>0</v>
      </c>
      <c r="AC89" s="386">
        <f t="shared" ref="AC89:AN89" si="725">BJ89/AC$8</f>
        <v>0</v>
      </c>
      <c r="AD89" s="386">
        <f t="shared" si="725"/>
        <v>-3.1656201785134464E-4</v>
      </c>
      <c r="AE89" s="386">
        <f t="shared" si="725"/>
        <v>0</v>
      </c>
      <c r="AF89" s="386">
        <f t="shared" si="725"/>
        <v>0</v>
      </c>
      <c r="AG89" s="375">
        <f t="shared" si="725"/>
        <v>0</v>
      </c>
      <c r="AH89" s="375">
        <f t="shared" si="725"/>
        <v>-2.1757043039361205E-4</v>
      </c>
      <c r="AI89" s="386">
        <f t="shared" si="725"/>
        <v>-3.7864401228571035E-4</v>
      </c>
      <c r="AJ89" s="386">
        <f t="shared" si="725"/>
        <v>-3.672284064835257E-4</v>
      </c>
      <c r="AK89" s="386">
        <f t="shared" si="725"/>
        <v>-2.1930837153544887E-4</v>
      </c>
      <c r="AL89" s="377">
        <f t="shared" si="725"/>
        <v>-2.45779266119302E-4</v>
      </c>
      <c r="AM89" s="377">
        <f t="shared" si="725"/>
        <v>-1.7885806335202008E-4</v>
      </c>
      <c r="AN89" s="377">
        <f t="shared" si="725"/>
        <v>-1.3559597424425723E-4</v>
      </c>
      <c r="AO89" s="284"/>
      <c r="AP89" s="295">
        <f>AR89+AU89+AZ89+AW89+AY89</f>
        <v>24</v>
      </c>
      <c r="AQ89" s="182">
        <v>0</v>
      </c>
      <c r="AR89" s="80">
        <f>-BB89</f>
        <v>0</v>
      </c>
      <c r="AS89" s="80">
        <v>58.564999999999998</v>
      </c>
      <c r="AT89" s="80">
        <v>58.564999999999998</v>
      </c>
      <c r="AU89" s="80">
        <v>0</v>
      </c>
      <c r="AV89" s="80">
        <v>70</v>
      </c>
      <c r="AW89" s="80">
        <v>0</v>
      </c>
      <c r="AX89" s="80">
        <v>0</v>
      </c>
      <c r="AY89" s="80">
        <v>11</v>
      </c>
      <c r="AZ89" s="432">
        <v>13</v>
      </c>
      <c r="BA89" s="657">
        <v>0</v>
      </c>
      <c r="BB89" s="327">
        <v>0</v>
      </c>
      <c r="BC89" s="75">
        <v>0</v>
      </c>
      <c r="BD89" s="389">
        <v>0</v>
      </c>
      <c r="BE89" s="389">
        <v>0</v>
      </c>
      <c r="BF89" s="516">
        <v>0</v>
      </c>
      <c r="BG89" s="207">
        <v>0</v>
      </c>
      <c r="BH89" s="207">
        <f>-4.58-6.19</f>
        <v>-10.77</v>
      </c>
      <c r="BI89" s="389">
        <v>0</v>
      </c>
      <c r="BJ89" s="516">
        <v>0</v>
      </c>
      <c r="BK89" s="516">
        <f>-4.58-6.19</f>
        <v>-10.77</v>
      </c>
      <c r="BL89" s="516">
        <v>0</v>
      </c>
      <c r="BM89" s="516">
        <v>0</v>
      </c>
      <c r="BN89" s="409">
        <v>0</v>
      </c>
      <c r="BO89" s="207">
        <f>-11*0.87</f>
        <v>-9.57</v>
      </c>
      <c r="BP89" s="389">
        <v>-15.65</v>
      </c>
      <c r="BQ89" s="389">
        <v>-15.65</v>
      </c>
      <c r="BR89" s="389">
        <f>-11*0.87</f>
        <v>-9.57</v>
      </c>
      <c r="BS89" s="296">
        <f>-13*0.87</f>
        <v>-11.31</v>
      </c>
      <c r="BT89" s="296">
        <f>-10*0.87</f>
        <v>-8.6999999999999993</v>
      </c>
      <c r="BU89" s="296">
        <f>-8*0.87</f>
        <v>-6.96</v>
      </c>
      <c r="BV89" s="409">
        <v>0</v>
      </c>
      <c r="BW89" s="1011">
        <f t="shared" ref="BW89" si="726">-BV89</f>
        <v>0</v>
      </c>
      <c r="BX89" s="442" t="s">
        <v>2018</v>
      </c>
    </row>
    <row r="90" spans="1:76" ht="18.75" collapsed="1" x14ac:dyDescent="0.25">
      <c r="A90" s="467">
        <v>7</v>
      </c>
      <c r="B90" s="708" t="s">
        <v>1722</v>
      </c>
      <c r="C90" s="689"/>
      <c r="D90" s="348"/>
      <c r="E90" s="460"/>
      <c r="F90" s="540"/>
      <c r="G90" s="400" t="s">
        <v>1730</v>
      </c>
      <c r="H90" s="401" t="s">
        <v>1730</v>
      </c>
      <c r="I90" s="349"/>
      <c r="J90" s="379">
        <f>SUM(J91:J94)</f>
        <v>1.5960842732496276E-3</v>
      </c>
      <c r="K90" s="380">
        <f t="shared" ref="K90:AN90" si="727">SUM(K91:K94)</f>
        <v>0</v>
      </c>
      <c r="L90" s="380">
        <f t="shared" si="727"/>
        <v>1.8364348677766894E-4</v>
      </c>
      <c r="M90" s="380">
        <f>SUM(M91:M94)</f>
        <v>0</v>
      </c>
      <c r="N90" s="380">
        <f>SUM(N91:N94)</f>
        <v>8.924373501287485E-5</v>
      </c>
      <c r="O90" s="380">
        <f t="shared" ref="O90:P90" si="728">SUM(O91:O94)</f>
        <v>7.6131037728960073E-5</v>
      </c>
      <c r="P90" s="380">
        <f t="shared" si="728"/>
        <v>1.1730043210327778E-4</v>
      </c>
      <c r="Q90" s="380">
        <f t="shared" ref="Q90" si="729">SUM(Q91:Q94)</f>
        <v>1.0649403333055755E-4</v>
      </c>
      <c r="R90" s="380">
        <f t="shared" si="727"/>
        <v>0</v>
      </c>
      <c r="S90" s="381">
        <f t="shared" si="727"/>
        <v>0</v>
      </c>
      <c r="T90" s="379">
        <f t="shared" si="727"/>
        <v>-1.5960842732496276E-3</v>
      </c>
      <c r="U90" s="380">
        <f t="shared" si="727"/>
        <v>0</v>
      </c>
      <c r="V90" s="380">
        <f t="shared" si="727"/>
        <v>-4.2850146914789422E-4</v>
      </c>
      <c r="W90" s="385">
        <f t="shared" si="727"/>
        <v>-1.077413877069661E-3</v>
      </c>
      <c r="X90" s="385">
        <f t="shared" si="727"/>
        <v>0</v>
      </c>
      <c r="Y90" s="385">
        <f t="shared" si="727"/>
        <v>0</v>
      </c>
      <c r="Z90" s="380">
        <f>SUM(Z91:Z94)</f>
        <v>-8.924373501287485E-5</v>
      </c>
      <c r="AA90" s="380">
        <f t="shared" si="727"/>
        <v>-7.6131037728960073E-5</v>
      </c>
      <c r="AB90" s="385">
        <f t="shared" si="727"/>
        <v>0</v>
      </c>
      <c r="AC90" s="385">
        <f t="shared" ref="AC90:AD90" si="730">SUM(AC91:AC94)</f>
        <v>0</v>
      </c>
      <c r="AD90" s="385">
        <f t="shared" si="730"/>
        <v>-8.8252875884586941E-5</v>
      </c>
      <c r="AE90" s="385">
        <f t="shared" si="727"/>
        <v>-1.1730043210327778E-4</v>
      </c>
      <c r="AF90" s="385">
        <f t="shared" ref="AF90:AG90" si="731">SUM(AF91:AF94)</f>
        <v>-1.1410074999702595E-4</v>
      </c>
      <c r="AG90" s="380">
        <f t="shared" si="731"/>
        <v>-1.0746983686309057E-4</v>
      </c>
      <c r="AH90" s="380">
        <f t="shared" ref="AH90:AI90" si="732">SUM(AH91:AH94)</f>
        <v>0</v>
      </c>
      <c r="AI90" s="385">
        <f t="shared" si="732"/>
        <v>0</v>
      </c>
      <c r="AJ90" s="385">
        <f t="shared" ref="AJ90:AM90" si="733">SUM(AJ91:AJ94)</f>
        <v>0</v>
      </c>
      <c r="AK90" s="385">
        <f t="shared" si="733"/>
        <v>0</v>
      </c>
      <c r="AL90" s="381">
        <f t="shared" si="733"/>
        <v>0</v>
      </c>
      <c r="AM90" s="381">
        <f t="shared" si="733"/>
        <v>0</v>
      </c>
      <c r="AN90" s="381">
        <f t="shared" si="727"/>
        <v>0</v>
      </c>
      <c r="AO90" s="403"/>
      <c r="AP90" s="350">
        <f>SUM(AP91:AP94)</f>
        <v>7.4974810000000005</v>
      </c>
      <c r="AQ90" s="382">
        <f t="shared" ref="AQ90:BW90" si="734">SUM(AQ91:AQ94)</f>
        <v>45</v>
      </c>
      <c r="AR90" s="382">
        <f t="shared" si="734"/>
        <v>0</v>
      </c>
      <c r="AS90" s="382">
        <f t="shared" si="734"/>
        <v>6</v>
      </c>
      <c r="AT90" s="382">
        <f t="shared" si="734"/>
        <v>0</v>
      </c>
      <c r="AU90" s="382">
        <f t="shared" ref="AU90:AV90" si="735">SUM(AU91:AU94)</f>
        <v>2.9974810000000001</v>
      </c>
      <c r="AV90" s="382">
        <f t="shared" si="735"/>
        <v>3.0025189999999999</v>
      </c>
      <c r="AW90" s="382">
        <f t="shared" si="734"/>
        <v>4.5</v>
      </c>
      <c r="AX90" s="382">
        <f t="shared" ref="AX90" si="736">SUM(AX91:AX94)</f>
        <v>4.2</v>
      </c>
      <c r="AY90" s="382">
        <f t="shared" si="734"/>
        <v>0</v>
      </c>
      <c r="AZ90" s="383">
        <f t="shared" si="734"/>
        <v>0</v>
      </c>
      <c r="BA90" s="656">
        <f t="shared" si="734"/>
        <v>-45</v>
      </c>
      <c r="BB90" s="350">
        <f t="shared" si="734"/>
        <v>0</v>
      </c>
      <c r="BC90" s="382">
        <f t="shared" si="734"/>
        <v>-14</v>
      </c>
      <c r="BD90" s="387">
        <f t="shared" si="734"/>
        <v>-33</v>
      </c>
      <c r="BE90" s="387">
        <f t="shared" si="734"/>
        <v>0</v>
      </c>
      <c r="BF90" s="651">
        <f t="shared" si="734"/>
        <v>0</v>
      </c>
      <c r="BG90" s="360">
        <f t="shared" ref="BG90" si="737">SUM(BG91:BG94)</f>
        <v>-2.9974810000000001</v>
      </c>
      <c r="BH90" s="382">
        <f t="shared" si="734"/>
        <v>-3.0025189999999999</v>
      </c>
      <c r="BI90" s="387">
        <f t="shared" si="734"/>
        <v>0</v>
      </c>
      <c r="BJ90" s="515">
        <f t="shared" ref="BJ90" si="738">SUM(BJ91:BJ94)</f>
        <v>0</v>
      </c>
      <c r="BK90" s="515">
        <f t="shared" si="734"/>
        <v>-3.0025189999999999</v>
      </c>
      <c r="BL90" s="515">
        <f t="shared" ref="BL90:BN90" si="739">SUM(BL91:BL94)</f>
        <v>-4.5</v>
      </c>
      <c r="BM90" s="515">
        <f t="shared" si="739"/>
        <v>-4.5</v>
      </c>
      <c r="BN90" s="350">
        <f t="shared" si="739"/>
        <v>-4.2</v>
      </c>
      <c r="BO90" s="382">
        <f t="shared" si="734"/>
        <v>0</v>
      </c>
      <c r="BP90" s="387">
        <f t="shared" ref="BP90:BQ90" si="740">SUM(BP91:BP94)</f>
        <v>0</v>
      </c>
      <c r="BQ90" s="387">
        <f t="shared" si="740"/>
        <v>0</v>
      </c>
      <c r="BR90" s="387">
        <f t="shared" ref="BR90:BT90" si="741">SUM(BR91:BR94)</f>
        <v>0</v>
      </c>
      <c r="BS90" s="383">
        <f t="shared" si="741"/>
        <v>0</v>
      </c>
      <c r="BT90" s="383">
        <f t="shared" si="741"/>
        <v>0</v>
      </c>
      <c r="BU90" s="383">
        <f t="shared" si="734"/>
        <v>0</v>
      </c>
      <c r="BV90" s="350">
        <f t="shared" si="734"/>
        <v>0</v>
      </c>
      <c r="BW90" s="383">
        <f t="shared" si="734"/>
        <v>0</v>
      </c>
      <c r="BX90" s="351"/>
    </row>
    <row r="91" spans="1:76" ht="72.599999999999994" hidden="1" customHeight="1" outlineLevel="1" x14ac:dyDescent="0.25">
      <c r="A91" s="678">
        <v>1</v>
      </c>
      <c r="B91" s="709" t="s">
        <v>560</v>
      </c>
      <c r="C91" s="686" t="s">
        <v>560</v>
      </c>
      <c r="D91" s="63" t="s">
        <v>501</v>
      </c>
      <c r="E91" s="463" t="s">
        <v>312</v>
      </c>
      <c r="F91" s="542" t="s">
        <v>561</v>
      </c>
      <c r="G91" s="67" t="s">
        <v>216</v>
      </c>
      <c r="H91" s="306" t="s">
        <v>127</v>
      </c>
      <c r="I91" s="335"/>
      <c r="J91" s="294">
        <f t="shared" ref="J91:L92" si="742">AQ91/T$8</f>
        <v>7.0937078811094561E-4</v>
      </c>
      <c r="K91" s="52">
        <f t="shared" si="742"/>
        <v>0</v>
      </c>
      <c r="L91" s="52">
        <f t="shared" si="742"/>
        <v>0</v>
      </c>
      <c r="M91" s="52">
        <f>AT91/Y$8</f>
        <v>0</v>
      </c>
      <c r="N91" s="52">
        <f t="shared" ref="N91:N92" si="743">AU91/Z$8</f>
        <v>0</v>
      </c>
      <c r="O91" s="52">
        <f>AV91/AA$8</f>
        <v>0</v>
      </c>
      <c r="P91" s="52">
        <f t="shared" ref="P91:Q94" si="744">AW91/AE$8</f>
        <v>0</v>
      </c>
      <c r="Q91" s="52">
        <f t="shared" si="744"/>
        <v>0</v>
      </c>
      <c r="R91" s="52">
        <f>AY91/AH$8</f>
        <v>0</v>
      </c>
      <c r="S91" s="527">
        <f>AZ91/AN$8</f>
        <v>0</v>
      </c>
      <c r="T91" s="533">
        <f>BA91/T$8</f>
        <v>-7.0937078811094561E-4</v>
      </c>
      <c r="U91" s="375">
        <f t="shared" ref="U91:U92" si="745">BB91/U$8</f>
        <v>0</v>
      </c>
      <c r="V91" s="375">
        <f t="shared" ref="V91:V92" si="746">BC91/V$8</f>
        <v>0</v>
      </c>
      <c r="W91" s="386">
        <f t="shared" ref="W91:W92" si="747">BD91/W$8</f>
        <v>0</v>
      </c>
      <c r="X91" s="386">
        <f t="shared" ref="X91:X92" si="748">BE91/X$8</f>
        <v>0</v>
      </c>
      <c r="Y91" s="386">
        <f>BF91/Y$8</f>
        <v>0</v>
      </c>
      <c r="Z91" s="375">
        <f>BG91/Z$8</f>
        <v>0</v>
      </c>
      <c r="AA91" s="375">
        <f t="shared" ref="AA91:AA92" si="749">BH91/AA$8</f>
        <v>0</v>
      </c>
      <c r="AB91" s="386">
        <f t="shared" ref="AB91:AB92" si="750">BI91/AB$8</f>
        <v>0</v>
      </c>
      <c r="AC91" s="386">
        <f t="shared" ref="AC91:AF94" si="751">BJ91/AC$8</f>
        <v>0</v>
      </c>
      <c r="AD91" s="386">
        <f t="shared" si="751"/>
        <v>0</v>
      </c>
      <c r="AE91" s="386">
        <f t="shared" si="751"/>
        <v>0</v>
      </c>
      <c r="AF91" s="386">
        <f t="shared" si="751"/>
        <v>0</v>
      </c>
      <c r="AG91" s="375">
        <f>BN91/AG$8</f>
        <v>0</v>
      </c>
      <c r="AH91" s="375">
        <f t="shared" ref="AH91:AK94" si="752">BO91/AH$8</f>
        <v>0</v>
      </c>
      <c r="AI91" s="386">
        <f t="shared" si="752"/>
        <v>0</v>
      </c>
      <c r="AJ91" s="386">
        <f t="shared" si="752"/>
        <v>0</v>
      </c>
      <c r="AK91" s="386">
        <f t="shared" si="752"/>
        <v>0</v>
      </c>
      <c r="AL91" s="377">
        <f t="shared" ref="AL91:AN94" si="753">BS91/AL$8</f>
        <v>0</v>
      </c>
      <c r="AM91" s="377">
        <f t="shared" si="753"/>
        <v>0</v>
      </c>
      <c r="AN91" s="377">
        <f t="shared" si="753"/>
        <v>0</v>
      </c>
      <c r="AO91" s="284"/>
      <c r="AP91" s="295">
        <f>AR91+AU91+AZ91+AW91+AY91</f>
        <v>0</v>
      </c>
      <c r="AQ91" s="182">
        <f>-BA91</f>
        <v>20</v>
      </c>
      <c r="AR91" s="80">
        <v>0</v>
      </c>
      <c r="AS91" s="80">
        <f>80-80</f>
        <v>0</v>
      </c>
      <c r="AT91" s="80">
        <f>80-80</f>
        <v>0</v>
      </c>
      <c r="AU91" s="80">
        <v>0</v>
      </c>
      <c r="AV91" s="80">
        <v>0</v>
      </c>
      <c r="AW91" s="80">
        <v>0</v>
      </c>
      <c r="AX91" s="80">
        <f t="shared" ref="AX91:AX93" si="754">-BN91</f>
        <v>0</v>
      </c>
      <c r="AY91" s="80">
        <v>0</v>
      </c>
      <c r="AZ91" s="432">
        <v>0</v>
      </c>
      <c r="BA91" s="657">
        <v>-20</v>
      </c>
      <c r="BB91" s="1016">
        <f>-AR91*0.2494</f>
        <v>0</v>
      </c>
      <c r="BC91" s="1017">
        <f>-AS91*0.2494</f>
        <v>0</v>
      </c>
      <c r="BD91" s="389">
        <v>0</v>
      </c>
      <c r="BE91" s="389">
        <v>0</v>
      </c>
      <c r="BF91" s="516">
        <v>0</v>
      </c>
      <c r="BG91" s="207">
        <f>-BH91*0.2494</f>
        <v>0</v>
      </c>
      <c r="BH91" s="207">
        <v>0</v>
      </c>
      <c r="BI91" s="389">
        <v>0</v>
      </c>
      <c r="BJ91" s="516">
        <v>0</v>
      </c>
      <c r="BK91" s="516">
        <v>0</v>
      </c>
      <c r="BL91" s="516">
        <v>0</v>
      </c>
      <c r="BM91" s="516">
        <v>0</v>
      </c>
      <c r="BN91" s="409">
        <f>-BO91*0.2494</f>
        <v>0</v>
      </c>
      <c r="BO91" s="207">
        <v>0</v>
      </c>
      <c r="BP91" s="389">
        <v>0</v>
      </c>
      <c r="BQ91" s="389">
        <v>0</v>
      </c>
      <c r="BR91" s="389">
        <v>0</v>
      </c>
      <c r="BS91" s="296">
        <v>0</v>
      </c>
      <c r="BT91" s="296">
        <v>0</v>
      </c>
      <c r="BU91" s="296">
        <v>0</v>
      </c>
      <c r="BV91" s="409">
        <f>-BW91*0.2494</f>
        <v>0</v>
      </c>
      <c r="BW91" s="1011">
        <v>0</v>
      </c>
      <c r="BX91" s="442" t="s">
        <v>669</v>
      </c>
    </row>
    <row r="92" spans="1:76" ht="116.1" hidden="1" customHeight="1" outlineLevel="1" x14ac:dyDescent="0.25">
      <c r="A92" s="678">
        <v>2</v>
      </c>
      <c r="B92" s="709" t="s">
        <v>562</v>
      </c>
      <c r="C92" s="686" t="s">
        <v>562</v>
      </c>
      <c r="D92" s="63" t="s">
        <v>404</v>
      </c>
      <c r="E92" s="463" t="s">
        <v>563</v>
      </c>
      <c r="F92" s="542" t="s">
        <v>564</v>
      </c>
      <c r="G92" s="67" t="s">
        <v>216</v>
      </c>
      <c r="H92" s="306" t="s">
        <v>127</v>
      </c>
      <c r="I92" s="335"/>
      <c r="J92" s="294">
        <f t="shared" si="742"/>
        <v>8.8671348513868196E-4</v>
      </c>
      <c r="K92" s="52">
        <f t="shared" si="742"/>
        <v>0</v>
      </c>
      <c r="L92" s="52">
        <f t="shared" si="742"/>
        <v>0</v>
      </c>
      <c r="M92" s="52">
        <f>AT92/Y$8</f>
        <v>0</v>
      </c>
      <c r="N92" s="52">
        <f t="shared" si="743"/>
        <v>0</v>
      </c>
      <c r="O92" s="52">
        <f>AV92/AA$8</f>
        <v>0</v>
      </c>
      <c r="P92" s="52">
        <f t="shared" si="744"/>
        <v>0</v>
      </c>
      <c r="Q92" s="52">
        <f t="shared" si="744"/>
        <v>0</v>
      </c>
      <c r="R92" s="52">
        <f>AY92/AH$8</f>
        <v>0</v>
      </c>
      <c r="S92" s="527">
        <f>AZ92/AN$8</f>
        <v>0</v>
      </c>
      <c r="T92" s="533">
        <f>BA92/T$8</f>
        <v>-8.8671348513868196E-4</v>
      </c>
      <c r="U92" s="375">
        <f t="shared" si="745"/>
        <v>0</v>
      </c>
      <c r="V92" s="375">
        <f t="shared" si="746"/>
        <v>0</v>
      </c>
      <c r="W92" s="386">
        <f t="shared" si="747"/>
        <v>-8.1622263414368257E-4</v>
      </c>
      <c r="X92" s="386">
        <f t="shared" si="748"/>
        <v>0</v>
      </c>
      <c r="Y92" s="386">
        <f>BF92/Y$8</f>
        <v>0</v>
      </c>
      <c r="Z92" s="375">
        <f>BG92/Z$8</f>
        <v>0</v>
      </c>
      <c r="AA92" s="375">
        <f t="shared" si="749"/>
        <v>0</v>
      </c>
      <c r="AB92" s="386">
        <f t="shared" si="750"/>
        <v>0</v>
      </c>
      <c r="AC92" s="386">
        <f t="shared" si="751"/>
        <v>0</v>
      </c>
      <c r="AD92" s="386">
        <f t="shared" si="751"/>
        <v>0</v>
      </c>
      <c r="AE92" s="386">
        <f t="shared" si="751"/>
        <v>0</v>
      </c>
      <c r="AF92" s="386">
        <f t="shared" si="751"/>
        <v>0</v>
      </c>
      <c r="AG92" s="375">
        <f>BN92/AG$8</f>
        <v>0</v>
      </c>
      <c r="AH92" s="375">
        <f t="shared" si="752"/>
        <v>0</v>
      </c>
      <c r="AI92" s="386">
        <f t="shared" si="752"/>
        <v>0</v>
      </c>
      <c r="AJ92" s="386">
        <f t="shared" si="752"/>
        <v>0</v>
      </c>
      <c r="AK92" s="386">
        <f t="shared" si="752"/>
        <v>0</v>
      </c>
      <c r="AL92" s="377">
        <f t="shared" si="753"/>
        <v>0</v>
      </c>
      <c r="AM92" s="377">
        <f t="shared" si="753"/>
        <v>0</v>
      </c>
      <c r="AN92" s="377">
        <f t="shared" si="753"/>
        <v>0</v>
      </c>
      <c r="AO92" s="284"/>
      <c r="AP92" s="295">
        <f>AR92+AU92+AZ92+AW92+AY92</f>
        <v>0</v>
      </c>
      <c r="AQ92" s="182">
        <f>-BA92</f>
        <v>25</v>
      </c>
      <c r="AR92" s="80">
        <v>0</v>
      </c>
      <c r="AS92" s="80">
        <f>100-100</f>
        <v>0</v>
      </c>
      <c r="AT92" s="80">
        <f>100-100</f>
        <v>0</v>
      </c>
      <c r="AU92" s="80">
        <v>0</v>
      </c>
      <c r="AV92" s="80">
        <v>0</v>
      </c>
      <c r="AW92" s="80">
        <v>0</v>
      </c>
      <c r="AX92" s="80">
        <f t="shared" si="754"/>
        <v>0</v>
      </c>
      <c r="AY92" s="80">
        <v>0</v>
      </c>
      <c r="AZ92" s="432">
        <v>0</v>
      </c>
      <c r="BA92" s="657">
        <v>-25</v>
      </c>
      <c r="BB92" s="1016">
        <f>-AR92*0.2546</f>
        <v>0</v>
      </c>
      <c r="BC92" s="1017">
        <f>-AS92*0.2546</f>
        <v>0</v>
      </c>
      <c r="BD92" s="389">
        <v>-25</v>
      </c>
      <c r="BE92" s="389">
        <v>0</v>
      </c>
      <c r="BF92" s="516">
        <v>0</v>
      </c>
      <c r="BG92" s="207">
        <f>-BH92*0.2546</f>
        <v>0</v>
      </c>
      <c r="BH92" s="207">
        <v>0</v>
      </c>
      <c r="BI92" s="389">
        <v>0</v>
      </c>
      <c r="BJ92" s="516">
        <v>0</v>
      </c>
      <c r="BK92" s="516">
        <v>0</v>
      </c>
      <c r="BL92" s="516">
        <v>0</v>
      </c>
      <c r="BM92" s="516">
        <v>0</v>
      </c>
      <c r="BN92" s="409">
        <f>-BO92*0.2546</f>
        <v>0</v>
      </c>
      <c r="BO92" s="207">
        <v>0</v>
      </c>
      <c r="BP92" s="389">
        <v>0</v>
      </c>
      <c r="BQ92" s="389">
        <v>0</v>
      </c>
      <c r="BR92" s="389">
        <v>0</v>
      </c>
      <c r="BS92" s="296">
        <v>0</v>
      </c>
      <c r="BT92" s="296">
        <v>0</v>
      </c>
      <c r="BU92" s="296">
        <v>0</v>
      </c>
      <c r="BV92" s="409">
        <f>-BW92*0.2546</f>
        <v>0</v>
      </c>
      <c r="BW92" s="1011">
        <v>0</v>
      </c>
      <c r="BX92" s="442" t="s">
        <v>703</v>
      </c>
    </row>
    <row r="93" spans="1:76" ht="43.5" hidden="1" customHeight="1" outlineLevel="1" x14ac:dyDescent="0.25">
      <c r="A93" s="678">
        <v>3</v>
      </c>
      <c r="B93" s="709" t="s">
        <v>1112</v>
      </c>
      <c r="C93" s="686" t="s">
        <v>1112</v>
      </c>
      <c r="D93" s="63" t="s">
        <v>1546</v>
      </c>
      <c r="E93" s="463" t="s">
        <v>1332</v>
      </c>
      <c r="F93" s="542" t="s">
        <v>1113</v>
      </c>
      <c r="G93" s="67" t="s">
        <v>216</v>
      </c>
      <c r="H93" s="306" t="s">
        <v>127</v>
      </c>
      <c r="I93" s="335"/>
      <c r="J93" s="294">
        <f>AQ93/T$8</f>
        <v>0</v>
      </c>
      <c r="K93" s="52">
        <f t="shared" ref="K93" si="755">AR93/U$8</f>
        <v>0</v>
      </c>
      <c r="L93" s="52">
        <f t="shared" ref="L93" si="756">AS93/V$8</f>
        <v>0</v>
      </c>
      <c r="M93" s="52">
        <f>AT93/Y$8</f>
        <v>0</v>
      </c>
      <c r="N93" s="52">
        <f t="shared" ref="N93" si="757">AU93/Z$8</f>
        <v>0</v>
      </c>
      <c r="O93" s="52">
        <f>AV93/AA$8</f>
        <v>0</v>
      </c>
      <c r="P93" s="52">
        <f t="shared" si="744"/>
        <v>0</v>
      </c>
      <c r="Q93" s="52">
        <f t="shared" si="744"/>
        <v>0</v>
      </c>
      <c r="R93" s="52">
        <f>AY93/AH$8</f>
        <v>0</v>
      </c>
      <c r="S93" s="527">
        <f t="shared" ref="S93" si="758">AZ93/AN$8</f>
        <v>0</v>
      </c>
      <c r="T93" s="533">
        <f>BA93/T$8</f>
        <v>0</v>
      </c>
      <c r="U93" s="375">
        <f t="shared" ref="U93:U94" si="759">BB93/U$8</f>
        <v>0</v>
      </c>
      <c r="V93" s="375">
        <f t="shared" ref="V93:V94" si="760">BC93/V$8</f>
        <v>-2.4485798237022528E-4</v>
      </c>
      <c r="W93" s="386">
        <f t="shared" ref="W93:W94" si="761">BD93/W$8</f>
        <v>-2.6119124292597841E-4</v>
      </c>
      <c r="X93" s="386">
        <f t="shared" ref="X93:X94" si="762">BE93/X$8</f>
        <v>0</v>
      </c>
      <c r="Y93" s="386">
        <f>BF93/Y$8</f>
        <v>0</v>
      </c>
      <c r="Z93" s="375">
        <f t="shared" ref="Z93" si="763">BG93/Z$8</f>
        <v>0</v>
      </c>
      <c r="AA93" s="375">
        <f t="shared" ref="AA93:AA94" si="764">BH93/AA$8</f>
        <v>0</v>
      </c>
      <c r="AB93" s="386">
        <f t="shared" ref="AB93:AB94" si="765">BI93/AB$8</f>
        <v>0</v>
      </c>
      <c r="AC93" s="386">
        <f t="shared" si="751"/>
        <v>0</v>
      </c>
      <c r="AD93" s="386">
        <f t="shared" si="751"/>
        <v>0</v>
      </c>
      <c r="AE93" s="386">
        <f t="shared" si="751"/>
        <v>0</v>
      </c>
      <c r="AF93" s="386">
        <f t="shared" si="751"/>
        <v>0</v>
      </c>
      <c r="AG93" s="375">
        <f>BN93/AG$8</f>
        <v>0</v>
      </c>
      <c r="AH93" s="375">
        <f t="shared" si="752"/>
        <v>0</v>
      </c>
      <c r="AI93" s="386">
        <f t="shared" si="752"/>
        <v>0</v>
      </c>
      <c r="AJ93" s="386">
        <f t="shared" si="752"/>
        <v>0</v>
      </c>
      <c r="AK93" s="386">
        <f t="shared" si="752"/>
        <v>0</v>
      </c>
      <c r="AL93" s="377">
        <f t="shared" si="753"/>
        <v>0</v>
      </c>
      <c r="AM93" s="377">
        <f t="shared" si="753"/>
        <v>0</v>
      </c>
      <c r="AN93" s="377">
        <f t="shared" si="753"/>
        <v>0</v>
      </c>
      <c r="AO93" s="284"/>
      <c r="AP93" s="295">
        <f>AR93+AU93+AZ93+AW93+AY93</f>
        <v>0</v>
      </c>
      <c r="AQ93" s="182">
        <v>0</v>
      </c>
      <c r="AR93" s="80">
        <f>-BB93</f>
        <v>0</v>
      </c>
      <c r="AS93" s="80">
        <v>0</v>
      </c>
      <c r="AT93" s="80">
        <v>0</v>
      </c>
      <c r="AU93" s="80">
        <v>0</v>
      </c>
      <c r="AV93" s="80">
        <f t="shared" ref="AV93:AW93" si="766">-BJ93</f>
        <v>0</v>
      </c>
      <c r="AW93" s="80">
        <f t="shared" si="766"/>
        <v>0</v>
      </c>
      <c r="AX93" s="80">
        <f t="shared" si="754"/>
        <v>0</v>
      </c>
      <c r="AY93" s="80">
        <f t="shared" ref="AY93" si="767">-BO93</f>
        <v>0</v>
      </c>
      <c r="AZ93" s="432">
        <f t="shared" ref="AZ93" si="768">-BU93</f>
        <v>0</v>
      </c>
      <c r="BA93" s="657">
        <v>0</v>
      </c>
      <c r="BB93" s="327">
        <v>0</v>
      </c>
      <c r="BC93" s="75">
        <v>-8</v>
      </c>
      <c r="BD93" s="389">
        <v>-8</v>
      </c>
      <c r="BE93" s="389">
        <v>0</v>
      </c>
      <c r="BF93" s="516">
        <v>0</v>
      </c>
      <c r="BG93" s="207">
        <v>0</v>
      </c>
      <c r="BH93" s="207">
        <v>0</v>
      </c>
      <c r="BI93" s="389">
        <v>0</v>
      </c>
      <c r="BJ93" s="516">
        <v>0</v>
      </c>
      <c r="BK93" s="516">
        <v>0</v>
      </c>
      <c r="BL93" s="516">
        <v>0</v>
      </c>
      <c r="BM93" s="516">
        <v>0</v>
      </c>
      <c r="BN93" s="409">
        <v>0</v>
      </c>
      <c r="BO93" s="207">
        <v>0</v>
      </c>
      <c r="BP93" s="389">
        <v>0</v>
      </c>
      <c r="BQ93" s="389">
        <v>0</v>
      </c>
      <c r="BR93" s="389">
        <v>0</v>
      </c>
      <c r="BS93" s="296">
        <v>0</v>
      </c>
      <c r="BT93" s="296">
        <v>0</v>
      </c>
      <c r="BU93" s="296">
        <v>0</v>
      </c>
      <c r="BV93" s="409">
        <v>0</v>
      </c>
      <c r="BW93" s="1011">
        <f t="shared" ref="BW93:BW94" si="769">-BV93</f>
        <v>0</v>
      </c>
      <c r="BX93" s="442" t="s">
        <v>1547</v>
      </c>
    </row>
    <row r="94" spans="1:76" ht="57.95" hidden="1" customHeight="1" outlineLevel="1" x14ac:dyDescent="0.25">
      <c r="A94" s="678">
        <v>4</v>
      </c>
      <c r="B94" s="709" t="s">
        <v>1949</v>
      </c>
      <c r="C94" s="686" t="s">
        <v>1949</v>
      </c>
      <c r="D94" s="63">
        <v>44231</v>
      </c>
      <c r="E94" s="664" t="s">
        <v>1950</v>
      </c>
      <c r="F94" s="542" t="s">
        <v>1949</v>
      </c>
      <c r="G94" s="67" t="s">
        <v>216</v>
      </c>
      <c r="H94" s="306" t="s">
        <v>127</v>
      </c>
      <c r="I94" s="335"/>
      <c r="J94" s="294">
        <f>AQ94/T$8</f>
        <v>0</v>
      </c>
      <c r="K94" s="52">
        <f>AR94/U$8</f>
        <v>0</v>
      </c>
      <c r="L94" s="52">
        <f>AS94/V$8</f>
        <v>1.8364348677766894E-4</v>
      </c>
      <c r="M94" s="52">
        <f>AT94/Y$8</f>
        <v>0</v>
      </c>
      <c r="N94" s="52">
        <f>AU94/Z$8</f>
        <v>8.924373501287485E-5</v>
      </c>
      <c r="O94" s="52">
        <f>AV94/AA$8</f>
        <v>7.6131037728960073E-5</v>
      </c>
      <c r="P94" s="52">
        <f t="shared" si="744"/>
        <v>1.1730043210327778E-4</v>
      </c>
      <c r="Q94" s="52">
        <f t="shared" si="744"/>
        <v>1.0649403333055755E-4</v>
      </c>
      <c r="R94" s="52">
        <f>AY94/AH$8</f>
        <v>0</v>
      </c>
      <c r="S94" s="527">
        <f>AZ94/AN$8</f>
        <v>0</v>
      </c>
      <c r="T94" s="533">
        <f>BA94/T$8</f>
        <v>0</v>
      </c>
      <c r="U94" s="375">
        <f t="shared" si="759"/>
        <v>0</v>
      </c>
      <c r="V94" s="375">
        <f t="shared" si="760"/>
        <v>-1.8364348677766894E-4</v>
      </c>
      <c r="W94" s="386">
        <f t="shared" si="761"/>
        <v>0</v>
      </c>
      <c r="X94" s="386">
        <f t="shared" si="762"/>
        <v>0</v>
      </c>
      <c r="Y94" s="386">
        <f>BF94/Y$8</f>
        <v>0</v>
      </c>
      <c r="Z94" s="375">
        <f>BG94/Z$8</f>
        <v>-8.924373501287485E-5</v>
      </c>
      <c r="AA94" s="375">
        <f t="shared" si="764"/>
        <v>-7.6131037728960073E-5</v>
      </c>
      <c r="AB94" s="386">
        <f t="shared" si="765"/>
        <v>0</v>
      </c>
      <c r="AC94" s="386">
        <f t="shared" si="751"/>
        <v>0</v>
      </c>
      <c r="AD94" s="386">
        <f t="shared" si="751"/>
        <v>-8.8252875884586941E-5</v>
      </c>
      <c r="AE94" s="386">
        <f t="shared" si="751"/>
        <v>-1.1730043210327778E-4</v>
      </c>
      <c r="AF94" s="386">
        <f t="shared" si="751"/>
        <v>-1.1410074999702595E-4</v>
      </c>
      <c r="AG94" s="375">
        <f>BN94/AG$8</f>
        <v>-1.0746983686309057E-4</v>
      </c>
      <c r="AH94" s="375">
        <f t="shared" si="752"/>
        <v>0</v>
      </c>
      <c r="AI94" s="386">
        <f t="shared" si="752"/>
        <v>0</v>
      </c>
      <c r="AJ94" s="386">
        <f t="shared" si="752"/>
        <v>0</v>
      </c>
      <c r="AK94" s="386">
        <f t="shared" si="752"/>
        <v>0</v>
      </c>
      <c r="AL94" s="377">
        <f t="shared" si="753"/>
        <v>0</v>
      </c>
      <c r="AM94" s="377">
        <f t="shared" si="753"/>
        <v>0</v>
      </c>
      <c r="AN94" s="377">
        <f t="shared" si="753"/>
        <v>0</v>
      </c>
      <c r="AO94" s="284"/>
      <c r="AP94" s="295">
        <f>AR94+AU94+AZ94+AW94+AY94</f>
        <v>7.4974810000000005</v>
      </c>
      <c r="AQ94" s="182">
        <v>0</v>
      </c>
      <c r="AR94" s="80">
        <f>-BB94</f>
        <v>0</v>
      </c>
      <c r="AS94" s="80">
        <f>-BC94</f>
        <v>6</v>
      </c>
      <c r="AT94" s="80">
        <v>0</v>
      </c>
      <c r="AU94" s="80">
        <f>-BG94</f>
        <v>2.9974810000000001</v>
      </c>
      <c r="AV94" s="80">
        <f>-BH94</f>
        <v>3.0025189999999999</v>
      </c>
      <c r="AW94" s="80">
        <f>-BL94</f>
        <v>4.5</v>
      </c>
      <c r="AX94" s="80">
        <f>-BN94</f>
        <v>4.2</v>
      </c>
      <c r="AY94" s="80">
        <f>-BO94</f>
        <v>0</v>
      </c>
      <c r="AZ94" s="432">
        <f>-BU94</f>
        <v>0</v>
      </c>
      <c r="BA94" s="657">
        <v>0</v>
      </c>
      <c r="BB94" s="327">
        <v>0</v>
      </c>
      <c r="BC94" s="207">
        <v>-6</v>
      </c>
      <c r="BD94" s="389">
        <v>0</v>
      </c>
      <c r="BE94" s="389">
        <v>0</v>
      </c>
      <c r="BF94" s="516">
        <v>0</v>
      </c>
      <c r="BG94" s="207">
        <v>-2.9974810000000001</v>
      </c>
      <c r="BH94" s="207">
        <v>-3.0025189999999999</v>
      </c>
      <c r="BI94" s="389">
        <v>0</v>
      </c>
      <c r="BJ94" s="516">
        <v>0</v>
      </c>
      <c r="BK94" s="516">
        <v>-3.0025189999999999</v>
      </c>
      <c r="BL94" s="516">
        <v>-4.5</v>
      </c>
      <c r="BM94" s="516">
        <v>-4.5</v>
      </c>
      <c r="BN94" s="409">
        <v>-4.2</v>
      </c>
      <c r="BO94" s="207">
        <v>0</v>
      </c>
      <c r="BP94" s="389">
        <v>0</v>
      </c>
      <c r="BQ94" s="389">
        <v>0</v>
      </c>
      <c r="BR94" s="389">
        <v>0</v>
      </c>
      <c r="BS94" s="296">
        <v>0</v>
      </c>
      <c r="BT94" s="296">
        <v>0</v>
      </c>
      <c r="BU94" s="296">
        <v>0</v>
      </c>
      <c r="BV94" s="409">
        <v>0</v>
      </c>
      <c r="BW94" s="1011">
        <f t="shared" si="769"/>
        <v>0</v>
      </c>
      <c r="BX94" s="439" t="s">
        <v>2020</v>
      </c>
    </row>
    <row r="95" spans="1:76" ht="18.75" collapsed="1" x14ac:dyDescent="0.25">
      <c r="A95" s="467">
        <v>8</v>
      </c>
      <c r="B95" s="708" t="s">
        <v>165</v>
      </c>
      <c r="C95" s="689"/>
      <c r="D95" s="348"/>
      <c r="E95" s="460"/>
      <c r="F95" s="540"/>
      <c r="G95" s="400" t="s">
        <v>1730</v>
      </c>
      <c r="H95" s="401" t="s">
        <v>1730</v>
      </c>
      <c r="I95" s="349"/>
      <c r="J95" s="379">
        <f>SUM(J96:J106)</f>
        <v>5.3202809108320922E-3</v>
      </c>
      <c r="K95" s="380">
        <f>SUM(K96:K106)</f>
        <v>1.6545863944547518E-3</v>
      </c>
      <c r="L95" s="380">
        <f t="shared" ref="L95:Y95" si="770">SUM(L96:L106)</f>
        <v>3.4192029456415283E-3</v>
      </c>
      <c r="M95" s="380">
        <f t="shared" si="770"/>
        <v>3.5617940714313908E-3</v>
      </c>
      <c r="N95" s="380">
        <f t="shared" si="770"/>
        <v>2.4931098329534261E-3</v>
      </c>
      <c r="O95" s="380">
        <f t="shared" ref="O95:P95" si="771">SUM(O96:O106)</f>
        <v>2.3677554664204431E-3</v>
      </c>
      <c r="P95" s="380">
        <f t="shared" si="771"/>
        <v>2.4341534944621775E-3</v>
      </c>
      <c r="Q95" s="380">
        <f t="shared" ref="Q95" si="772">SUM(Q96:Q106)</f>
        <v>1.7282901803156246E-3</v>
      </c>
      <c r="R95" s="380">
        <f t="shared" si="770"/>
        <v>4.7528904250596001E-4</v>
      </c>
      <c r="S95" s="381">
        <f t="shared" si="770"/>
        <v>0</v>
      </c>
      <c r="T95" s="379">
        <f t="shared" si="770"/>
        <v>-1.7734269702773639E-3</v>
      </c>
      <c r="U95" s="380">
        <f t="shared" si="770"/>
        <v>-1.6545863944547518E-3</v>
      </c>
      <c r="V95" s="380">
        <f t="shared" si="770"/>
        <v>-3.4192029456415283E-3</v>
      </c>
      <c r="W95" s="385">
        <f t="shared" si="770"/>
        <v>-1.4486314870530948E-3</v>
      </c>
      <c r="X95" s="385">
        <f t="shared" si="770"/>
        <v>-2.7840914405978124E-3</v>
      </c>
      <c r="Y95" s="385">
        <f t="shared" si="770"/>
        <v>-3.1729131812072487E-3</v>
      </c>
      <c r="Z95" s="380">
        <f>SUM(Z96:Z106)</f>
        <v>-2.4931098329534261E-3</v>
      </c>
      <c r="AA95" s="380">
        <f>SUM(AA96:AA106)</f>
        <v>-2.3677554664204431E-3</v>
      </c>
      <c r="AB95" s="385">
        <f t="shared" ref="AB95:AE95" si="773">SUM(AB96:AB105)</f>
        <v>-5.965598143608758E-4</v>
      </c>
      <c r="AC95" s="385">
        <f t="shared" si="773"/>
        <v>-8.4646575246896303E-4</v>
      </c>
      <c r="AD95" s="385">
        <f t="shared" ref="AD95" si="774">SUM(AD96:AD105)</f>
        <v>-1.4751593008022906E-3</v>
      </c>
      <c r="AE95" s="385">
        <f t="shared" si="773"/>
        <v>-1.3082264264073517E-3</v>
      </c>
      <c r="AF95" s="385">
        <f t="shared" ref="AF95" si="775">SUM(AF96:AF105)</f>
        <v>-1.2725410618060018E-3</v>
      </c>
      <c r="AG95" s="380">
        <f>SUM(AG96:AG106)</f>
        <v>-1.7441264822233504E-3</v>
      </c>
      <c r="AH95" s="380">
        <f>SUM(AH96:AH106)</f>
        <v>-4.7528904250596001E-4</v>
      </c>
      <c r="AI95" s="385">
        <f t="shared" ref="AI95:AJ95" si="776">SUM(AI96:AI105)</f>
        <v>0</v>
      </c>
      <c r="AJ95" s="385">
        <f t="shared" si="776"/>
        <v>0</v>
      </c>
      <c r="AK95" s="385">
        <f>SUM(AK96:AK106)</f>
        <v>-4.7908562635120481E-4</v>
      </c>
      <c r="AL95" s="381">
        <f>SUM(AL96:AL106)</f>
        <v>0</v>
      </c>
      <c r="AM95" s="381">
        <f>SUM(AM96:AM106)</f>
        <v>0</v>
      </c>
      <c r="AN95" s="381">
        <f>SUM(AN96:AN106)</f>
        <v>0</v>
      </c>
      <c r="AO95" s="403"/>
      <c r="AP95" s="350">
        <f>SUM(AP96:AP106)</f>
        <v>248.14908993</v>
      </c>
      <c r="AQ95" s="382">
        <f>SUM(AQ96:AQ106)</f>
        <v>150</v>
      </c>
      <c r="AR95" s="382">
        <f>SUM(AR96:AR106)</f>
        <v>50.124114689999999</v>
      </c>
      <c r="AS95" s="382">
        <f t="shared" ref="AS95:AY95" si="777">SUM(AS96:AS106)</f>
        <v>111.71219864000001</v>
      </c>
      <c r="AT95" s="382">
        <f t="shared" si="777"/>
        <v>111.71219864000001</v>
      </c>
      <c r="AU95" s="382">
        <f t="shared" si="777"/>
        <v>83.737523469999999</v>
      </c>
      <c r="AV95" s="382">
        <f t="shared" ref="AV95" si="778">SUM(AV96:AV106)</f>
        <v>93.381503620000004</v>
      </c>
      <c r="AW95" s="382">
        <f t="shared" si="777"/>
        <v>93.381503620000004</v>
      </c>
      <c r="AX95" s="382">
        <f t="shared" ref="AX95" si="779">SUM(AX96:AX106)</f>
        <v>68.161741370000001</v>
      </c>
      <c r="AY95" s="382">
        <f t="shared" si="777"/>
        <v>20.90594815</v>
      </c>
      <c r="AZ95" s="383">
        <f>SUM(AZ96:AZ106)</f>
        <v>0</v>
      </c>
      <c r="BA95" s="656">
        <f>SUM(BA96:BA106)</f>
        <v>-50</v>
      </c>
      <c r="BB95" s="350">
        <f>SUM(BB96:BB106)</f>
        <v>-50.124114689999999</v>
      </c>
      <c r="BC95" s="382">
        <f t="shared" ref="BC95:BF95" si="780">SUM(BC96:BC106)</f>
        <v>-111.71219864000001</v>
      </c>
      <c r="BD95" s="387">
        <f t="shared" si="780"/>
        <v>-44.369986400000002</v>
      </c>
      <c r="BE95" s="387">
        <f t="shared" si="780"/>
        <v>-87.320313810000002</v>
      </c>
      <c r="BF95" s="651">
        <f t="shared" si="780"/>
        <v>-99.515328640000007</v>
      </c>
      <c r="BG95" s="360">
        <f>SUM(BG96:BG106)</f>
        <v>-83.737523469999999</v>
      </c>
      <c r="BH95" s="382">
        <f>SUM(BH96:BH106)</f>
        <v>-93.381503620000004</v>
      </c>
      <c r="BI95" s="387">
        <f>SUM(BI96:BI106)</f>
        <v>-20.29602049</v>
      </c>
      <c r="BJ95" s="515">
        <f>SUM(BJ96:BJ106)</f>
        <v>-28.798262709999999</v>
      </c>
      <c r="BK95" s="515">
        <f t="shared" ref="BK95:BW95" si="781">SUM(BK96:BK106)</f>
        <v>-50.187529690000005</v>
      </c>
      <c r="BL95" s="515">
        <f t="shared" si="781"/>
        <v>-50.187529690000005</v>
      </c>
      <c r="BM95" s="515">
        <f t="shared" ref="BM95:BN95" si="782">SUM(BM96:BM106)</f>
        <v>-50.187529690000005</v>
      </c>
      <c r="BN95" s="350">
        <f t="shared" si="782"/>
        <v>-68.161741370000001</v>
      </c>
      <c r="BO95" s="382">
        <f t="shared" si="781"/>
        <v>-20.90594815</v>
      </c>
      <c r="BP95" s="387">
        <f t="shared" si="781"/>
        <v>-5.6883287600000001</v>
      </c>
      <c r="BQ95" s="387">
        <f t="shared" ref="BQ95:BT95" si="783">SUM(BQ96:BQ106)</f>
        <v>-5.6883287600000001</v>
      </c>
      <c r="BR95" s="387">
        <f t="shared" si="783"/>
        <v>-20.90594815</v>
      </c>
      <c r="BS95" s="383">
        <f t="shared" si="783"/>
        <v>0</v>
      </c>
      <c r="BT95" s="383">
        <f t="shared" si="783"/>
        <v>0</v>
      </c>
      <c r="BU95" s="383">
        <f t="shared" si="781"/>
        <v>0</v>
      </c>
      <c r="BV95" s="350">
        <f t="shared" si="781"/>
        <v>-0.59044363</v>
      </c>
      <c r="BW95" s="383">
        <f t="shared" si="781"/>
        <v>0.59044363</v>
      </c>
      <c r="BX95" s="351"/>
    </row>
    <row r="96" spans="1:76" ht="255.95" hidden="1" customHeight="1" outlineLevel="1" x14ac:dyDescent="0.25">
      <c r="A96" s="678">
        <v>1</v>
      </c>
      <c r="B96" s="702" t="s">
        <v>165</v>
      </c>
      <c r="C96" s="694" t="s">
        <v>165</v>
      </c>
      <c r="D96" s="63">
        <v>43951</v>
      </c>
      <c r="E96" s="463" t="s">
        <v>166</v>
      </c>
      <c r="F96" s="542" t="s">
        <v>310</v>
      </c>
      <c r="G96" s="71" t="s">
        <v>38</v>
      </c>
      <c r="H96" s="310" t="s">
        <v>171</v>
      </c>
      <c r="I96" s="335"/>
      <c r="J96" s="294">
        <f t="shared" ref="J96:L97" si="784">AQ96/T$8</f>
        <v>5.3202809108320922E-3</v>
      </c>
      <c r="K96" s="52">
        <f t="shared" si="784"/>
        <v>1.6545863944547518E-3</v>
      </c>
      <c r="L96" s="52">
        <f t="shared" si="784"/>
        <v>1.2822454860430951E-3</v>
      </c>
      <c r="M96" s="52">
        <f t="shared" ref="M96:O97" si="785">AT96/Y$8</f>
        <v>1.3357190090543328E-3</v>
      </c>
      <c r="N96" s="52">
        <f t="shared" si="785"/>
        <v>1.1876054424762202E-3</v>
      </c>
      <c r="O96" s="52">
        <f t="shared" si="785"/>
        <v>2.7440799327006973E-5</v>
      </c>
      <c r="P96" s="52">
        <f>AW96/AE$8</f>
        <v>2.8210310785872582E-5</v>
      </c>
      <c r="Q96" s="52">
        <f>AX96/AF$8</f>
        <v>0</v>
      </c>
      <c r="R96" s="52">
        <f>AY96/AH$8</f>
        <v>0</v>
      </c>
      <c r="S96" s="527">
        <f>AZ96/AN$8</f>
        <v>0</v>
      </c>
      <c r="T96" s="533">
        <f>BA96/T$8</f>
        <v>-1.7734269702773639E-3</v>
      </c>
      <c r="U96" s="375">
        <f t="shared" ref="U96:U97" si="786">BB96/U$8</f>
        <v>-1.6545863944547518E-3</v>
      </c>
      <c r="V96" s="375">
        <f t="shared" ref="V96:V97" si="787">BC96/V$8</f>
        <v>-1.2822454860430951E-3</v>
      </c>
      <c r="W96" s="386">
        <f t="shared" ref="W96:W97" si="788">BD96/W$8</f>
        <v>-1.4486314870530948E-3</v>
      </c>
      <c r="X96" s="386">
        <f t="shared" ref="X96:X97" si="789">BE96/X$8</f>
        <v>-1.3357190090543328E-3</v>
      </c>
      <c r="Y96" s="386">
        <f>BF96/Y$8</f>
        <v>-1.3357190090543328E-3</v>
      </c>
      <c r="Z96" s="375">
        <f>BG96/Z$8</f>
        <v>-1.1876054424762202E-3</v>
      </c>
      <c r="AA96" s="375">
        <f t="shared" ref="AA96:AA97" si="790">BH96/AA$8</f>
        <v>-2.7440799327006973E-5</v>
      </c>
      <c r="AB96" s="386">
        <f t="shared" ref="AB96:AB97" si="791">BI96/AB$8</f>
        <v>-3.1810015066417273E-5</v>
      </c>
      <c r="AC96" s="386">
        <f t="shared" ref="AC96:AF97" si="792">BJ96/AC$8</f>
        <v>-3.1810015066417293E-5</v>
      </c>
      <c r="AD96" s="386">
        <f t="shared" si="792"/>
        <v>-3.1810015066417293E-5</v>
      </c>
      <c r="AE96" s="386">
        <f t="shared" si="792"/>
        <v>-2.8210310785872582E-5</v>
      </c>
      <c r="AF96" s="386">
        <f t="shared" si="792"/>
        <v>-2.7440799327006973E-5</v>
      </c>
      <c r="AG96" s="375">
        <f>BN96/AG$8</f>
        <v>0</v>
      </c>
      <c r="AH96" s="375">
        <f t="shared" ref="AH96:AK97" si="793">BO96/AH$8</f>
        <v>0</v>
      </c>
      <c r="AI96" s="386">
        <f t="shared" si="793"/>
        <v>0</v>
      </c>
      <c r="AJ96" s="386">
        <f t="shared" si="793"/>
        <v>0</v>
      </c>
      <c r="AK96" s="386">
        <f t="shared" si="793"/>
        <v>0</v>
      </c>
      <c r="AL96" s="377">
        <f t="shared" ref="AL96:AN97" si="794">BS96/AL$8</f>
        <v>0</v>
      </c>
      <c r="AM96" s="377">
        <f t="shared" si="794"/>
        <v>0</v>
      </c>
      <c r="AN96" s="377">
        <f t="shared" si="794"/>
        <v>0</v>
      </c>
      <c r="AO96" s="284"/>
      <c r="AP96" s="295">
        <f>AR96+AU96+AZ96+AW96+AY96</f>
        <v>91.095139310000008</v>
      </c>
      <c r="AQ96" s="182">
        <v>150</v>
      </c>
      <c r="AR96" s="80">
        <v>50.124114689999999</v>
      </c>
      <c r="AS96" s="80">
        <v>41.89352452</v>
      </c>
      <c r="AT96" s="80">
        <v>41.89352452</v>
      </c>
      <c r="AU96" s="80">
        <f>-BG96</f>
        <v>39.888791619999999</v>
      </c>
      <c r="AV96" s="80">
        <v>1.082233</v>
      </c>
      <c r="AW96" s="80">
        <v>1.082233</v>
      </c>
      <c r="AX96" s="80">
        <f>-BN96</f>
        <v>0</v>
      </c>
      <c r="AY96" s="80">
        <v>0</v>
      </c>
      <c r="AZ96" s="432">
        <v>0</v>
      </c>
      <c r="BA96" s="657">
        <v>-50</v>
      </c>
      <c r="BB96" s="327">
        <v>-50.124114689999999</v>
      </c>
      <c r="BC96" s="207">
        <v>-41.89352452</v>
      </c>
      <c r="BD96" s="132">
        <v>-44.369986400000002</v>
      </c>
      <c r="BE96" s="132">
        <f>BC96</f>
        <v>-41.89352452</v>
      </c>
      <c r="BF96" s="132">
        <f>BC96</f>
        <v>-41.89352452</v>
      </c>
      <c r="BG96" s="1022">
        <f>-39.88879162</f>
        <v>-39.888791619999999</v>
      </c>
      <c r="BH96" s="207">
        <v>-1.082233</v>
      </c>
      <c r="BI96" s="132">
        <v>-1.082233</v>
      </c>
      <c r="BJ96" s="132">
        <v>-1.082233</v>
      </c>
      <c r="BK96" s="132">
        <v>-1.082233</v>
      </c>
      <c r="BL96" s="132">
        <v>-1.082233</v>
      </c>
      <c r="BM96" s="132">
        <v>-1.082233</v>
      </c>
      <c r="BN96" s="1032">
        <v>0</v>
      </c>
      <c r="BO96" s="207">
        <v>0</v>
      </c>
      <c r="BP96" s="389">
        <v>0</v>
      </c>
      <c r="BQ96" s="389">
        <v>0</v>
      </c>
      <c r="BR96" s="389">
        <v>0</v>
      </c>
      <c r="BS96" s="296">
        <v>0</v>
      </c>
      <c r="BT96" s="296">
        <v>0</v>
      </c>
      <c r="BU96" s="296">
        <v>0</v>
      </c>
      <c r="BV96" s="1032">
        <v>0</v>
      </c>
      <c r="BW96" s="296">
        <f>-BV96</f>
        <v>0</v>
      </c>
      <c r="BX96" s="446" t="s">
        <v>625</v>
      </c>
    </row>
    <row r="97" spans="1:76" ht="72.599999999999994" hidden="1" customHeight="1" outlineLevel="1" x14ac:dyDescent="0.25">
      <c r="A97" s="678">
        <v>2</v>
      </c>
      <c r="B97" s="702" t="s">
        <v>165</v>
      </c>
      <c r="C97" s="694" t="s">
        <v>165</v>
      </c>
      <c r="D97" s="63">
        <v>44273</v>
      </c>
      <c r="E97" s="463" t="s">
        <v>1440</v>
      </c>
      <c r="F97" s="542" t="s">
        <v>1362</v>
      </c>
      <c r="G97" s="71" t="s">
        <v>38</v>
      </c>
      <c r="H97" s="311" t="s">
        <v>171</v>
      </c>
      <c r="I97" s="1203"/>
      <c r="J97" s="1199">
        <f t="shared" si="784"/>
        <v>0</v>
      </c>
      <c r="K97" s="1287">
        <f t="shared" si="784"/>
        <v>0</v>
      </c>
      <c r="L97" s="1201">
        <f t="shared" si="784"/>
        <v>2.1369574595984332E-3</v>
      </c>
      <c r="M97" s="1201">
        <f t="shared" si="785"/>
        <v>2.226075062377058E-3</v>
      </c>
      <c r="N97" s="1201">
        <f t="shared" si="785"/>
        <v>1.305504390477206E-3</v>
      </c>
      <c r="O97" s="1201">
        <f t="shared" si="785"/>
        <v>1.1191780789228047E-3</v>
      </c>
      <c r="P97" s="1201">
        <f>AW97/AE$8</f>
        <v>1.1505627461833787E-3</v>
      </c>
      <c r="Q97" s="1201">
        <f>AX97/AF$8</f>
        <v>0</v>
      </c>
      <c r="R97" s="1201">
        <f>AY97/AH$8</f>
        <v>0</v>
      </c>
      <c r="S97" s="1210">
        <f>AZ97/AN$8</f>
        <v>0</v>
      </c>
      <c r="T97" s="1289">
        <f>BA97/T$8</f>
        <v>0</v>
      </c>
      <c r="U97" s="1197">
        <f t="shared" si="786"/>
        <v>0</v>
      </c>
      <c r="V97" s="1197">
        <f t="shared" si="787"/>
        <v>-2.1369574595984332E-3</v>
      </c>
      <c r="W97" s="1255">
        <f t="shared" si="788"/>
        <v>0</v>
      </c>
      <c r="X97" s="1255">
        <f t="shared" si="789"/>
        <v>-1.4483724315434796E-3</v>
      </c>
      <c r="Y97" s="1255">
        <f>BF97/Y$8</f>
        <v>-1.8371941721529159E-3</v>
      </c>
      <c r="Z97" s="1197">
        <f>BG97/Z$8</f>
        <v>-1.305504390477206E-3</v>
      </c>
      <c r="AA97" s="1197">
        <f t="shared" si="790"/>
        <v>-1.1191780789228047E-3</v>
      </c>
      <c r="AB97" s="1255">
        <f t="shared" si="791"/>
        <v>-5.6474979929445855E-4</v>
      </c>
      <c r="AC97" s="1255">
        <f t="shared" si="792"/>
        <v>-8.1465573740254578E-4</v>
      </c>
      <c r="AD97" s="1255">
        <f t="shared" si="792"/>
        <v>-1.4433492857358734E-3</v>
      </c>
      <c r="AE97" s="1255">
        <f t="shared" si="792"/>
        <v>-1.2800161156214791E-3</v>
      </c>
      <c r="AF97" s="1255">
        <f t="shared" si="792"/>
        <v>-1.2451002624789948E-3</v>
      </c>
      <c r="AG97" s="1197">
        <f>BN97/AG$8</f>
        <v>0</v>
      </c>
      <c r="AH97" s="1197">
        <f t="shared" si="793"/>
        <v>0</v>
      </c>
      <c r="AI97" s="1255">
        <f t="shared" si="793"/>
        <v>0</v>
      </c>
      <c r="AJ97" s="1255">
        <f t="shared" si="793"/>
        <v>0</v>
      </c>
      <c r="AK97" s="1255">
        <f t="shared" si="793"/>
        <v>0</v>
      </c>
      <c r="AL97" s="1291">
        <f t="shared" si="794"/>
        <v>0</v>
      </c>
      <c r="AM97" s="1291">
        <f t="shared" si="794"/>
        <v>0</v>
      </c>
      <c r="AN97" s="1291">
        <f t="shared" si="794"/>
        <v>0</v>
      </c>
      <c r="AO97" s="287"/>
      <c r="AP97" s="1231">
        <f>AR97+AU97+AZ97+AW97+AY97</f>
        <v>87.987805040000012</v>
      </c>
      <c r="AQ97" s="1212">
        <v>0</v>
      </c>
      <c r="AR97" s="1165">
        <v>0</v>
      </c>
      <c r="AS97" s="1165">
        <f>-BC97</f>
        <v>69.818674120000011</v>
      </c>
      <c r="AT97" s="1165">
        <f>-BC97</f>
        <v>69.818674120000011</v>
      </c>
      <c r="AU97" s="1165">
        <f>-BG97</f>
        <v>43.84873185</v>
      </c>
      <c r="AV97" s="1165">
        <f>-BH97</f>
        <v>44.139073190000005</v>
      </c>
      <c r="AW97" s="1165">
        <f>-BH97</f>
        <v>44.139073190000005</v>
      </c>
      <c r="AX97" s="1165">
        <f>-BN97</f>
        <v>0</v>
      </c>
      <c r="AY97" s="1165">
        <f>-BO97</f>
        <v>0</v>
      </c>
      <c r="AZ97" s="1218">
        <f>-BU97</f>
        <v>0</v>
      </c>
      <c r="BA97" s="1403">
        <v>0</v>
      </c>
      <c r="BB97" s="1154">
        <v>0</v>
      </c>
      <c r="BC97" s="1405">
        <f>-17.402049-10.833108-7.10643678-9.9888951-4.66647824-7.624837-8.138093-1.930396-2.128381</f>
        <v>-69.818674120000011</v>
      </c>
      <c r="BD97" s="1177">
        <v>0</v>
      </c>
      <c r="BE97" s="1177">
        <v>-45.426789290000002</v>
      </c>
      <c r="BF97" s="1177">
        <v>-57.621804120000007</v>
      </c>
      <c r="BG97" s="1180">
        <f>-43.55416885 -0.294563</f>
        <v>-43.84873185</v>
      </c>
      <c r="BH97" s="1407">
        <f>-5.183348-3.186226-1.88037575-8.96383774-3.68359822-4.818644-13.741388-2.68165548</f>
        <v>-44.139073190000005</v>
      </c>
      <c r="BI97" s="1177">
        <v>-19.213787490000001</v>
      </c>
      <c r="BJ97" s="1177">
        <v>-27.716029710000001</v>
      </c>
      <c r="BK97" s="1177">
        <v>-49.105296690000003</v>
      </c>
      <c r="BL97" s="1177">
        <v>-49.105296690000003</v>
      </c>
      <c r="BM97" s="1177">
        <v>-49.105296690000003</v>
      </c>
      <c r="BN97" s="1183">
        <f>0</f>
        <v>0</v>
      </c>
      <c r="BO97" s="1169">
        <v>0</v>
      </c>
      <c r="BP97" s="1242">
        <v>0</v>
      </c>
      <c r="BQ97" s="1242">
        <v>0</v>
      </c>
      <c r="BR97" s="1242">
        <v>0</v>
      </c>
      <c r="BS97" s="1269">
        <v>0</v>
      </c>
      <c r="BT97" s="1269">
        <v>0</v>
      </c>
      <c r="BU97" s="1269">
        <v>0</v>
      </c>
      <c r="BV97" s="1183">
        <f>0</f>
        <v>0</v>
      </c>
      <c r="BW97" s="1269">
        <f>-BV97</f>
        <v>0</v>
      </c>
      <c r="BX97" s="439" t="s">
        <v>1443</v>
      </c>
    </row>
    <row r="98" spans="1:76" ht="72.599999999999994" hidden="1" customHeight="1" outlineLevel="1" x14ac:dyDescent="0.25">
      <c r="A98" s="678">
        <v>3</v>
      </c>
      <c r="B98" s="702" t="s">
        <v>165</v>
      </c>
      <c r="C98" s="694" t="s">
        <v>165</v>
      </c>
      <c r="D98" s="63">
        <v>44321</v>
      </c>
      <c r="E98" s="463" t="s">
        <v>1441</v>
      </c>
      <c r="F98" s="542" t="s">
        <v>1362</v>
      </c>
      <c r="G98" s="71" t="s">
        <v>38</v>
      </c>
      <c r="H98" s="311" t="s">
        <v>171</v>
      </c>
      <c r="I98" s="1203"/>
      <c r="J98" s="1286"/>
      <c r="K98" s="1287"/>
      <c r="L98" s="1228"/>
      <c r="M98" s="1228"/>
      <c r="N98" s="1228"/>
      <c r="O98" s="1228"/>
      <c r="P98" s="1228"/>
      <c r="Q98" s="1228"/>
      <c r="R98" s="1228"/>
      <c r="S98" s="1288"/>
      <c r="T98" s="1290"/>
      <c r="U98" s="1214"/>
      <c r="V98" s="1214"/>
      <c r="W98" s="1257"/>
      <c r="X98" s="1257"/>
      <c r="Y98" s="1257"/>
      <c r="Z98" s="1214"/>
      <c r="AA98" s="1214"/>
      <c r="AB98" s="1257"/>
      <c r="AC98" s="1257"/>
      <c r="AD98" s="1257"/>
      <c r="AE98" s="1257"/>
      <c r="AF98" s="1257"/>
      <c r="AG98" s="1214"/>
      <c r="AH98" s="1214"/>
      <c r="AI98" s="1257"/>
      <c r="AJ98" s="1257"/>
      <c r="AK98" s="1257"/>
      <c r="AL98" s="1401"/>
      <c r="AM98" s="1401"/>
      <c r="AN98" s="1401"/>
      <c r="AO98" s="287"/>
      <c r="AP98" s="1261"/>
      <c r="AQ98" s="1273"/>
      <c r="AR98" s="1268"/>
      <c r="AS98" s="1268"/>
      <c r="AT98" s="1268"/>
      <c r="AU98" s="1268"/>
      <c r="AV98" s="1268"/>
      <c r="AW98" s="1268"/>
      <c r="AX98" s="1268"/>
      <c r="AY98" s="1268"/>
      <c r="AZ98" s="1402"/>
      <c r="BA98" s="1404"/>
      <c r="BB98" s="1155"/>
      <c r="BC98" s="1406"/>
      <c r="BD98" s="1179"/>
      <c r="BE98" s="1179"/>
      <c r="BF98" s="1179"/>
      <c r="BG98" s="1181"/>
      <c r="BH98" s="1408"/>
      <c r="BI98" s="1179"/>
      <c r="BJ98" s="1179"/>
      <c r="BK98" s="1179"/>
      <c r="BL98" s="1179"/>
      <c r="BM98" s="1179"/>
      <c r="BN98" s="1184"/>
      <c r="BO98" s="1182"/>
      <c r="BP98" s="1293"/>
      <c r="BQ98" s="1293"/>
      <c r="BR98" s="1293"/>
      <c r="BS98" s="1294"/>
      <c r="BT98" s="1294"/>
      <c r="BU98" s="1294"/>
      <c r="BV98" s="1184"/>
      <c r="BW98" s="1294"/>
      <c r="BX98" s="439" t="s">
        <v>1444</v>
      </c>
    </row>
    <row r="99" spans="1:76" ht="72.599999999999994" hidden="1" customHeight="1" outlineLevel="1" x14ac:dyDescent="0.25">
      <c r="A99" s="678">
        <v>4</v>
      </c>
      <c r="B99" s="702" t="s">
        <v>165</v>
      </c>
      <c r="C99" s="694" t="s">
        <v>165</v>
      </c>
      <c r="D99" s="63">
        <v>44347</v>
      </c>
      <c r="E99" s="463" t="s">
        <v>1442</v>
      </c>
      <c r="F99" s="542" t="s">
        <v>1362</v>
      </c>
      <c r="G99" s="71" t="s">
        <v>38</v>
      </c>
      <c r="H99" s="311" t="s">
        <v>171</v>
      </c>
      <c r="I99" s="1203"/>
      <c r="J99" s="1286"/>
      <c r="K99" s="1287"/>
      <c r="L99" s="1228"/>
      <c r="M99" s="1228"/>
      <c r="N99" s="1228"/>
      <c r="O99" s="1228"/>
      <c r="P99" s="1228"/>
      <c r="Q99" s="1228"/>
      <c r="R99" s="1228"/>
      <c r="S99" s="1288"/>
      <c r="T99" s="1290"/>
      <c r="U99" s="1214"/>
      <c r="V99" s="1214"/>
      <c r="W99" s="1257"/>
      <c r="X99" s="1257"/>
      <c r="Y99" s="1257"/>
      <c r="Z99" s="1214"/>
      <c r="AA99" s="1214"/>
      <c r="AB99" s="1257"/>
      <c r="AC99" s="1257"/>
      <c r="AD99" s="1257"/>
      <c r="AE99" s="1257"/>
      <c r="AF99" s="1257"/>
      <c r="AG99" s="1214"/>
      <c r="AH99" s="1214"/>
      <c r="AI99" s="1257"/>
      <c r="AJ99" s="1257"/>
      <c r="AK99" s="1257"/>
      <c r="AL99" s="1401"/>
      <c r="AM99" s="1401"/>
      <c r="AN99" s="1401"/>
      <c r="AO99" s="287"/>
      <c r="AP99" s="1261"/>
      <c r="AQ99" s="1273"/>
      <c r="AR99" s="1268"/>
      <c r="AS99" s="1268"/>
      <c r="AT99" s="1268"/>
      <c r="AU99" s="1268"/>
      <c r="AV99" s="1268"/>
      <c r="AW99" s="1268"/>
      <c r="AX99" s="1268"/>
      <c r="AY99" s="1268"/>
      <c r="AZ99" s="1402"/>
      <c r="BA99" s="1404"/>
      <c r="BB99" s="1155"/>
      <c r="BC99" s="1406"/>
      <c r="BD99" s="1179"/>
      <c r="BE99" s="1179"/>
      <c r="BF99" s="1179"/>
      <c r="BG99" s="1181"/>
      <c r="BH99" s="1408"/>
      <c r="BI99" s="1179"/>
      <c r="BJ99" s="1179"/>
      <c r="BK99" s="1179"/>
      <c r="BL99" s="1179"/>
      <c r="BM99" s="1179"/>
      <c r="BN99" s="1184"/>
      <c r="BO99" s="1182"/>
      <c r="BP99" s="1293"/>
      <c r="BQ99" s="1293"/>
      <c r="BR99" s="1293"/>
      <c r="BS99" s="1294"/>
      <c r="BT99" s="1294"/>
      <c r="BU99" s="1294"/>
      <c r="BV99" s="1184"/>
      <c r="BW99" s="1294"/>
      <c r="BX99" s="439" t="s">
        <v>1445</v>
      </c>
    </row>
    <row r="100" spans="1:76" ht="164.1" hidden="1" customHeight="1" outlineLevel="1" x14ac:dyDescent="0.25">
      <c r="A100" s="678">
        <v>5</v>
      </c>
      <c r="B100" s="702" t="s">
        <v>165</v>
      </c>
      <c r="C100" s="694" t="s">
        <v>165</v>
      </c>
      <c r="D100" s="63" t="s">
        <v>1582</v>
      </c>
      <c r="E100" s="463" t="s">
        <v>1549</v>
      </c>
      <c r="F100" s="542" t="s">
        <v>1362</v>
      </c>
      <c r="G100" s="71" t="s">
        <v>38</v>
      </c>
      <c r="H100" s="311" t="s">
        <v>171</v>
      </c>
      <c r="I100" s="1203"/>
      <c r="J100" s="1286"/>
      <c r="K100" s="1287"/>
      <c r="L100" s="1228"/>
      <c r="M100" s="1228"/>
      <c r="N100" s="1228"/>
      <c r="O100" s="1228"/>
      <c r="P100" s="1228"/>
      <c r="Q100" s="1228"/>
      <c r="R100" s="1228"/>
      <c r="S100" s="1288"/>
      <c r="T100" s="1290"/>
      <c r="U100" s="1214"/>
      <c r="V100" s="1214"/>
      <c r="W100" s="1257"/>
      <c r="X100" s="1257"/>
      <c r="Y100" s="1257"/>
      <c r="Z100" s="1214"/>
      <c r="AA100" s="1214"/>
      <c r="AB100" s="1257"/>
      <c r="AC100" s="1257"/>
      <c r="AD100" s="1257"/>
      <c r="AE100" s="1257"/>
      <c r="AF100" s="1257"/>
      <c r="AG100" s="1214"/>
      <c r="AH100" s="1214"/>
      <c r="AI100" s="1257"/>
      <c r="AJ100" s="1257"/>
      <c r="AK100" s="1257"/>
      <c r="AL100" s="1401"/>
      <c r="AM100" s="1401"/>
      <c r="AN100" s="1401"/>
      <c r="AO100" s="287"/>
      <c r="AP100" s="1261"/>
      <c r="AQ100" s="1273"/>
      <c r="AR100" s="1268"/>
      <c r="AS100" s="1268"/>
      <c r="AT100" s="1268"/>
      <c r="AU100" s="1268"/>
      <c r="AV100" s="1268"/>
      <c r="AW100" s="1268"/>
      <c r="AX100" s="1268"/>
      <c r="AY100" s="1268"/>
      <c r="AZ100" s="1402"/>
      <c r="BA100" s="1404"/>
      <c r="BB100" s="1155"/>
      <c r="BC100" s="1406"/>
      <c r="BD100" s="1179"/>
      <c r="BE100" s="1179"/>
      <c r="BF100" s="1179"/>
      <c r="BG100" s="1181"/>
      <c r="BH100" s="1408"/>
      <c r="BI100" s="1179"/>
      <c r="BJ100" s="1179"/>
      <c r="BK100" s="1179"/>
      <c r="BL100" s="1179"/>
      <c r="BM100" s="1179"/>
      <c r="BN100" s="1184"/>
      <c r="BO100" s="1182"/>
      <c r="BP100" s="1293"/>
      <c r="BQ100" s="1293"/>
      <c r="BR100" s="1293"/>
      <c r="BS100" s="1294"/>
      <c r="BT100" s="1294"/>
      <c r="BU100" s="1294"/>
      <c r="BV100" s="1184"/>
      <c r="BW100" s="1294"/>
      <c r="BX100" s="439" t="s">
        <v>1584</v>
      </c>
    </row>
    <row r="101" spans="1:76" ht="120.6" hidden="1" customHeight="1" outlineLevel="1" x14ac:dyDescent="0.25">
      <c r="A101" s="678">
        <v>6</v>
      </c>
      <c r="B101" s="702" t="s">
        <v>165</v>
      </c>
      <c r="C101" s="694" t="s">
        <v>165</v>
      </c>
      <c r="D101" s="63">
        <v>44425</v>
      </c>
      <c r="E101" s="463" t="s">
        <v>1581</v>
      </c>
      <c r="F101" s="542" t="s">
        <v>1362</v>
      </c>
      <c r="G101" s="71" t="s">
        <v>38</v>
      </c>
      <c r="H101" s="311" t="s">
        <v>171</v>
      </c>
      <c r="I101" s="1203"/>
      <c r="J101" s="1286"/>
      <c r="K101" s="1287"/>
      <c r="L101" s="1228"/>
      <c r="M101" s="1228"/>
      <c r="N101" s="1228"/>
      <c r="O101" s="1228"/>
      <c r="P101" s="1228"/>
      <c r="Q101" s="1228"/>
      <c r="R101" s="1228"/>
      <c r="S101" s="1288"/>
      <c r="T101" s="1290"/>
      <c r="U101" s="1214"/>
      <c r="V101" s="1214"/>
      <c r="W101" s="1257"/>
      <c r="X101" s="1257"/>
      <c r="Y101" s="1257"/>
      <c r="Z101" s="1214"/>
      <c r="AA101" s="1214"/>
      <c r="AB101" s="1257"/>
      <c r="AC101" s="1257"/>
      <c r="AD101" s="1257"/>
      <c r="AE101" s="1257"/>
      <c r="AF101" s="1257"/>
      <c r="AG101" s="1214"/>
      <c r="AH101" s="1214"/>
      <c r="AI101" s="1257"/>
      <c r="AJ101" s="1257"/>
      <c r="AK101" s="1257"/>
      <c r="AL101" s="1401"/>
      <c r="AM101" s="1401"/>
      <c r="AN101" s="1401"/>
      <c r="AO101" s="287"/>
      <c r="AP101" s="1261"/>
      <c r="AQ101" s="1273"/>
      <c r="AR101" s="1268"/>
      <c r="AS101" s="1268"/>
      <c r="AT101" s="1268"/>
      <c r="AU101" s="1268"/>
      <c r="AV101" s="1268"/>
      <c r="AW101" s="1268"/>
      <c r="AX101" s="1268"/>
      <c r="AY101" s="1268"/>
      <c r="AZ101" s="1402"/>
      <c r="BA101" s="1404"/>
      <c r="BB101" s="1155"/>
      <c r="BC101" s="1406"/>
      <c r="BD101" s="1179"/>
      <c r="BE101" s="1179"/>
      <c r="BF101" s="1179"/>
      <c r="BG101" s="1181"/>
      <c r="BH101" s="1408"/>
      <c r="BI101" s="1179"/>
      <c r="BJ101" s="1179"/>
      <c r="BK101" s="1179"/>
      <c r="BL101" s="1179"/>
      <c r="BM101" s="1179"/>
      <c r="BN101" s="1184"/>
      <c r="BO101" s="1182"/>
      <c r="BP101" s="1293"/>
      <c r="BQ101" s="1293"/>
      <c r="BR101" s="1293"/>
      <c r="BS101" s="1294"/>
      <c r="BT101" s="1294"/>
      <c r="BU101" s="1294"/>
      <c r="BV101" s="1184"/>
      <c r="BW101" s="1294"/>
      <c r="BX101" s="439" t="s">
        <v>1583</v>
      </c>
    </row>
    <row r="102" spans="1:76" ht="120.6" hidden="1" customHeight="1" outlineLevel="1" x14ac:dyDescent="0.25">
      <c r="A102" s="678">
        <v>7</v>
      </c>
      <c r="B102" s="702" t="s">
        <v>165</v>
      </c>
      <c r="C102" s="694" t="s">
        <v>165</v>
      </c>
      <c r="D102" s="63">
        <v>44439</v>
      </c>
      <c r="E102" s="470" t="s">
        <v>1604</v>
      </c>
      <c r="F102" s="542" t="s">
        <v>1362</v>
      </c>
      <c r="G102" s="71" t="s">
        <v>38</v>
      </c>
      <c r="H102" s="311" t="s">
        <v>171</v>
      </c>
      <c r="I102" s="1203"/>
      <c r="J102" s="1286"/>
      <c r="K102" s="1287"/>
      <c r="L102" s="1228"/>
      <c r="M102" s="1228"/>
      <c r="N102" s="1228"/>
      <c r="O102" s="1228"/>
      <c r="P102" s="1228"/>
      <c r="Q102" s="1228"/>
      <c r="R102" s="1228"/>
      <c r="S102" s="1288"/>
      <c r="T102" s="1290"/>
      <c r="U102" s="1214"/>
      <c r="V102" s="1214"/>
      <c r="W102" s="1257"/>
      <c r="X102" s="1257"/>
      <c r="Y102" s="1257"/>
      <c r="Z102" s="1214"/>
      <c r="AA102" s="1214"/>
      <c r="AB102" s="1257"/>
      <c r="AC102" s="1257"/>
      <c r="AD102" s="1257"/>
      <c r="AE102" s="1257"/>
      <c r="AF102" s="1257"/>
      <c r="AG102" s="1214"/>
      <c r="AH102" s="1214"/>
      <c r="AI102" s="1257"/>
      <c r="AJ102" s="1257"/>
      <c r="AK102" s="1257"/>
      <c r="AL102" s="1401"/>
      <c r="AM102" s="1401"/>
      <c r="AN102" s="1401"/>
      <c r="AO102" s="287"/>
      <c r="AP102" s="1261"/>
      <c r="AQ102" s="1273"/>
      <c r="AR102" s="1268"/>
      <c r="AS102" s="1268"/>
      <c r="AT102" s="1268"/>
      <c r="AU102" s="1268"/>
      <c r="AV102" s="1268"/>
      <c r="AW102" s="1268"/>
      <c r="AX102" s="1268"/>
      <c r="AY102" s="1268"/>
      <c r="AZ102" s="1402"/>
      <c r="BA102" s="1404"/>
      <c r="BB102" s="1155"/>
      <c r="BC102" s="1406"/>
      <c r="BD102" s="1179"/>
      <c r="BE102" s="1179"/>
      <c r="BF102" s="1179"/>
      <c r="BG102" s="1181"/>
      <c r="BH102" s="1408"/>
      <c r="BI102" s="1179"/>
      <c r="BJ102" s="1179"/>
      <c r="BK102" s="1179"/>
      <c r="BL102" s="1179"/>
      <c r="BM102" s="1179"/>
      <c r="BN102" s="1184"/>
      <c r="BO102" s="1182"/>
      <c r="BP102" s="1293"/>
      <c r="BQ102" s="1293"/>
      <c r="BR102" s="1293"/>
      <c r="BS102" s="1294"/>
      <c r="BT102" s="1294"/>
      <c r="BU102" s="1294"/>
      <c r="BV102" s="1184"/>
      <c r="BW102" s="1294"/>
      <c r="BX102" s="439" t="s">
        <v>1603</v>
      </c>
    </row>
    <row r="103" spans="1:76" ht="182.1" hidden="1" customHeight="1" outlineLevel="1" x14ac:dyDescent="0.25">
      <c r="A103" s="678">
        <v>8</v>
      </c>
      <c r="B103" s="702" t="s">
        <v>165</v>
      </c>
      <c r="C103" s="694" t="s">
        <v>165</v>
      </c>
      <c r="D103" s="63">
        <v>44475</v>
      </c>
      <c r="E103" s="463" t="s">
        <v>1847</v>
      </c>
      <c r="F103" s="542" t="s">
        <v>1362</v>
      </c>
      <c r="G103" s="71" t="s">
        <v>38</v>
      </c>
      <c r="H103" s="311" t="s">
        <v>171</v>
      </c>
      <c r="I103" s="1203"/>
      <c r="J103" s="1286"/>
      <c r="K103" s="1287"/>
      <c r="L103" s="1228"/>
      <c r="M103" s="1228"/>
      <c r="N103" s="1228"/>
      <c r="O103" s="1228"/>
      <c r="P103" s="1228"/>
      <c r="Q103" s="1228"/>
      <c r="R103" s="1228"/>
      <c r="S103" s="1288"/>
      <c r="T103" s="1290"/>
      <c r="U103" s="1214"/>
      <c r="V103" s="1214"/>
      <c r="W103" s="1257"/>
      <c r="X103" s="1257"/>
      <c r="Y103" s="1257"/>
      <c r="Z103" s="1214"/>
      <c r="AA103" s="1214"/>
      <c r="AB103" s="1257"/>
      <c r="AC103" s="1257"/>
      <c r="AD103" s="1257"/>
      <c r="AE103" s="1257"/>
      <c r="AF103" s="1257"/>
      <c r="AG103" s="1214"/>
      <c r="AH103" s="1214"/>
      <c r="AI103" s="1257"/>
      <c r="AJ103" s="1257"/>
      <c r="AK103" s="1257"/>
      <c r="AL103" s="1401"/>
      <c r="AM103" s="1401"/>
      <c r="AN103" s="1401"/>
      <c r="AO103" s="287"/>
      <c r="AP103" s="1261"/>
      <c r="AQ103" s="1273"/>
      <c r="AR103" s="1268"/>
      <c r="AS103" s="1268"/>
      <c r="AT103" s="1268"/>
      <c r="AU103" s="1268"/>
      <c r="AV103" s="1268"/>
      <c r="AW103" s="1268"/>
      <c r="AX103" s="1268"/>
      <c r="AY103" s="1268"/>
      <c r="AZ103" s="1402"/>
      <c r="BA103" s="1404"/>
      <c r="BB103" s="1155"/>
      <c r="BC103" s="1406"/>
      <c r="BD103" s="1179"/>
      <c r="BE103" s="1179"/>
      <c r="BF103" s="1179"/>
      <c r="BG103" s="1181"/>
      <c r="BH103" s="1408"/>
      <c r="BI103" s="1179"/>
      <c r="BJ103" s="1179"/>
      <c r="BK103" s="1179"/>
      <c r="BL103" s="1179"/>
      <c r="BM103" s="1179"/>
      <c r="BN103" s="1184"/>
      <c r="BO103" s="1182"/>
      <c r="BP103" s="1293"/>
      <c r="BQ103" s="1293"/>
      <c r="BR103" s="1293"/>
      <c r="BS103" s="1294"/>
      <c r="BT103" s="1294"/>
      <c r="BU103" s="1294"/>
      <c r="BV103" s="1184"/>
      <c r="BW103" s="1294"/>
      <c r="BX103" s="439" t="s">
        <v>1846</v>
      </c>
    </row>
    <row r="104" spans="1:76" ht="137.1" hidden="1" customHeight="1" outlineLevel="1" x14ac:dyDescent="0.25">
      <c r="A104" s="678">
        <v>9</v>
      </c>
      <c r="B104" s="702" t="s">
        <v>165</v>
      </c>
      <c r="C104" s="694" t="s">
        <v>165</v>
      </c>
      <c r="D104" s="63">
        <v>44496</v>
      </c>
      <c r="E104" s="463" t="s">
        <v>1848</v>
      </c>
      <c r="F104" s="542" t="s">
        <v>1362</v>
      </c>
      <c r="G104" s="71" t="s">
        <v>38</v>
      </c>
      <c r="H104" s="311" t="s">
        <v>171</v>
      </c>
      <c r="I104" s="1203"/>
      <c r="J104" s="1286"/>
      <c r="K104" s="1287"/>
      <c r="L104" s="1228"/>
      <c r="M104" s="1228"/>
      <c r="N104" s="1228"/>
      <c r="O104" s="1228"/>
      <c r="P104" s="1228"/>
      <c r="Q104" s="1228"/>
      <c r="R104" s="1228"/>
      <c r="S104" s="1288"/>
      <c r="T104" s="1290"/>
      <c r="U104" s="1214"/>
      <c r="V104" s="1214"/>
      <c r="W104" s="1257"/>
      <c r="X104" s="1257"/>
      <c r="Y104" s="1257"/>
      <c r="Z104" s="1214"/>
      <c r="AA104" s="1214"/>
      <c r="AB104" s="1257"/>
      <c r="AC104" s="1257"/>
      <c r="AD104" s="1257"/>
      <c r="AE104" s="1257"/>
      <c r="AF104" s="1257"/>
      <c r="AG104" s="1214"/>
      <c r="AH104" s="1214"/>
      <c r="AI104" s="1257"/>
      <c r="AJ104" s="1257"/>
      <c r="AK104" s="1257"/>
      <c r="AL104" s="1401"/>
      <c r="AM104" s="1401"/>
      <c r="AN104" s="1401"/>
      <c r="AO104" s="287"/>
      <c r="AP104" s="1261"/>
      <c r="AQ104" s="1273"/>
      <c r="AR104" s="1268"/>
      <c r="AS104" s="1268"/>
      <c r="AT104" s="1268"/>
      <c r="AU104" s="1268"/>
      <c r="AV104" s="1268"/>
      <c r="AW104" s="1268"/>
      <c r="AX104" s="1268"/>
      <c r="AY104" s="1268"/>
      <c r="AZ104" s="1402"/>
      <c r="BA104" s="1404"/>
      <c r="BB104" s="1155"/>
      <c r="BC104" s="1406"/>
      <c r="BD104" s="1179"/>
      <c r="BE104" s="1179"/>
      <c r="BF104" s="1179"/>
      <c r="BG104" s="1181"/>
      <c r="BH104" s="1408"/>
      <c r="BI104" s="1179"/>
      <c r="BJ104" s="1179"/>
      <c r="BK104" s="1179"/>
      <c r="BL104" s="1179"/>
      <c r="BM104" s="1179"/>
      <c r="BN104" s="1184"/>
      <c r="BO104" s="1182"/>
      <c r="BP104" s="1293"/>
      <c r="BQ104" s="1293"/>
      <c r="BR104" s="1293"/>
      <c r="BS104" s="1294"/>
      <c r="BT104" s="1294"/>
      <c r="BU104" s="1294"/>
      <c r="BV104" s="1184"/>
      <c r="BW104" s="1294"/>
      <c r="BX104" s="1399" t="s">
        <v>1845</v>
      </c>
    </row>
    <row r="105" spans="1:76" ht="137.1" hidden="1" customHeight="1" outlineLevel="1" x14ac:dyDescent="0.25">
      <c r="A105" s="678">
        <v>10</v>
      </c>
      <c r="B105" s="702" t="s">
        <v>165</v>
      </c>
      <c r="C105" s="694" t="s">
        <v>165</v>
      </c>
      <c r="D105" s="63">
        <v>44530</v>
      </c>
      <c r="E105" s="470" t="s">
        <v>1850</v>
      </c>
      <c r="F105" s="542" t="s">
        <v>1362</v>
      </c>
      <c r="G105" s="71" t="s">
        <v>38</v>
      </c>
      <c r="H105" s="311" t="s">
        <v>171</v>
      </c>
      <c r="I105" s="1203"/>
      <c r="J105" s="1286"/>
      <c r="K105" s="1287"/>
      <c r="L105" s="1228"/>
      <c r="M105" s="1228"/>
      <c r="N105" s="1228"/>
      <c r="O105" s="1228"/>
      <c r="P105" s="1228"/>
      <c r="Q105" s="1228"/>
      <c r="R105" s="1228"/>
      <c r="S105" s="1288"/>
      <c r="T105" s="1290"/>
      <c r="U105" s="1214"/>
      <c r="V105" s="1214"/>
      <c r="W105" s="1257"/>
      <c r="X105" s="1257"/>
      <c r="Y105" s="1257"/>
      <c r="Z105" s="1214"/>
      <c r="AA105" s="1214"/>
      <c r="AB105" s="1257"/>
      <c r="AC105" s="1257"/>
      <c r="AD105" s="1257"/>
      <c r="AE105" s="1257"/>
      <c r="AF105" s="1257"/>
      <c r="AG105" s="1214"/>
      <c r="AH105" s="1214"/>
      <c r="AI105" s="1257"/>
      <c r="AJ105" s="1257"/>
      <c r="AK105" s="1257"/>
      <c r="AL105" s="1401"/>
      <c r="AM105" s="1401"/>
      <c r="AN105" s="1401"/>
      <c r="AO105" s="287"/>
      <c r="AP105" s="1261"/>
      <c r="AQ105" s="1273"/>
      <c r="AR105" s="1268"/>
      <c r="AS105" s="1268"/>
      <c r="AT105" s="1268"/>
      <c r="AU105" s="1268"/>
      <c r="AV105" s="1268"/>
      <c r="AW105" s="1268"/>
      <c r="AX105" s="1268"/>
      <c r="AY105" s="1268"/>
      <c r="AZ105" s="1402"/>
      <c r="BA105" s="1404"/>
      <c r="BB105" s="1155"/>
      <c r="BC105" s="1406"/>
      <c r="BD105" s="1179"/>
      <c r="BE105" s="1179"/>
      <c r="BF105" s="1179"/>
      <c r="BG105" s="1181"/>
      <c r="BH105" s="1408"/>
      <c r="BI105" s="1179"/>
      <c r="BJ105" s="1179"/>
      <c r="BK105" s="1179"/>
      <c r="BL105" s="1179"/>
      <c r="BM105" s="1179"/>
      <c r="BN105" s="1184"/>
      <c r="BO105" s="1182"/>
      <c r="BP105" s="1293"/>
      <c r="BQ105" s="1293"/>
      <c r="BR105" s="1293"/>
      <c r="BS105" s="1294"/>
      <c r="BT105" s="1294"/>
      <c r="BU105" s="1294"/>
      <c r="BV105" s="1184"/>
      <c r="BW105" s="1294"/>
      <c r="BX105" s="1400"/>
    </row>
    <row r="106" spans="1:76" ht="136.5" hidden="1" customHeight="1" outlineLevel="1" x14ac:dyDescent="0.25">
      <c r="A106" s="678">
        <v>11</v>
      </c>
      <c r="B106" s="702" t="s">
        <v>165</v>
      </c>
      <c r="C106" s="694" t="s">
        <v>165</v>
      </c>
      <c r="D106" s="63" t="s">
        <v>2371</v>
      </c>
      <c r="E106" s="470" t="s">
        <v>2372</v>
      </c>
      <c r="F106" s="983" t="s">
        <v>1362</v>
      </c>
      <c r="G106" s="71" t="s">
        <v>38</v>
      </c>
      <c r="H106" s="311" t="s">
        <v>171</v>
      </c>
      <c r="I106" s="335"/>
      <c r="J106" s="412"/>
      <c r="K106" s="52">
        <f>AR106/U$8</f>
        <v>0</v>
      </c>
      <c r="L106" s="52">
        <f>AS106/V$8</f>
        <v>0</v>
      </c>
      <c r="M106" s="52">
        <f>AT106/Y$8</f>
        <v>0</v>
      </c>
      <c r="N106" s="52">
        <f>AU106/Z$8</f>
        <v>0</v>
      </c>
      <c r="O106" s="52">
        <f>AV106/AA$8</f>
        <v>1.2211365881706314E-3</v>
      </c>
      <c r="P106" s="52">
        <f>AW106/AE$8</f>
        <v>1.2553804374929262E-3</v>
      </c>
      <c r="Q106" s="52">
        <f>AX106/AF$8</f>
        <v>1.7282901803156246E-3</v>
      </c>
      <c r="R106" s="52">
        <f>AY106/AH$8</f>
        <v>4.7528904250596001E-4</v>
      </c>
      <c r="S106" s="527">
        <f>AZ106/AN$8</f>
        <v>0</v>
      </c>
      <c r="T106" s="533">
        <f>BA106/T$8</f>
        <v>0</v>
      </c>
      <c r="U106" s="375">
        <f t="shared" ref="U106" si="795">BB106/U$8</f>
        <v>0</v>
      </c>
      <c r="V106" s="375">
        <f t="shared" ref="V106" si="796">BC106/V$8</f>
        <v>0</v>
      </c>
      <c r="W106" s="386">
        <f t="shared" ref="W106" si="797">BD106/W$8</f>
        <v>0</v>
      </c>
      <c r="X106" s="386">
        <f t="shared" ref="X106" si="798">BE106/X$8</f>
        <v>0</v>
      </c>
      <c r="Y106" s="386">
        <f>BF106/Y$8</f>
        <v>0</v>
      </c>
      <c r="Z106" s="375">
        <f>BG106/Z$8</f>
        <v>0</v>
      </c>
      <c r="AA106" s="375">
        <f t="shared" ref="AA106" si="799">BH106/AA$8</f>
        <v>-1.2211365881706314E-3</v>
      </c>
      <c r="AB106" s="386">
        <f t="shared" ref="AB106" si="800">BI106/AB$8</f>
        <v>0</v>
      </c>
      <c r="AC106" s="386">
        <f t="shared" ref="AC106:AN106" si="801">BJ106/AC$8</f>
        <v>0</v>
      </c>
      <c r="AD106" s="386">
        <f t="shared" si="801"/>
        <v>0</v>
      </c>
      <c r="AE106" s="386">
        <f t="shared" si="801"/>
        <v>0</v>
      </c>
      <c r="AF106" s="386">
        <f t="shared" si="801"/>
        <v>0</v>
      </c>
      <c r="AG106" s="375">
        <f t="shared" si="801"/>
        <v>-1.7441264822233504E-3</v>
      </c>
      <c r="AH106" s="375">
        <f t="shared" si="801"/>
        <v>-4.7528904250596001E-4</v>
      </c>
      <c r="AI106" s="386">
        <f t="shared" si="801"/>
        <v>-1.3762630190968688E-4</v>
      </c>
      <c r="AJ106" s="386">
        <f t="shared" si="801"/>
        <v>-1.3347705470218593E-4</v>
      </c>
      <c r="AK106" s="386">
        <f t="shared" si="801"/>
        <v>-4.7908562635120481E-4</v>
      </c>
      <c r="AL106" s="377">
        <f t="shared" si="801"/>
        <v>0</v>
      </c>
      <c r="AM106" s="377">
        <f t="shared" si="801"/>
        <v>0</v>
      </c>
      <c r="AN106" s="377">
        <f t="shared" si="801"/>
        <v>0</v>
      </c>
      <c r="AO106" s="287"/>
      <c r="AP106" s="295">
        <f>AR106+AU106+AZ106+AW106+AY106</f>
        <v>69.066145579999997</v>
      </c>
      <c r="AQ106" s="182">
        <v>0</v>
      </c>
      <c r="AR106" s="80">
        <v>0</v>
      </c>
      <c r="AS106" s="80">
        <v>0</v>
      </c>
      <c r="AT106" s="80">
        <v>0</v>
      </c>
      <c r="AU106" s="80">
        <v>0</v>
      </c>
      <c r="AV106" s="80">
        <f>-BH106</f>
        <v>48.160197429999997</v>
      </c>
      <c r="AW106" s="80">
        <f>-BH106</f>
        <v>48.160197429999997</v>
      </c>
      <c r="AX106" s="80">
        <f>-BN106</f>
        <v>68.161741370000001</v>
      </c>
      <c r="AY106" s="80">
        <f>-BO106</f>
        <v>20.90594815</v>
      </c>
      <c r="AZ106" s="432">
        <v>0</v>
      </c>
      <c r="BA106" s="657">
        <v>0</v>
      </c>
      <c r="BB106" s="327">
        <v>0</v>
      </c>
      <c r="BC106" s="207">
        <v>0</v>
      </c>
      <c r="BD106" s="132">
        <v>0</v>
      </c>
      <c r="BE106" s="132">
        <f>BC106</f>
        <v>0</v>
      </c>
      <c r="BF106" s="132">
        <f>BC106</f>
        <v>0</v>
      </c>
      <c r="BG106" s="1022">
        <v>0</v>
      </c>
      <c r="BH106" s="1010">
        <f>-12.67375983-8.11950798-10.11589164-5.02694944-3.94193522-8.1975592-0.08459412</f>
        <v>-48.160197429999997</v>
      </c>
      <c r="BI106" s="132">
        <v>0</v>
      </c>
      <c r="BJ106" s="132">
        <v>0</v>
      </c>
      <c r="BK106" s="132">
        <v>0</v>
      </c>
      <c r="BL106" s="132">
        <v>0</v>
      </c>
      <c r="BM106" s="132">
        <v>0</v>
      </c>
      <c r="BN106" s="1041">
        <f>-68.16174137</f>
        <v>-68.161741370000001</v>
      </c>
      <c r="BO106" s="207">
        <f>-5.68832876-2.80198586-1.73888967-2.94819925-1.31023487-6.33371562-0.08459412</f>
        <v>-20.90594815</v>
      </c>
      <c r="BP106" s="389">
        <v>-5.6883287600000001</v>
      </c>
      <c r="BQ106" s="389">
        <v>-5.6883287600000001</v>
      </c>
      <c r="BR106" s="389">
        <v>-20.90594815</v>
      </c>
      <c r="BS106" s="296">
        <v>0</v>
      </c>
      <c r="BT106" s="296">
        <v>0</v>
      </c>
      <c r="BU106" s="296">
        <v>0</v>
      </c>
      <c r="BV106" s="1041">
        <v>-0.59044363</v>
      </c>
      <c r="BW106" s="296">
        <f>-BV106</f>
        <v>0.59044363</v>
      </c>
      <c r="BX106" s="439" t="s">
        <v>1849</v>
      </c>
    </row>
    <row r="107" spans="1:76" ht="18.75" collapsed="1" x14ac:dyDescent="0.25">
      <c r="A107" s="308" t="s">
        <v>52</v>
      </c>
      <c r="B107" s="706"/>
      <c r="C107" s="12"/>
      <c r="D107" s="13"/>
      <c r="E107" s="445"/>
      <c r="F107" s="553"/>
      <c r="G107" s="398" t="s">
        <v>1730</v>
      </c>
      <c r="H107" s="402" t="s">
        <v>1730</v>
      </c>
      <c r="I107" s="333"/>
      <c r="J107" s="294">
        <f t="shared" ref="J107:AN107" si="802">J108+J263+J281+J316+J346+J351+J386+J390</f>
        <v>2.0785372100446901E-2</v>
      </c>
      <c r="K107" s="573">
        <f t="shared" si="802"/>
        <v>2.0856873025705217E-2</v>
      </c>
      <c r="L107" s="573">
        <f t="shared" si="802"/>
        <v>6.5763013510039173E-2</v>
      </c>
      <c r="M107" s="670">
        <f t="shared" si="802"/>
        <v>6.850553048864777E-2</v>
      </c>
      <c r="N107" s="573">
        <f t="shared" si="802"/>
        <v>4.4576322824875225E-2</v>
      </c>
      <c r="O107" s="573">
        <f t="shared" si="802"/>
        <v>2.4784337992854268E-2</v>
      </c>
      <c r="P107" s="573">
        <f t="shared" si="802"/>
        <v>2.5479355359463159E-2</v>
      </c>
      <c r="Q107" s="573">
        <f t="shared" ref="Q107" si="803">Q108+Q263+Q281+Q316+Q346+Q351+Q386+Q390</f>
        <v>1.5071068312668216E-2</v>
      </c>
      <c r="R107" s="573">
        <f t="shared" si="802"/>
        <v>1.4414328606674445E-3</v>
      </c>
      <c r="S107" s="574">
        <f t="shared" si="802"/>
        <v>0</v>
      </c>
      <c r="T107" s="294">
        <f t="shared" si="802"/>
        <v>-2.345020312832518E-2</v>
      </c>
      <c r="U107" s="573">
        <f t="shared" si="802"/>
        <v>-2.0544539631798923E-2</v>
      </c>
      <c r="V107" s="573">
        <f t="shared" si="802"/>
        <v>-6.3504961998041135E-2</v>
      </c>
      <c r="W107" s="575">
        <f t="shared" si="802"/>
        <v>-4.8688800800347334E-2</v>
      </c>
      <c r="X107" s="575">
        <f t="shared" si="802"/>
        <v>-5.4153487438212453E-2</v>
      </c>
      <c r="Y107" s="575">
        <f t="shared" si="802"/>
        <v>-5.1155708303842071E-2</v>
      </c>
      <c r="Z107" s="573">
        <f t="shared" si="802"/>
        <v>-4.3356923504668195E-2</v>
      </c>
      <c r="AA107" s="573">
        <f t="shared" si="802"/>
        <v>-2.529263593844034E-2</v>
      </c>
      <c r="AB107" s="575">
        <f t="shared" si="802"/>
        <v>-7.1084178641907299E-3</v>
      </c>
      <c r="AC107" s="575">
        <f t="shared" si="802"/>
        <v>-7.7332736042041283E-3</v>
      </c>
      <c r="AD107" s="575">
        <f t="shared" si="802"/>
        <v>-1.515217376131971E-2</v>
      </c>
      <c r="AE107" s="575">
        <f t="shared" si="802"/>
        <v>-1.7989527162074977E-2</v>
      </c>
      <c r="AF107" s="575">
        <f t="shared" si="802"/>
        <v>-1.7108336711456989E-2</v>
      </c>
      <c r="AG107" s="573">
        <f t="shared" ref="AG107" si="804">AG108+AG263+AG281+AG316+AG346+AG351+AG386+AG390</f>
        <v>-1.5966257239085048E-2</v>
      </c>
      <c r="AH107" s="573">
        <f t="shared" si="802"/>
        <v>-2.2114315272600813E-3</v>
      </c>
      <c r="AI107" s="575">
        <f t="shared" si="802"/>
        <v>-2.2547891386744466E-3</v>
      </c>
      <c r="AJ107" s="575">
        <f t="shared" si="802"/>
        <v>-2.1868102901016805E-3</v>
      </c>
      <c r="AK107" s="575">
        <f t="shared" ref="AK107:AM107" si="805">AK108+AK263+AK281+AK316+AK346+AK351+AK386+AK390</f>
        <v>-2.2290963258571484E-3</v>
      </c>
      <c r="AL107" s="574">
        <f t="shared" si="805"/>
        <v>0</v>
      </c>
      <c r="AM107" s="574">
        <f t="shared" si="805"/>
        <v>0</v>
      </c>
      <c r="AN107" s="574">
        <f t="shared" si="802"/>
        <v>0</v>
      </c>
      <c r="AO107" s="576"/>
      <c r="AP107" s="577">
        <f t="shared" ref="AP107:BW107" ca="1" si="806">AP108+AP263+AP281+AP316+AP346+AP351+AP386+AP390</f>
        <v>3094.6832073599999</v>
      </c>
      <c r="AQ107" s="584">
        <f t="shared" si="806"/>
        <v>661.15502700000002</v>
      </c>
      <c r="AR107" s="580">
        <f t="shared" si="806"/>
        <v>631.83905000000004</v>
      </c>
      <c r="AS107" s="580">
        <f t="shared" si="806"/>
        <v>2148.6091774000001</v>
      </c>
      <c r="AT107" s="581">
        <f t="shared" si="806"/>
        <v>2148.6091774000001</v>
      </c>
      <c r="AU107" s="580">
        <f t="shared" si="806"/>
        <v>1497.2107644100001</v>
      </c>
      <c r="AV107" s="580">
        <f t="shared" si="806"/>
        <v>977.46527494999998</v>
      </c>
      <c r="AW107" s="580">
        <f t="shared" si="806"/>
        <v>977.46527494999998</v>
      </c>
      <c r="AX107" s="580">
        <f t="shared" ref="AX107" si="807">AX108+AX263+AX281+AX316+AX346+AX351+AX386+AX390</f>
        <v>594.38529026999981</v>
      </c>
      <c r="AY107" s="580">
        <f t="shared" si="806"/>
        <v>63.402515000000001</v>
      </c>
      <c r="AZ107" s="582">
        <f t="shared" si="806"/>
        <v>0</v>
      </c>
      <c r="BA107" s="658">
        <f t="shared" si="806"/>
        <v>-661.15502700000002</v>
      </c>
      <c r="BB107" s="324">
        <f t="shared" si="806"/>
        <v>-622.37720810999997</v>
      </c>
      <c r="BC107" s="579">
        <f t="shared" si="806"/>
        <v>-2074.8341184000001</v>
      </c>
      <c r="BD107" s="583">
        <f t="shared" si="806"/>
        <v>-1491.2843250000001</v>
      </c>
      <c r="BE107" s="583">
        <f t="shared" si="806"/>
        <v>-1698.4713390000002</v>
      </c>
      <c r="BF107" s="600">
        <f t="shared" si="806"/>
        <v>-1604.4489189999999</v>
      </c>
      <c r="BG107" s="579">
        <f t="shared" si="806"/>
        <v>-1456.25409341</v>
      </c>
      <c r="BH107" s="580">
        <f t="shared" si="806"/>
        <v>-997.51195084999983</v>
      </c>
      <c r="BI107" s="583">
        <f t="shared" si="806"/>
        <v>-241.84095399999998</v>
      </c>
      <c r="BJ107" s="583">
        <f t="shared" si="806"/>
        <v>-263.09965195000001</v>
      </c>
      <c r="BK107" s="583">
        <f t="shared" si="806"/>
        <v>-515.5037629499999</v>
      </c>
      <c r="BL107" s="583">
        <f t="shared" si="806"/>
        <v>-690.13277084999982</v>
      </c>
      <c r="BM107" s="583">
        <f t="shared" si="806"/>
        <v>-674.73277084999984</v>
      </c>
      <c r="BN107" s="577">
        <f t="shared" ref="BN107" si="808">BN108+BN263+BN281+BN316+BN346+BN351+BN386+BN390</f>
        <v>-623.97303616999989</v>
      </c>
      <c r="BO107" s="580">
        <f t="shared" si="806"/>
        <v>-97.271488949999991</v>
      </c>
      <c r="BP107" s="732">
        <f t="shared" si="806"/>
        <v>-93.194263939999999</v>
      </c>
      <c r="BQ107" s="732">
        <f t="shared" si="806"/>
        <v>-93.194263939999999</v>
      </c>
      <c r="BR107" s="732">
        <f t="shared" ref="BR107:BT107" si="809">BR108+BR263+BR281+BR316+BR346+BR351+BR386+BR390</f>
        <v>-97.271488949999991</v>
      </c>
      <c r="BS107" s="582">
        <f t="shared" si="809"/>
        <v>0</v>
      </c>
      <c r="BT107" s="582">
        <f t="shared" si="809"/>
        <v>0</v>
      </c>
      <c r="BU107" s="582">
        <f t="shared" si="806"/>
        <v>0</v>
      </c>
      <c r="BV107" s="577">
        <f t="shared" si="806"/>
        <v>0</v>
      </c>
      <c r="BW107" s="1023">
        <f t="shared" si="806"/>
        <v>0</v>
      </c>
      <c r="BX107" s="447"/>
    </row>
    <row r="108" spans="1:76" ht="18.75" x14ac:dyDescent="0.25">
      <c r="A108" s="467">
        <v>1</v>
      </c>
      <c r="B108" s="708" t="s">
        <v>1724</v>
      </c>
      <c r="C108" s="689"/>
      <c r="D108" s="348"/>
      <c r="E108" s="460"/>
      <c r="F108" s="540"/>
      <c r="G108" s="400" t="s">
        <v>1730</v>
      </c>
      <c r="H108" s="401" t="s">
        <v>1730</v>
      </c>
      <c r="I108" s="349"/>
      <c r="J108" s="379">
        <f t="shared" ref="J108:AN108" si="810">SUM(J109:J262)</f>
        <v>5.1920373483719945E-3</v>
      </c>
      <c r="K108" s="380">
        <f t="shared" si="810"/>
        <v>4.3939254398017834E-3</v>
      </c>
      <c r="L108" s="380">
        <f t="shared" si="810"/>
        <v>2.5180534953476989E-2</v>
      </c>
      <c r="M108" s="380">
        <f t="shared" si="810"/>
        <v>2.6230639578469807E-2</v>
      </c>
      <c r="N108" s="380">
        <f t="shared" si="810"/>
        <v>1.7221927159441885E-2</v>
      </c>
      <c r="O108" s="380">
        <f t="shared" si="810"/>
        <v>1.4536108511515898E-2</v>
      </c>
      <c r="P108" s="380">
        <f t="shared" si="810"/>
        <v>1.4943738840852419E-2</v>
      </c>
      <c r="Q108" s="380">
        <f t="shared" ref="Q108" si="811">SUM(Q109:Q262)</f>
        <v>9.5949310995270629E-3</v>
      </c>
      <c r="R108" s="380">
        <f t="shared" si="810"/>
        <v>1.4414328606674445E-3</v>
      </c>
      <c r="S108" s="381">
        <f t="shared" si="810"/>
        <v>0</v>
      </c>
      <c r="T108" s="379">
        <f t="shared" si="810"/>
        <v>-5.1920373483719945E-3</v>
      </c>
      <c r="U108" s="380">
        <f t="shared" si="810"/>
        <v>-4.081592045895489E-3</v>
      </c>
      <c r="V108" s="380">
        <f t="shared" si="810"/>
        <v>-2.2922483441478948E-2</v>
      </c>
      <c r="W108" s="385">
        <f t="shared" si="810"/>
        <v>-2.1839653807392608E-2</v>
      </c>
      <c r="X108" s="385">
        <f t="shared" si="810"/>
        <v>-1.7435142439201773E-2</v>
      </c>
      <c r="Y108" s="385">
        <f t="shared" si="810"/>
        <v>-1.4787509689636796E-2</v>
      </c>
      <c r="Z108" s="380">
        <f t="shared" si="810"/>
        <v>-1.6022973224715006E-2</v>
      </c>
      <c r="AA108" s="380">
        <f t="shared" si="810"/>
        <v>-1.5368478069594353E-2</v>
      </c>
      <c r="AB108" s="385">
        <f t="shared" si="810"/>
        <v>-4.2307119872379397E-3</v>
      </c>
      <c r="AC108" s="385">
        <f t="shared" si="810"/>
        <v>-5.0064325742960438E-3</v>
      </c>
      <c r="AD108" s="385">
        <f t="shared" si="810"/>
        <v>-9.5970886262985566E-3</v>
      </c>
      <c r="AE108" s="385">
        <f t="shared" si="810"/>
        <v>-1.1789493334519398E-2</v>
      </c>
      <c r="AF108" s="385">
        <f t="shared" si="810"/>
        <v>-1.1077425341001305E-2</v>
      </c>
      <c r="AG108" s="380">
        <f t="shared" ref="AG108" si="812">SUM(AG109:AG262)</f>
        <v>-1.0439942247244951E-2</v>
      </c>
      <c r="AH108" s="380">
        <f t="shared" si="810"/>
        <v>-1.9052479570888237E-3</v>
      </c>
      <c r="AI108" s="385">
        <f t="shared" si="810"/>
        <v>-1.9289444087981235E-3</v>
      </c>
      <c r="AJ108" s="385">
        <f t="shared" si="810"/>
        <v>-1.8707893389417647E-3</v>
      </c>
      <c r="AK108" s="385">
        <f t="shared" ref="AK108:AM108" si="813">SUM(AK109:AK262)</f>
        <v>-1.9204669774494254E-3</v>
      </c>
      <c r="AL108" s="381">
        <f t="shared" si="813"/>
        <v>0</v>
      </c>
      <c r="AM108" s="381">
        <f t="shared" si="813"/>
        <v>0</v>
      </c>
      <c r="AN108" s="381">
        <f t="shared" si="810"/>
        <v>0</v>
      </c>
      <c r="AO108" s="403"/>
      <c r="AP108" s="599">
        <f t="shared" ref="AP108:BW108" si="814">SUM(AP109:AP262)</f>
        <v>1348.2422310000002</v>
      </c>
      <c r="AQ108" s="382">
        <f t="shared" si="814"/>
        <v>146.38430100000002</v>
      </c>
      <c r="AR108" s="382">
        <f t="shared" si="814"/>
        <v>133.10977500000001</v>
      </c>
      <c r="AS108" s="382">
        <f t="shared" si="814"/>
        <v>822.69843800000024</v>
      </c>
      <c r="AT108" s="382">
        <f t="shared" si="814"/>
        <v>822.69843800000024</v>
      </c>
      <c r="AU108" s="382">
        <f t="shared" si="814"/>
        <v>578.44283900000016</v>
      </c>
      <c r="AV108" s="382">
        <f t="shared" si="814"/>
        <v>573.287102</v>
      </c>
      <c r="AW108" s="382">
        <f t="shared" si="814"/>
        <v>573.287102</v>
      </c>
      <c r="AX108" s="382">
        <f t="shared" ref="AX108" si="815">SUM(AX109:AX262)</f>
        <v>378.4128495999999</v>
      </c>
      <c r="AY108" s="382">
        <f t="shared" si="814"/>
        <v>63.402515000000001</v>
      </c>
      <c r="AZ108" s="383">
        <f t="shared" si="814"/>
        <v>0</v>
      </c>
      <c r="BA108" s="656">
        <f t="shared" si="814"/>
        <v>-146.38430100000002</v>
      </c>
      <c r="BB108" s="350">
        <f t="shared" si="814"/>
        <v>-123.64793311000001</v>
      </c>
      <c r="BC108" s="382">
        <f t="shared" si="814"/>
        <v>-748.92337900000018</v>
      </c>
      <c r="BD108" s="387">
        <f t="shared" si="814"/>
        <v>-668.92453400000011</v>
      </c>
      <c r="BE108" s="387">
        <f t="shared" si="814"/>
        <v>-546.83624500000008</v>
      </c>
      <c r="BF108" s="651">
        <f t="shared" si="814"/>
        <v>-463.79582499999992</v>
      </c>
      <c r="BG108" s="360">
        <f t="shared" si="814"/>
        <v>-538.17287899999985</v>
      </c>
      <c r="BH108" s="382">
        <f t="shared" si="814"/>
        <v>-606.11478289999991</v>
      </c>
      <c r="BI108" s="387">
        <f t="shared" si="814"/>
        <v>-143.936308</v>
      </c>
      <c r="BJ108" s="515">
        <f t="shared" si="814"/>
        <v>-170.32769500000001</v>
      </c>
      <c r="BK108" s="515">
        <f t="shared" si="814"/>
        <v>-326.50993699999998</v>
      </c>
      <c r="BL108" s="515">
        <f t="shared" si="814"/>
        <v>-452.28068689999986</v>
      </c>
      <c r="BM108" s="515">
        <f t="shared" si="814"/>
        <v>-436.88068689999989</v>
      </c>
      <c r="BN108" s="350">
        <f t="shared" ref="BN108" si="816">SUM(BN109:BN262)</f>
        <v>-408.00059549999992</v>
      </c>
      <c r="BO108" s="382">
        <f t="shared" si="814"/>
        <v>-83.803772949999995</v>
      </c>
      <c r="BP108" s="387">
        <f t="shared" si="814"/>
        <v>-79.726547940000003</v>
      </c>
      <c r="BQ108" s="387">
        <f t="shared" si="814"/>
        <v>-79.726547940000003</v>
      </c>
      <c r="BR108" s="387">
        <f t="shared" ref="BR108:BT108" si="817">SUM(BR109:BR262)</f>
        <v>-83.803772949999995</v>
      </c>
      <c r="BS108" s="383">
        <f t="shared" si="817"/>
        <v>0</v>
      </c>
      <c r="BT108" s="383">
        <f t="shared" si="817"/>
        <v>0</v>
      </c>
      <c r="BU108" s="383">
        <f t="shared" si="814"/>
        <v>0</v>
      </c>
      <c r="BV108" s="350">
        <f t="shared" si="814"/>
        <v>0</v>
      </c>
      <c r="BW108" s="1024">
        <f t="shared" si="814"/>
        <v>0</v>
      </c>
      <c r="BX108" s="351"/>
    </row>
    <row r="109" spans="1:76" ht="43.5" hidden="1" customHeight="1" outlineLevel="1" x14ac:dyDescent="0.25">
      <c r="A109" s="678">
        <v>1</v>
      </c>
      <c r="B109" s="702" t="s">
        <v>69</v>
      </c>
      <c r="C109" s="697" t="s">
        <v>1734</v>
      </c>
      <c r="D109" s="86">
        <v>43893</v>
      </c>
      <c r="E109" s="463" t="s">
        <v>63</v>
      </c>
      <c r="F109" s="542" t="s">
        <v>344</v>
      </c>
      <c r="G109" s="95" t="s">
        <v>24</v>
      </c>
      <c r="H109" s="311" t="s">
        <v>171</v>
      </c>
      <c r="I109" s="335"/>
      <c r="J109" s="294">
        <f t="shared" ref="J109:J112" si="818">AQ109/T$8</f>
        <v>3.1418209548130804E-5</v>
      </c>
      <c r="K109" s="52">
        <f t="shared" ref="K109:K112" si="819">AR109/U$8</f>
        <v>2.9111034858501068E-5</v>
      </c>
      <c r="L109" s="52">
        <f t="shared" ref="L109:L112" si="820">AS109/V$8</f>
        <v>0</v>
      </c>
      <c r="M109" s="52">
        <f t="shared" ref="M109:O113" si="821">AT109/Y$8</f>
        <v>0</v>
      </c>
      <c r="N109" s="52">
        <f t="shared" si="821"/>
        <v>0</v>
      </c>
      <c r="O109" s="52">
        <f t="shared" si="821"/>
        <v>0</v>
      </c>
      <c r="P109" s="52">
        <f t="shared" ref="P109:Q113" si="822">AW109/AE$8</f>
        <v>0</v>
      </c>
      <c r="Q109" s="52">
        <f t="shared" si="822"/>
        <v>0</v>
      </c>
      <c r="R109" s="52">
        <f>AY109/AH$8</f>
        <v>0</v>
      </c>
      <c r="S109" s="527">
        <f t="shared" ref="S109:S112" si="823">AZ109/AN$8</f>
        <v>0</v>
      </c>
      <c r="T109" s="533">
        <f>BA109/T$8</f>
        <v>-3.1418209548130804E-5</v>
      </c>
      <c r="U109" s="375">
        <f t="shared" ref="U109:U113" si="824">BB109/U$8</f>
        <v>-1.1223657982946813E-5</v>
      </c>
      <c r="V109" s="375">
        <f t="shared" ref="V109:V113" si="825">BC109/V$8</f>
        <v>-1.6585486043095004E-5</v>
      </c>
      <c r="W109" s="386">
        <f t="shared" ref="W109:W113" si="826">BD109/W$8</f>
        <v>0</v>
      </c>
      <c r="X109" s="386">
        <f t="shared" ref="X109:X113" si="827">BE109/X$8</f>
        <v>-1.7277151078559355E-5</v>
      </c>
      <c r="Y109" s="386">
        <f t="shared" ref="Y109:Z113" si="828">BF109/Y$8</f>
        <v>-1.7277151078559355E-5</v>
      </c>
      <c r="Z109" s="375">
        <f t="shared" si="828"/>
        <v>-1.3562960283621514E-5</v>
      </c>
      <c r="AA109" s="375">
        <f t="shared" ref="AA109:AA113" si="829">BH109/AA$8</f>
        <v>0</v>
      </c>
      <c r="AB109" s="386">
        <f t="shared" ref="AB109:AB113" si="830">BI109/AB$8</f>
        <v>0</v>
      </c>
      <c r="AC109" s="386">
        <f t="shared" ref="AC109:AF113" si="831">BJ109/AC$8</f>
        <v>0</v>
      </c>
      <c r="AD109" s="386">
        <f t="shared" si="831"/>
        <v>0</v>
      </c>
      <c r="AE109" s="386">
        <f t="shared" si="831"/>
        <v>0</v>
      </c>
      <c r="AF109" s="386">
        <f t="shared" si="831"/>
        <v>0</v>
      </c>
      <c r="AG109" s="375">
        <f>BN109/AG$8</f>
        <v>0</v>
      </c>
      <c r="AH109" s="375">
        <f t="shared" ref="AH109:AK113" si="832">BO109/AH$8</f>
        <v>-1.9627717385164159E-6</v>
      </c>
      <c r="AI109" s="386">
        <f t="shared" si="832"/>
        <v>-2.0888084445159434E-6</v>
      </c>
      <c r="AJ109" s="386">
        <f t="shared" si="832"/>
        <v>-2.0258336897986393E-6</v>
      </c>
      <c r="AK109" s="386">
        <f t="shared" si="832"/>
        <v>-1.9784502558141527E-6</v>
      </c>
      <c r="AL109" s="377">
        <f t="shared" ref="AL109:AN113" si="833">BS109/AL$8</f>
        <v>0</v>
      </c>
      <c r="AM109" s="377">
        <f t="shared" si="833"/>
        <v>0</v>
      </c>
      <c r="AN109" s="377">
        <f t="shared" si="833"/>
        <v>0</v>
      </c>
      <c r="AO109" s="283"/>
      <c r="AP109" s="295">
        <f>AR109+AU109+AZ109+AW109+AY109</f>
        <v>0.88189099999999998</v>
      </c>
      <c r="AQ109" s="182">
        <f>-BA109</f>
        <v>0.88580499999999995</v>
      </c>
      <c r="AR109" s="80">
        <v>0.88189099999999998</v>
      </c>
      <c r="AS109" s="80">
        <v>0</v>
      </c>
      <c r="AT109" s="80">
        <v>0</v>
      </c>
      <c r="AU109" s="80">
        <v>0</v>
      </c>
      <c r="AV109" s="80">
        <v>0</v>
      </c>
      <c r="AW109" s="80">
        <v>0</v>
      </c>
      <c r="AX109" s="80">
        <v>0</v>
      </c>
      <c r="AY109" s="80">
        <v>0</v>
      </c>
      <c r="AZ109" s="432">
        <v>0</v>
      </c>
      <c r="BA109" s="1008">
        <v>-0.88580499999999995</v>
      </c>
      <c r="BB109" s="409">
        <v>-0.34000999999999998</v>
      </c>
      <c r="BC109" s="207">
        <v>-0.54188099999999995</v>
      </c>
      <c r="BD109" s="389">
        <v>0</v>
      </c>
      <c r="BE109" s="389">
        <v>-0.54188099999999995</v>
      </c>
      <c r="BF109" s="516">
        <v>-0.54188099999999995</v>
      </c>
      <c r="BG109" s="1025">
        <f>-0.455547</f>
        <v>-0.45554699999999998</v>
      </c>
      <c r="BH109" s="207">
        <v>0</v>
      </c>
      <c r="BI109" s="389">
        <v>0</v>
      </c>
      <c r="BJ109" s="516">
        <v>0</v>
      </c>
      <c r="BK109" s="516">
        <v>0</v>
      </c>
      <c r="BL109" s="516">
        <v>0</v>
      </c>
      <c r="BM109" s="516">
        <v>0</v>
      </c>
      <c r="BN109" s="1026">
        <v>0</v>
      </c>
      <c r="BO109" s="207">
        <v>-8.6333999999999994E-2</v>
      </c>
      <c r="BP109" s="389">
        <v>-8.6333999999999994E-2</v>
      </c>
      <c r="BQ109" s="389">
        <v>-8.6333999999999994E-2</v>
      </c>
      <c r="BR109" s="389">
        <v>-8.6333999999999994E-2</v>
      </c>
      <c r="BS109" s="296">
        <v>0</v>
      </c>
      <c r="BT109" s="296">
        <v>0</v>
      </c>
      <c r="BU109" s="296">
        <v>0</v>
      </c>
      <c r="BV109" s="1026">
        <v>0</v>
      </c>
      <c r="BW109" s="1011">
        <v>0</v>
      </c>
      <c r="BX109" s="439" t="s">
        <v>582</v>
      </c>
    </row>
    <row r="110" spans="1:76" ht="57.95" hidden="1" customHeight="1" outlineLevel="1" x14ac:dyDescent="0.25">
      <c r="A110" s="678">
        <v>2</v>
      </c>
      <c r="B110" s="702" t="s">
        <v>69</v>
      </c>
      <c r="C110" s="697" t="s">
        <v>1734</v>
      </c>
      <c r="D110" s="86">
        <v>43930</v>
      </c>
      <c r="E110" s="463" t="s">
        <v>66</v>
      </c>
      <c r="F110" s="542" t="s">
        <v>45</v>
      </c>
      <c r="G110" s="95" t="s">
        <v>24</v>
      </c>
      <c r="H110" s="311" t="s">
        <v>171</v>
      </c>
      <c r="I110" s="335"/>
      <c r="J110" s="294">
        <f t="shared" si="818"/>
        <v>5.0041984110094345E-4</v>
      </c>
      <c r="K110" s="52">
        <f t="shared" si="819"/>
        <v>4.6572971684699091E-4</v>
      </c>
      <c r="L110" s="52">
        <f t="shared" si="820"/>
        <v>0</v>
      </c>
      <c r="M110" s="52">
        <f t="shared" si="821"/>
        <v>0</v>
      </c>
      <c r="N110" s="52">
        <f t="shared" si="821"/>
        <v>0</v>
      </c>
      <c r="O110" s="52">
        <f t="shared" si="821"/>
        <v>0</v>
      </c>
      <c r="P110" s="52">
        <f t="shared" si="822"/>
        <v>0</v>
      </c>
      <c r="Q110" s="52">
        <f t="shared" si="822"/>
        <v>0</v>
      </c>
      <c r="R110" s="52">
        <f>AY110/AH$8</f>
        <v>0</v>
      </c>
      <c r="S110" s="527">
        <f t="shared" si="823"/>
        <v>0</v>
      </c>
      <c r="T110" s="533">
        <f>BA110/T$8</f>
        <v>-5.0041984110094345E-4</v>
      </c>
      <c r="U110" s="375">
        <f t="shared" si="824"/>
        <v>-2.8350967987272744E-4</v>
      </c>
      <c r="V110" s="375">
        <f t="shared" si="825"/>
        <v>-1.5966451395690501E-4</v>
      </c>
      <c r="W110" s="386">
        <f t="shared" si="826"/>
        <v>0</v>
      </c>
      <c r="X110" s="386">
        <f t="shared" si="827"/>
        <v>-1.6632300810181299E-4</v>
      </c>
      <c r="Y110" s="386">
        <f t="shared" si="828"/>
        <v>-1.6632300810181299E-4</v>
      </c>
      <c r="Z110" s="375">
        <f t="shared" si="828"/>
        <v>-1.2859122713191088E-4</v>
      </c>
      <c r="AA110" s="375">
        <f t="shared" si="829"/>
        <v>-2.5844428411659696E-5</v>
      </c>
      <c r="AB110" s="386">
        <f t="shared" si="830"/>
        <v>-8.924374145411211E-6</v>
      </c>
      <c r="AC110" s="386">
        <f t="shared" si="831"/>
        <v>-8.924374145411216E-6</v>
      </c>
      <c r="AD110" s="386">
        <f t="shared" si="831"/>
        <v>-3.5304277763184767E-5</v>
      </c>
      <c r="AE110" s="386">
        <f t="shared" si="831"/>
        <v>-2.6569173473696968E-5</v>
      </c>
      <c r="AF110" s="386">
        <f t="shared" si="831"/>
        <v>-2.5844428411659696E-5</v>
      </c>
      <c r="AG110" s="375">
        <f>BN110/AG$8</f>
        <v>-2.4627071349966747E-5</v>
      </c>
      <c r="AH110" s="375">
        <f t="shared" si="832"/>
        <v>-5.4260746731497787E-6</v>
      </c>
      <c r="AI110" s="386">
        <f t="shared" si="832"/>
        <v>-4.399504699681871E-6</v>
      </c>
      <c r="AJ110" s="386">
        <f t="shared" si="832"/>
        <v>-4.2668655723040143E-6</v>
      </c>
      <c r="AK110" s="386">
        <f t="shared" si="832"/>
        <v>-5.4694178719295278E-6</v>
      </c>
      <c r="AL110" s="377">
        <f t="shared" si="833"/>
        <v>0</v>
      </c>
      <c r="AM110" s="377">
        <f t="shared" si="833"/>
        <v>0</v>
      </c>
      <c r="AN110" s="377">
        <f t="shared" si="833"/>
        <v>0</v>
      </c>
      <c r="AO110" s="283"/>
      <c r="AP110" s="295">
        <f>AR110+AU110+AZ110+AW110+AY110</f>
        <v>14.108836999999999</v>
      </c>
      <c r="AQ110" s="182">
        <f>-BA110</f>
        <v>14.108836999999999</v>
      </c>
      <c r="AR110" s="80">
        <v>14.108836999999999</v>
      </c>
      <c r="AS110" s="80">
        <v>0</v>
      </c>
      <c r="AT110" s="80">
        <v>0</v>
      </c>
      <c r="AU110" s="80">
        <v>0</v>
      </c>
      <c r="AV110" s="80">
        <v>0</v>
      </c>
      <c r="AW110" s="80">
        <v>0</v>
      </c>
      <c r="AX110" s="80">
        <v>0</v>
      </c>
      <c r="AY110" s="80">
        <v>0</v>
      </c>
      <c r="AZ110" s="432">
        <v>0</v>
      </c>
      <c r="BA110" s="1008">
        <v>-14.108836999999999</v>
      </c>
      <c r="BB110" s="409">
        <v>-8.5886549999999993</v>
      </c>
      <c r="BC110" s="207">
        <v>-5.2165590000000002</v>
      </c>
      <c r="BD110" s="389">
        <v>0</v>
      </c>
      <c r="BE110" s="389">
        <v>-5.2165590000000002</v>
      </c>
      <c r="BF110" s="516">
        <v>-5.2165590000000002</v>
      </c>
      <c r="BG110" s="207">
        <v>-4.3190679999999997</v>
      </c>
      <c r="BH110" s="207">
        <v>-1.019274</v>
      </c>
      <c r="BI110" s="389">
        <v>-0.30362299999999998</v>
      </c>
      <c r="BJ110" s="516">
        <v>-0.30362299999999998</v>
      </c>
      <c r="BK110" s="516">
        <v>-1.201114</v>
      </c>
      <c r="BL110" s="516">
        <v>-1.019274</v>
      </c>
      <c r="BM110" s="516">
        <v>-1.019274</v>
      </c>
      <c r="BN110" s="1054">
        <v>-0.96244399999999997</v>
      </c>
      <c r="BO110" s="207">
        <v>-0.23866999999999999</v>
      </c>
      <c r="BP110" s="389">
        <v>-0.181839</v>
      </c>
      <c r="BQ110" s="389">
        <v>-0.181839</v>
      </c>
      <c r="BR110" s="389">
        <v>-0.23866999999999999</v>
      </c>
      <c r="BS110" s="296">
        <v>0</v>
      </c>
      <c r="BT110" s="296">
        <v>0</v>
      </c>
      <c r="BU110" s="296">
        <v>0</v>
      </c>
      <c r="BV110" s="1054">
        <v>0</v>
      </c>
      <c r="BW110" s="1011">
        <v>0</v>
      </c>
      <c r="BX110" s="439" t="s">
        <v>581</v>
      </c>
    </row>
    <row r="111" spans="1:76" ht="57.95" hidden="1" customHeight="1" outlineLevel="1" x14ac:dyDescent="0.25">
      <c r="A111" s="678">
        <v>3</v>
      </c>
      <c r="B111" s="702" t="s">
        <v>69</v>
      </c>
      <c r="C111" s="697" t="s">
        <v>1734</v>
      </c>
      <c r="D111" s="86">
        <v>44090</v>
      </c>
      <c r="E111" s="471" t="s">
        <v>591</v>
      </c>
      <c r="F111" s="542" t="s">
        <v>1364</v>
      </c>
      <c r="G111" s="95" t="s">
        <v>24</v>
      </c>
      <c r="H111" s="311" t="s">
        <v>171</v>
      </c>
      <c r="I111" s="335"/>
      <c r="J111" s="294">
        <f t="shared" si="818"/>
        <v>0</v>
      </c>
      <c r="K111" s="52">
        <f t="shared" si="819"/>
        <v>2.0534893904065966E-4</v>
      </c>
      <c r="L111" s="52">
        <f t="shared" si="820"/>
        <v>0</v>
      </c>
      <c r="M111" s="52">
        <f t="shared" si="821"/>
        <v>0</v>
      </c>
      <c r="N111" s="52">
        <f t="shared" si="821"/>
        <v>0</v>
      </c>
      <c r="O111" s="52">
        <f t="shared" si="821"/>
        <v>0</v>
      </c>
      <c r="P111" s="52">
        <f t="shared" si="822"/>
        <v>0</v>
      </c>
      <c r="Q111" s="52">
        <f t="shared" si="822"/>
        <v>0</v>
      </c>
      <c r="R111" s="52">
        <f>AY111/AH$8</f>
        <v>0</v>
      </c>
      <c r="S111" s="527">
        <f t="shared" si="823"/>
        <v>0</v>
      </c>
      <c r="T111" s="533">
        <f>BA111/T$8</f>
        <v>0</v>
      </c>
      <c r="U111" s="375">
        <f t="shared" si="824"/>
        <v>-9.1363702338198815E-5</v>
      </c>
      <c r="V111" s="375">
        <f t="shared" si="825"/>
        <v>-1.0476117164544564E-4</v>
      </c>
      <c r="W111" s="386">
        <f t="shared" si="826"/>
        <v>0</v>
      </c>
      <c r="X111" s="386">
        <f t="shared" si="827"/>
        <v>-1.0913003001433265E-4</v>
      </c>
      <c r="Y111" s="386">
        <f t="shared" si="828"/>
        <v>-1.0913003001433265E-4</v>
      </c>
      <c r="Z111" s="375">
        <f t="shared" si="828"/>
        <v>-1.0280806485040199E-4</v>
      </c>
      <c r="AA111" s="375">
        <f t="shared" si="829"/>
        <v>0</v>
      </c>
      <c r="AB111" s="386">
        <f t="shared" si="830"/>
        <v>0</v>
      </c>
      <c r="AC111" s="386">
        <f t="shared" si="831"/>
        <v>0</v>
      </c>
      <c r="AD111" s="386">
        <f t="shared" si="831"/>
        <v>0</v>
      </c>
      <c r="AE111" s="386">
        <f t="shared" si="831"/>
        <v>0</v>
      </c>
      <c r="AF111" s="386">
        <f t="shared" si="831"/>
        <v>0</v>
      </c>
      <c r="AG111" s="375">
        <f>BN111/AG$8</f>
        <v>0</v>
      </c>
      <c r="AH111" s="375">
        <f t="shared" si="832"/>
        <v>0</v>
      </c>
      <c r="AI111" s="386">
        <f t="shared" si="832"/>
        <v>0</v>
      </c>
      <c r="AJ111" s="386">
        <f t="shared" si="832"/>
        <v>0</v>
      </c>
      <c r="AK111" s="386">
        <f t="shared" si="832"/>
        <v>0</v>
      </c>
      <c r="AL111" s="377">
        <f t="shared" si="833"/>
        <v>0</v>
      </c>
      <c r="AM111" s="377">
        <f t="shared" si="833"/>
        <v>0</v>
      </c>
      <c r="AN111" s="377">
        <f t="shared" si="833"/>
        <v>0</v>
      </c>
      <c r="AO111" s="283"/>
      <c r="AP111" s="295">
        <f>AR111+AU111+AZ111+AW111+AY111</f>
        <v>6.2208500000000004</v>
      </c>
      <c r="AQ111" s="182">
        <f>-BA111</f>
        <v>0</v>
      </c>
      <c r="AR111" s="80">
        <v>6.2208500000000004</v>
      </c>
      <c r="AS111" s="80">
        <v>0</v>
      </c>
      <c r="AT111" s="80">
        <v>0</v>
      </c>
      <c r="AU111" s="80">
        <v>0</v>
      </c>
      <c r="AV111" s="80">
        <v>0</v>
      </c>
      <c r="AW111" s="80">
        <v>0</v>
      </c>
      <c r="AX111" s="80">
        <v>0</v>
      </c>
      <c r="AY111" s="80">
        <v>0</v>
      </c>
      <c r="AZ111" s="432">
        <v>0</v>
      </c>
      <c r="BA111" s="1008">
        <v>0</v>
      </c>
      <c r="BB111" s="409">
        <v>-2.7677761099999998</v>
      </c>
      <c r="BC111" s="207">
        <v>-3.4227569999999998</v>
      </c>
      <c r="BD111" s="389">
        <v>0</v>
      </c>
      <c r="BE111" s="389">
        <v>-3.4227569999999998</v>
      </c>
      <c r="BF111" s="516">
        <v>-3.4227569999999998</v>
      </c>
      <c r="BG111" s="207">
        <v>-3.453074</v>
      </c>
      <c r="BH111" s="207">
        <v>0</v>
      </c>
      <c r="BI111" s="389">
        <v>0</v>
      </c>
      <c r="BJ111" s="516">
        <v>0</v>
      </c>
      <c r="BK111" s="516">
        <v>0</v>
      </c>
      <c r="BL111" s="516">
        <v>0</v>
      </c>
      <c r="BM111" s="516">
        <v>0</v>
      </c>
      <c r="BN111" s="409">
        <v>0</v>
      </c>
      <c r="BO111" s="207">
        <v>0</v>
      </c>
      <c r="BP111" s="389">
        <v>0</v>
      </c>
      <c r="BQ111" s="389">
        <v>0</v>
      </c>
      <c r="BR111" s="389">
        <v>0</v>
      </c>
      <c r="BS111" s="296">
        <v>0</v>
      </c>
      <c r="BT111" s="296">
        <v>0</v>
      </c>
      <c r="BU111" s="296">
        <v>0</v>
      </c>
      <c r="BV111" s="409">
        <v>0</v>
      </c>
      <c r="BW111" s="1011">
        <v>0</v>
      </c>
      <c r="BX111" s="439" t="s">
        <v>1365</v>
      </c>
    </row>
    <row r="112" spans="1:76" ht="43.5" hidden="1" customHeight="1" outlineLevel="1" x14ac:dyDescent="0.25">
      <c r="A112" s="678">
        <v>4</v>
      </c>
      <c r="B112" s="702" t="s">
        <v>69</v>
      </c>
      <c r="C112" s="697" t="s">
        <v>1735</v>
      </c>
      <c r="D112" s="86">
        <v>43910</v>
      </c>
      <c r="E112" s="463" t="s">
        <v>67</v>
      </c>
      <c r="F112" s="542" t="s">
        <v>46</v>
      </c>
      <c r="G112" s="95" t="s">
        <v>27</v>
      </c>
      <c r="H112" s="311" t="s">
        <v>129</v>
      </c>
      <c r="I112" s="335"/>
      <c r="J112" s="294">
        <f t="shared" si="818"/>
        <v>9.1521600340497969E-6</v>
      </c>
      <c r="K112" s="52">
        <f t="shared" si="819"/>
        <v>8.5177136298569576E-6</v>
      </c>
      <c r="L112" s="52">
        <f t="shared" si="820"/>
        <v>0</v>
      </c>
      <c r="M112" s="52">
        <f t="shared" si="821"/>
        <v>0</v>
      </c>
      <c r="N112" s="52">
        <f t="shared" si="821"/>
        <v>0</v>
      </c>
      <c r="O112" s="52">
        <f t="shared" si="821"/>
        <v>0</v>
      </c>
      <c r="P112" s="52">
        <f t="shared" si="822"/>
        <v>0</v>
      </c>
      <c r="Q112" s="52">
        <f t="shared" si="822"/>
        <v>0</v>
      </c>
      <c r="R112" s="52">
        <f>AY112/AH$8</f>
        <v>0</v>
      </c>
      <c r="S112" s="527">
        <f t="shared" si="823"/>
        <v>0</v>
      </c>
      <c r="T112" s="533">
        <f>BA112/T$8</f>
        <v>-9.1521600340497969E-6</v>
      </c>
      <c r="U112" s="375">
        <f t="shared" si="824"/>
        <v>-8.5177136298569576E-6</v>
      </c>
      <c r="V112" s="375">
        <f t="shared" si="825"/>
        <v>0</v>
      </c>
      <c r="W112" s="386">
        <f t="shared" si="826"/>
        <v>0</v>
      </c>
      <c r="X112" s="386">
        <f t="shared" si="827"/>
        <v>0</v>
      </c>
      <c r="Y112" s="386">
        <f t="shared" si="828"/>
        <v>0</v>
      </c>
      <c r="Z112" s="375">
        <f t="shared" si="828"/>
        <v>0</v>
      </c>
      <c r="AA112" s="375">
        <f t="shared" si="829"/>
        <v>0</v>
      </c>
      <c r="AB112" s="386">
        <f t="shared" si="830"/>
        <v>0</v>
      </c>
      <c r="AC112" s="386">
        <f t="shared" si="831"/>
        <v>0</v>
      </c>
      <c r="AD112" s="386">
        <f t="shared" si="831"/>
        <v>0</v>
      </c>
      <c r="AE112" s="386">
        <f t="shared" si="831"/>
        <v>0</v>
      </c>
      <c r="AF112" s="386">
        <f t="shared" si="831"/>
        <v>0</v>
      </c>
      <c r="AG112" s="375">
        <f>BN112/AG$8</f>
        <v>0</v>
      </c>
      <c r="AH112" s="375">
        <f t="shared" si="832"/>
        <v>0</v>
      </c>
      <c r="AI112" s="386">
        <f t="shared" si="832"/>
        <v>0</v>
      </c>
      <c r="AJ112" s="386">
        <f t="shared" si="832"/>
        <v>0</v>
      </c>
      <c r="AK112" s="386">
        <f t="shared" si="832"/>
        <v>0</v>
      </c>
      <c r="AL112" s="377">
        <f t="shared" si="833"/>
        <v>0</v>
      </c>
      <c r="AM112" s="377">
        <f t="shared" si="833"/>
        <v>0</v>
      </c>
      <c r="AN112" s="377">
        <f t="shared" si="833"/>
        <v>0</v>
      </c>
      <c r="AO112" s="283"/>
      <c r="AP112" s="295">
        <f>AR112+AU112+AZ112+AW112+AY112</f>
        <v>0.25803599999999999</v>
      </c>
      <c r="AQ112" s="182">
        <f>-BA112</f>
        <v>0.25803599999999999</v>
      </c>
      <c r="AR112" s="80">
        <f>-BB112</f>
        <v>0.25803599999999999</v>
      </c>
      <c r="AS112" s="80">
        <f>-BC112</f>
        <v>0</v>
      </c>
      <c r="AT112" s="80">
        <f>-BC112</f>
        <v>0</v>
      </c>
      <c r="AU112" s="80">
        <f>-BG112</f>
        <v>0</v>
      </c>
      <c r="AV112" s="80">
        <f>-BH112</f>
        <v>0</v>
      </c>
      <c r="AW112" s="80">
        <f>-BH112</f>
        <v>0</v>
      </c>
      <c r="AX112" s="80">
        <f>-BN112</f>
        <v>0</v>
      </c>
      <c r="AY112" s="80">
        <f>-BO112</f>
        <v>0</v>
      </c>
      <c r="AZ112" s="432">
        <f>-BU112</f>
        <v>0</v>
      </c>
      <c r="BA112" s="1008">
        <v>-0.25803599999999999</v>
      </c>
      <c r="BB112" s="409">
        <v>-0.25803599999999999</v>
      </c>
      <c r="BC112" s="207">
        <v>0</v>
      </c>
      <c r="BD112" s="389">
        <v>0</v>
      </c>
      <c r="BE112" s="389">
        <v>0</v>
      </c>
      <c r="BF112" s="516">
        <v>0</v>
      </c>
      <c r="BG112" s="207">
        <v>0</v>
      </c>
      <c r="BH112" s="207">
        <v>0</v>
      </c>
      <c r="BI112" s="389">
        <v>0</v>
      </c>
      <c r="BJ112" s="516">
        <v>0</v>
      </c>
      <c r="BK112" s="516">
        <v>0</v>
      </c>
      <c r="BL112" s="516">
        <v>0</v>
      </c>
      <c r="BM112" s="516">
        <v>0</v>
      </c>
      <c r="BN112" s="409">
        <v>0</v>
      </c>
      <c r="BO112" s="207">
        <v>0</v>
      </c>
      <c r="BP112" s="389">
        <v>0</v>
      </c>
      <c r="BQ112" s="389">
        <v>0</v>
      </c>
      <c r="BR112" s="389">
        <v>0</v>
      </c>
      <c r="BS112" s="296">
        <v>0</v>
      </c>
      <c r="BT112" s="296">
        <v>0</v>
      </c>
      <c r="BU112" s="296">
        <v>0</v>
      </c>
      <c r="BV112" s="409">
        <v>0</v>
      </c>
      <c r="BW112" s="1011">
        <f>-BV112</f>
        <v>0</v>
      </c>
      <c r="BX112" s="439" t="s">
        <v>366</v>
      </c>
    </row>
    <row r="113" spans="1:76" ht="43.5" hidden="1" customHeight="1" outlineLevel="1" x14ac:dyDescent="0.25">
      <c r="A113" s="678">
        <v>5</v>
      </c>
      <c r="B113" s="702" t="s">
        <v>69</v>
      </c>
      <c r="C113" s="697" t="s">
        <v>1735</v>
      </c>
      <c r="D113" s="1208" t="s">
        <v>1854</v>
      </c>
      <c r="E113" s="463" t="s">
        <v>583</v>
      </c>
      <c r="F113" s="554" t="s">
        <v>345</v>
      </c>
      <c r="G113" s="95" t="s">
        <v>142</v>
      </c>
      <c r="H113" s="311" t="s">
        <v>129</v>
      </c>
      <c r="I113" s="1204"/>
      <c r="J113" s="1199">
        <f>AQ113/T$8</f>
        <v>1.6221451372632476E-3</v>
      </c>
      <c r="K113" s="1201">
        <f>AR113/U$8</f>
        <v>1.1797736155736219E-3</v>
      </c>
      <c r="L113" s="1201">
        <f>AS113/V$8</f>
        <v>3.9005261385896182E-4</v>
      </c>
      <c r="M113" s="1201">
        <f t="shared" si="821"/>
        <v>4.0631899003248624E-4</v>
      </c>
      <c r="N113" s="1201">
        <f t="shared" si="821"/>
        <v>4.2207102810238277E-4</v>
      </c>
      <c r="O113" s="1201">
        <f t="shared" si="821"/>
        <v>0</v>
      </c>
      <c r="P113" s="1201">
        <f t="shared" si="822"/>
        <v>0</v>
      </c>
      <c r="Q113" s="1201">
        <f t="shared" si="822"/>
        <v>0</v>
      </c>
      <c r="R113" s="1201">
        <f>AY113/AH$8</f>
        <v>0</v>
      </c>
      <c r="S113" s="1210">
        <f>AZ113/AN$8</f>
        <v>0</v>
      </c>
      <c r="T113" s="1206">
        <f>BA113/T$8</f>
        <v>-1.6221451372632476E-3</v>
      </c>
      <c r="U113" s="1220">
        <f t="shared" si="824"/>
        <v>-1.1797736155736219E-3</v>
      </c>
      <c r="V113" s="1220">
        <f t="shared" si="825"/>
        <v>-3.9005261385896182E-4</v>
      </c>
      <c r="W113" s="1193">
        <f t="shared" si="826"/>
        <v>-4.0587019826082027E-4</v>
      </c>
      <c r="X113" s="1193">
        <f t="shared" si="827"/>
        <v>-3.9635719466175494E-4</v>
      </c>
      <c r="Y113" s="1193">
        <f t="shared" si="828"/>
        <v>-3.9635719466175494E-4</v>
      </c>
      <c r="Z113" s="1220">
        <f t="shared" si="828"/>
        <v>-4.2207102810238277E-4</v>
      </c>
      <c r="AA113" s="1220">
        <f t="shared" si="829"/>
        <v>0</v>
      </c>
      <c r="AB113" s="1193">
        <f t="shared" si="830"/>
        <v>0</v>
      </c>
      <c r="AC113" s="1193">
        <f t="shared" si="831"/>
        <v>0</v>
      </c>
      <c r="AD113" s="1193">
        <f t="shared" si="831"/>
        <v>0</v>
      </c>
      <c r="AE113" s="1193">
        <f t="shared" si="831"/>
        <v>0</v>
      </c>
      <c r="AF113" s="1193">
        <f t="shared" si="831"/>
        <v>0</v>
      </c>
      <c r="AG113" s="1220">
        <f>BN113/AG$8</f>
        <v>0</v>
      </c>
      <c r="AH113" s="1220">
        <f t="shared" si="832"/>
        <v>0</v>
      </c>
      <c r="AI113" s="1193">
        <f t="shared" si="832"/>
        <v>0</v>
      </c>
      <c r="AJ113" s="1193">
        <f t="shared" si="832"/>
        <v>0</v>
      </c>
      <c r="AK113" s="1193">
        <f t="shared" si="832"/>
        <v>0</v>
      </c>
      <c r="AL113" s="1150">
        <f t="shared" si="833"/>
        <v>0</v>
      </c>
      <c r="AM113" s="1150">
        <f t="shared" si="833"/>
        <v>0</v>
      </c>
      <c r="AN113" s="1150">
        <f t="shared" si="833"/>
        <v>0</v>
      </c>
      <c r="AO113" s="283"/>
      <c r="AP113" s="1231">
        <f>AR113+AU113+AZ113+AW113+AY113</f>
        <v>49.916459000000003</v>
      </c>
      <c r="AQ113" s="1212">
        <f>-BA113</f>
        <v>45.734760000000001</v>
      </c>
      <c r="AR113" s="1165">
        <f>-BB113</f>
        <v>35.740115000000003</v>
      </c>
      <c r="AS113" s="1165">
        <f>-BC113</f>
        <v>12.743799000000001</v>
      </c>
      <c r="AT113" s="1165">
        <f>-BC113</f>
        <v>12.743799000000001</v>
      </c>
      <c r="AU113" s="1165">
        <f>-BG113</f>
        <v>14.176344</v>
      </c>
      <c r="AV113" s="1165">
        <f>-BH113</f>
        <v>0</v>
      </c>
      <c r="AW113" s="1165">
        <f>-BH113</f>
        <v>0</v>
      </c>
      <c r="AX113" s="1165">
        <f>-BN113</f>
        <v>0</v>
      </c>
      <c r="AY113" s="1165">
        <f>-BO113</f>
        <v>0</v>
      </c>
      <c r="AZ113" s="1218">
        <f>-BU113</f>
        <v>0</v>
      </c>
      <c r="BA113" s="1175">
        <v>-45.734760000000001</v>
      </c>
      <c r="BB113" s="1154">
        <v>-35.740115000000003</v>
      </c>
      <c r="BC113" s="1169">
        <f>-12.431357-0.312442</f>
        <v>-12.743799000000001</v>
      </c>
      <c r="BD113" s="1242">
        <v>-12.431357</v>
      </c>
      <c r="BE113" s="1242">
        <v>-12.431357</v>
      </c>
      <c r="BF113" s="1172">
        <v>-12.431357</v>
      </c>
      <c r="BG113" s="1171">
        <f>-14.176344</f>
        <v>-14.176344</v>
      </c>
      <c r="BH113" s="1169">
        <v>0</v>
      </c>
      <c r="BI113" s="1242">
        <v>0</v>
      </c>
      <c r="BJ113" s="1159">
        <v>0</v>
      </c>
      <c r="BK113" s="1159">
        <v>0</v>
      </c>
      <c r="BL113" s="1159">
        <v>0</v>
      </c>
      <c r="BM113" s="1159">
        <v>0</v>
      </c>
      <c r="BN113" s="1154">
        <v>0</v>
      </c>
      <c r="BO113" s="1169">
        <v>0</v>
      </c>
      <c r="BP113" s="1242">
        <v>0</v>
      </c>
      <c r="BQ113" s="1242">
        <v>0</v>
      </c>
      <c r="BR113" s="1242">
        <v>0</v>
      </c>
      <c r="BS113" s="1269">
        <v>0</v>
      </c>
      <c r="BT113" s="1269">
        <v>0</v>
      </c>
      <c r="BU113" s="1269">
        <v>0</v>
      </c>
      <c r="BV113" s="1154">
        <v>0</v>
      </c>
      <c r="BW113" s="1271">
        <f>-BV113</f>
        <v>0</v>
      </c>
      <c r="BX113" s="1274" t="s">
        <v>1853</v>
      </c>
    </row>
    <row r="114" spans="1:76" ht="43.5" hidden="1" customHeight="1" outlineLevel="1" x14ac:dyDescent="0.25">
      <c r="A114" s="678">
        <v>6</v>
      </c>
      <c r="B114" s="702" t="s">
        <v>69</v>
      </c>
      <c r="C114" s="697" t="s">
        <v>1735</v>
      </c>
      <c r="D114" s="1209"/>
      <c r="E114" s="463" t="s">
        <v>584</v>
      </c>
      <c r="F114" s="554" t="s">
        <v>345</v>
      </c>
      <c r="G114" s="95" t="s">
        <v>142</v>
      </c>
      <c r="H114" s="311" t="s">
        <v>129</v>
      </c>
      <c r="I114" s="1204"/>
      <c r="J114" s="1200"/>
      <c r="K114" s="1202"/>
      <c r="L114" s="1202"/>
      <c r="M114" s="1202"/>
      <c r="N114" s="1202"/>
      <c r="O114" s="1202"/>
      <c r="P114" s="1202"/>
      <c r="Q114" s="1202"/>
      <c r="R114" s="1202"/>
      <c r="S114" s="1211"/>
      <c r="T114" s="1207"/>
      <c r="U114" s="1221"/>
      <c r="V114" s="1221"/>
      <c r="W114" s="1194"/>
      <c r="X114" s="1194"/>
      <c r="Y114" s="1194"/>
      <c r="Z114" s="1221"/>
      <c r="AA114" s="1221"/>
      <c r="AB114" s="1194"/>
      <c r="AC114" s="1194"/>
      <c r="AD114" s="1194"/>
      <c r="AE114" s="1194"/>
      <c r="AF114" s="1194"/>
      <c r="AG114" s="1221"/>
      <c r="AH114" s="1221"/>
      <c r="AI114" s="1194"/>
      <c r="AJ114" s="1194"/>
      <c r="AK114" s="1194"/>
      <c r="AL114" s="1227"/>
      <c r="AM114" s="1227"/>
      <c r="AN114" s="1227"/>
      <c r="AO114" s="283"/>
      <c r="AP114" s="1232"/>
      <c r="AQ114" s="1213"/>
      <c r="AR114" s="1166"/>
      <c r="AS114" s="1166"/>
      <c r="AT114" s="1166"/>
      <c r="AU114" s="1166"/>
      <c r="AV114" s="1166"/>
      <c r="AW114" s="1166"/>
      <c r="AX114" s="1166"/>
      <c r="AY114" s="1166"/>
      <c r="AZ114" s="1219"/>
      <c r="BA114" s="1176"/>
      <c r="BB114" s="1156"/>
      <c r="BC114" s="1170"/>
      <c r="BD114" s="1243"/>
      <c r="BE114" s="1243"/>
      <c r="BF114" s="1172"/>
      <c r="BG114" s="1171"/>
      <c r="BH114" s="1170"/>
      <c r="BI114" s="1243"/>
      <c r="BJ114" s="1167"/>
      <c r="BK114" s="1167"/>
      <c r="BL114" s="1167"/>
      <c r="BM114" s="1167"/>
      <c r="BN114" s="1156"/>
      <c r="BO114" s="1170"/>
      <c r="BP114" s="1243"/>
      <c r="BQ114" s="1243"/>
      <c r="BR114" s="1243"/>
      <c r="BS114" s="1270"/>
      <c r="BT114" s="1270"/>
      <c r="BU114" s="1270"/>
      <c r="BV114" s="1156"/>
      <c r="BW114" s="1272"/>
      <c r="BX114" s="1275"/>
    </row>
    <row r="115" spans="1:76" ht="72.599999999999994" hidden="1" customHeight="1" outlineLevel="1" x14ac:dyDescent="0.25">
      <c r="A115" s="678">
        <v>7</v>
      </c>
      <c r="B115" s="702" t="s">
        <v>69</v>
      </c>
      <c r="C115" s="697" t="s">
        <v>1735</v>
      </c>
      <c r="D115" s="87" t="s">
        <v>26</v>
      </c>
      <c r="E115" s="463" t="s">
        <v>585</v>
      </c>
      <c r="F115" s="542" t="s">
        <v>64</v>
      </c>
      <c r="G115" s="95" t="s">
        <v>24</v>
      </c>
      <c r="H115" s="311" t="s">
        <v>129</v>
      </c>
      <c r="I115" s="335"/>
      <c r="J115" s="294">
        <f t="shared" ref="J115:J121" si="834">AQ115/T$8</f>
        <v>4.1648648648648644E-4</v>
      </c>
      <c r="K115" s="1201">
        <f>AR115/U$8</f>
        <v>2.5054444198521525E-3</v>
      </c>
      <c r="L115" s="52">
        <f t="shared" ref="L115:L121" si="835">AS115/V$8</f>
        <v>0</v>
      </c>
      <c r="M115" s="52">
        <f t="shared" ref="M115:O122" si="836">AT115/Y$8</f>
        <v>0</v>
      </c>
      <c r="N115" s="52">
        <f t="shared" si="836"/>
        <v>0</v>
      </c>
      <c r="O115" s="52">
        <f t="shared" si="836"/>
        <v>0</v>
      </c>
      <c r="P115" s="52">
        <f t="shared" ref="P115:Q122" si="837">AW115/AE$8</f>
        <v>0</v>
      </c>
      <c r="Q115" s="52">
        <f t="shared" si="837"/>
        <v>0</v>
      </c>
      <c r="R115" s="52">
        <f t="shared" ref="R115:R122" si="838">AY115/AH$8</f>
        <v>0</v>
      </c>
      <c r="S115" s="527">
        <f t="shared" ref="S115:S121" si="839">AZ115/AN$8</f>
        <v>0</v>
      </c>
      <c r="T115" s="533">
        <f>BA115/T$8</f>
        <v>-4.1648648648648644E-4</v>
      </c>
      <c r="U115" s="1224">
        <f>BB115/U$8</f>
        <v>-2.5054444198521525E-3</v>
      </c>
      <c r="V115" s="375">
        <f>BC115/V$8</f>
        <v>0</v>
      </c>
      <c r="W115" s="386">
        <f t="shared" ref="W115:W122" si="840">BD115/W$8</f>
        <v>0</v>
      </c>
      <c r="X115" s="386">
        <f t="shared" ref="X115:X122" si="841">BE115/X$8</f>
        <v>0</v>
      </c>
      <c r="Y115" s="386">
        <f t="shared" ref="Y115:Z122" si="842">BF115/Y$8</f>
        <v>0</v>
      </c>
      <c r="Z115" s="375">
        <f t="shared" si="842"/>
        <v>0</v>
      </c>
      <c r="AA115" s="375">
        <f t="shared" ref="AA115:AA122" si="843">BH115/AA$8</f>
        <v>0</v>
      </c>
      <c r="AB115" s="386">
        <f t="shared" ref="AB115:AB122" si="844">BI115/AB$8</f>
        <v>0</v>
      </c>
      <c r="AC115" s="386">
        <f t="shared" ref="AC115:AF122" si="845">BJ115/AC$8</f>
        <v>0</v>
      </c>
      <c r="AD115" s="386">
        <f t="shared" si="845"/>
        <v>0</v>
      </c>
      <c r="AE115" s="386">
        <f t="shared" si="845"/>
        <v>0</v>
      </c>
      <c r="AF115" s="386">
        <f t="shared" si="845"/>
        <v>0</v>
      </c>
      <c r="AG115" s="375">
        <f t="shared" ref="AG115:AG122" si="846">BN115/AG$8</f>
        <v>0</v>
      </c>
      <c r="AH115" s="375">
        <f t="shared" ref="AH115:AK122" si="847">BO115/AH$8</f>
        <v>0</v>
      </c>
      <c r="AI115" s="386">
        <f t="shared" si="847"/>
        <v>0</v>
      </c>
      <c r="AJ115" s="386">
        <f t="shared" si="847"/>
        <v>0</v>
      </c>
      <c r="AK115" s="386">
        <f t="shared" si="847"/>
        <v>0</v>
      </c>
      <c r="AL115" s="377">
        <f t="shared" ref="AL115:AM122" si="848">BS115/AL$8</f>
        <v>0</v>
      </c>
      <c r="AM115" s="377">
        <f t="shared" si="848"/>
        <v>0</v>
      </c>
      <c r="AN115" s="377">
        <f t="shared" ref="AN115:AN122" si="849">BU115/AN$8</f>
        <v>0</v>
      </c>
      <c r="AO115" s="288"/>
      <c r="AP115" s="1231">
        <f>SUM(AR115)+SUM(AW115:AW128)+SUM(AY115:AY128)+SUM(AZ115:AZ128)+SUM(AU115:AU128)</f>
        <v>125.481236</v>
      </c>
      <c r="AQ115" s="182">
        <f>-BA115</f>
        <v>11.742419999999999</v>
      </c>
      <c r="AR115" s="1165">
        <f>-BB115</f>
        <v>75.900046000000003</v>
      </c>
      <c r="AS115" s="80">
        <v>0</v>
      </c>
      <c r="AT115" s="80">
        <v>0</v>
      </c>
      <c r="AU115" s="80">
        <v>0</v>
      </c>
      <c r="AV115" s="80">
        <v>0</v>
      </c>
      <c r="AW115" s="80">
        <v>0</v>
      </c>
      <c r="AX115" s="80">
        <v>0</v>
      </c>
      <c r="AY115" s="80">
        <v>0</v>
      </c>
      <c r="AZ115" s="432">
        <v>0</v>
      </c>
      <c r="BA115" s="998">
        <v>-11.742419999999999</v>
      </c>
      <c r="BB115" s="1282">
        <f>-82.120896+6.22085</f>
        <v>-75.900046000000003</v>
      </c>
      <c r="BC115" s="207">
        <v>0</v>
      </c>
      <c r="BD115" s="389">
        <v>0</v>
      </c>
      <c r="BE115" s="389">
        <v>0</v>
      </c>
      <c r="BF115" s="516">
        <v>0</v>
      </c>
      <c r="BG115" s="207">
        <v>0</v>
      </c>
      <c r="BH115" s="207">
        <v>0</v>
      </c>
      <c r="BI115" s="389">
        <v>0</v>
      </c>
      <c r="BJ115" s="516">
        <v>0</v>
      </c>
      <c r="BK115" s="516">
        <v>0</v>
      </c>
      <c r="BL115" s="516">
        <v>0</v>
      </c>
      <c r="BM115" s="516">
        <v>0</v>
      </c>
      <c r="BN115" s="410">
        <v>0</v>
      </c>
      <c r="BO115" s="207">
        <v>0</v>
      </c>
      <c r="BP115" s="389">
        <v>0</v>
      </c>
      <c r="BQ115" s="389">
        <v>0</v>
      </c>
      <c r="BR115" s="389">
        <v>0</v>
      </c>
      <c r="BS115" s="296">
        <v>0</v>
      </c>
      <c r="BT115" s="296">
        <v>0</v>
      </c>
      <c r="BU115" s="296">
        <v>0</v>
      </c>
      <c r="BV115" s="410">
        <v>0</v>
      </c>
      <c r="BW115" s="1012">
        <f t="shared" ref="BW115:BW121" si="850">-BV115</f>
        <v>0</v>
      </c>
      <c r="BX115" s="439" t="s">
        <v>586</v>
      </c>
    </row>
    <row r="116" spans="1:76" s="1" customFormat="1" ht="43.5" hidden="1" customHeight="1" outlineLevel="1" x14ac:dyDescent="0.25">
      <c r="A116" s="678">
        <v>8</v>
      </c>
      <c r="B116" s="702" t="s">
        <v>69</v>
      </c>
      <c r="C116" s="697" t="s">
        <v>1736</v>
      </c>
      <c r="D116" s="263">
        <v>43917</v>
      </c>
      <c r="E116" s="463" t="s">
        <v>268</v>
      </c>
      <c r="F116" s="542" t="s">
        <v>44</v>
      </c>
      <c r="G116" s="80" t="s">
        <v>24</v>
      </c>
      <c r="H116" s="311" t="s">
        <v>130</v>
      </c>
      <c r="I116" s="335"/>
      <c r="J116" s="294">
        <f t="shared" si="834"/>
        <v>1.9396527629992198E-4</v>
      </c>
      <c r="K116" s="1228"/>
      <c r="L116" s="52">
        <f t="shared" si="835"/>
        <v>0</v>
      </c>
      <c r="M116" s="52">
        <f t="shared" si="836"/>
        <v>0</v>
      </c>
      <c r="N116" s="52">
        <f t="shared" si="836"/>
        <v>0</v>
      </c>
      <c r="O116" s="52">
        <f t="shared" si="836"/>
        <v>0</v>
      </c>
      <c r="P116" s="52">
        <f t="shared" si="837"/>
        <v>0</v>
      </c>
      <c r="Q116" s="52">
        <f t="shared" si="837"/>
        <v>0</v>
      </c>
      <c r="R116" s="52">
        <f t="shared" si="838"/>
        <v>0</v>
      </c>
      <c r="S116" s="527">
        <f t="shared" si="839"/>
        <v>0</v>
      </c>
      <c r="T116" s="533">
        <f t="shared" ref="T116:T122" si="851">BA116/T$8</f>
        <v>-1.9396527629992198E-4</v>
      </c>
      <c r="U116" s="1225"/>
      <c r="V116" s="375">
        <f t="shared" ref="V116:V122" si="852">BC116/V$8</f>
        <v>0</v>
      </c>
      <c r="W116" s="386">
        <f t="shared" si="840"/>
        <v>0</v>
      </c>
      <c r="X116" s="386">
        <f t="shared" si="841"/>
        <v>0</v>
      </c>
      <c r="Y116" s="386">
        <f t="shared" si="842"/>
        <v>0</v>
      </c>
      <c r="Z116" s="375">
        <f t="shared" si="842"/>
        <v>0</v>
      </c>
      <c r="AA116" s="375">
        <f t="shared" si="843"/>
        <v>0</v>
      </c>
      <c r="AB116" s="386">
        <f t="shared" si="844"/>
        <v>0</v>
      </c>
      <c r="AC116" s="386">
        <f t="shared" si="845"/>
        <v>0</v>
      </c>
      <c r="AD116" s="386">
        <f t="shared" si="845"/>
        <v>0</v>
      </c>
      <c r="AE116" s="386">
        <f t="shared" si="845"/>
        <v>0</v>
      </c>
      <c r="AF116" s="386">
        <f t="shared" si="845"/>
        <v>0</v>
      </c>
      <c r="AG116" s="375">
        <f t="shared" si="846"/>
        <v>0</v>
      </c>
      <c r="AH116" s="375">
        <f t="shared" si="847"/>
        <v>0</v>
      </c>
      <c r="AI116" s="386">
        <f t="shared" si="847"/>
        <v>0</v>
      </c>
      <c r="AJ116" s="386">
        <f t="shared" si="847"/>
        <v>0</v>
      </c>
      <c r="AK116" s="386">
        <f t="shared" si="847"/>
        <v>0</v>
      </c>
      <c r="AL116" s="377">
        <f t="shared" si="848"/>
        <v>0</v>
      </c>
      <c r="AM116" s="377">
        <f t="shared" si="848"/>
        <v>0</v>
      </c>
      <c r="AN116" s="377">
        <f t="shared" si="849"/>
        <v>0</v>
      </c>
      <c r="AO116" s="288"/>
      <c r="AP116" s="1261"/>
      <c r="AQ116" s="182">
        <f t="shared" ref="AQ116:AQ122" si="853">-BA116</f>
        <v>5.4686570000000003</v>
      </c>
      <c r="AR116" s="1268"/>
      <c r="AS116" s="80">
        <v>0</v>
      </c>
      <c r="AT116" s="80">
        <v>0</v>
      </c>
      <c r="AU116" s="80">
        <v>0</v>
      </c>
      <c r="AV116" s="80">
        <v>0</v>
      </c>
      <c r="AW116" s="80">
        <v>0</v>
      </c>
      <c r="AX116" s="80">
        <v>0</v>
      </c>
      <c r="AY116" s="80">
        <v>0</v>
      </c>
      <c r="AZ116" s="432">
        <v>0</v>
      </c>
      <c r="BA116" s="998">
        <v>-5.4686570000000003</v>
      </c>
      <c r="BB116" s="1283"/>
      <c r="BC116" s="207">
        <v>0</v>
      </c>
      <c r="BD116" s="389">
        <v>0</v>
      </c>
      <c r="BE116" s="389">
        <v>0</v>
      </c>
      <c r="BF116" s="516">
        <v>0</v>
      </c>
      <c r="BG116" s="207">
        <v>0</v>
      </c>
      <c r="BH116" s="207">
        <v>0</v>
      </c>
      <c r="BI116" s="389">
        <v>0</v>
      </c>
      <c r="BJ116" s="516">
        <v>0</v>
      </c>
      <c r="BK116" s="516">
        <v>0</v>
      </c>
      <c r="BL116" s="516">
        <v>0</v>
      </c>
      <c r="BM116" s="516">
        <v>0</v>
      </c>
      <c r="BN116" s="409">
        <v>0</v>
      </c>
      <c r="BO116" s="207">
        <v>0</v>
      </c>
      <c r="BP116" s="389">
        <v>0</v>
      </c>
      <c r="BQ116" s="389">
        <v>0</v>
      </c>
      <c r="BR116" s="389">
        <v>0</v>
      </c>
      <c r="BS116" s="296">
        <v>0</v>
      </c>
      <c r="BT116" s="296">
        <v>0</v>
      </c>
      <c r="BU116" s="296">
        <v>0</v>
      </c>
      <c r="BV116" s="409">
        <v>0</v>
      </c>
      <c r="BW116" s="1011">
        <f t="shared" si="850"/>
        <v>0</v>
      </c>
      <c r="BX116" s="439" t="s">
        <v>383</v>
      </c>
    </row>
    <row r="117" spans="1:76" s="1" customFormat="1" ht="57.95" hidden="1" customHeight="1" outlineLevel="1" x14ac:dyDescent="0.25">
      <c r="A117" s="678">
        <v>9</v>
      </c>
      <c r="B117" s="702" t="s">
        <v>69</v>
      </c>
      <c r="C117" s="697" t="s">
        <v>1737</v>
      </c>
      <c r="D117" s="63">
        <v>43956</v>
      </c>
      <c r="E117" s="463" t="s">
        <v>170</v>
      </c>
      <c r="F117" s="542" t="s">
        <v>346</v>
      </c>
      <c r="G117" s="95" t="s">
        <v>24</v>
      </c>
      <c r="H117" s="311" t="s">
        <v>129</v>
      </c>
      <c r="I117" s="335"/>
      <c r="J117" s="294">
        <f t="shared" si="834"/>
        <v>4.6944846421224373E-5</v>
      </c>
      <c r="K117" s="1228"/>
      <c r="L117" s="52">
        <f t="shared" si="835"/>
        <v>0</v>
      </c>
      <c r="M117" s="52">
        <f t="shared" si="836"/>
        <v>0</v>
      </c>
      <c r="N117" s="52">
        <f t="shared" si="836"/>
        <v>0</v>
      </c>
      <c r="O117" s="52">
        <f t="shared" si="836"/>
        <v>0</v>
      </c>
      <c r="P117" s="52">
        <f t="shared" si="837"/>
        <v>0</v>
      </c>
      <c r="Q117" s="52">
        <f t="shared" si="837"/>
        <v>0</v>
      </c>
      <c r="R117" s="52">
        <f t="shared" si="838"/>
        <v>0</v>
      </c>
      <c r="S117" s="527">
        <f t="shared" si="839"/>
        <v>0</v>
      </c>
      <c r="T117" s="533">
        <f t="shared" si="851"/>
        <v>-4.6944846421224373E-5</v>
      </c>
      <c r="U117" s="1225"/>
      <c r="V117" s="375">
        <f t="shared" si="852"/>
        <v>0</v>
      </c>
      <c r="W117" s="386">
        <f t="shared" si="840"/>
        <v>0</v>
      </c>
      <c r="X117" s="386">
        <f t="shared" si="841"/>
        <v>0</v>
      </c>
      <c r="Y117" s="386">
        <f t="shared" si="842"/>
        <v>0</v>
      </c>
      <c r="Z117" s="375">
        <f t="shared" si="842"/>
        <v>0</v>
      </c>
      <c r="AA117" s="375">
        <f t="shared" si="843"/>
        <v>0</v>
      </c>
      <c r="AB117" s="386">
        <f t="shared" si="844"/>
        <v>0</v>
      </c>
      <c r="AC117" s="386">
        <f t="shared" si="845"/>
        <v>0</v>
      </c>
      <c r="AD117" s="386">
        <f t="shared" si="845"/>
        <v>0</v>
      </c>
      <c r="AE117" s="386">
        <f t="shared" si="845"/>
        <v>0</v>
      </c>
      <c r="AF117" s="386">
        <f t="shared" si="845"/>
        <v>0</v>
      </c>
      <c r="AG117" s="375">
        <f t="shared" si="846"/>
        <v>0</v>
      </c>
      <c r="AH117" s="375">
        <f t="shared" si="847"/>
        <v>0</v>
      </c>
      <c r="AI117" s="386">
        <f t="shared" si="847"/>
        <v>0</v>
      </c>
      <c r="AJ117" s="386">
        <f t="shared" si="847"/>
        <v>0</v>
      </c>
      <c r="AK117" s="386">
        <f t="shared" si="847"/>
        <v>0</v>
      </c>
      <c r="AL117" s="377">
        <f t="shared" si="848"/>
        <v>0</v>
      </c>
      <c r="AM117" s="377">
        <f t="shared" si="848"/>
        <v>0</v>
      </c>
      <c r="AN117" s="377">
        <f t="shared" si="849"/>
        <v>0</v>
      </c>
      <c r="AO117" s="288"/>
      <c r="AP117" s="1261"/>
      <c r="AQ117" s="182">
        <f t="shared" si="853"/>
        <v>1.323563</v>
      </c>
      <c r="AR117" s="1268"/>
      <c r="AS117" s="80">
        <v>0</v>
      </c>
      <c r="AT117" s="80">
        <v>0</v>
      </c>
      <c r="AU117" s="80">
        <v>0</v>
      </c>
      <c r="AV117" s="80">
        <v>0</v>
      </c>
      <c r="AW117" s="80">
        <v>0</v>
      </c>
      <c r="AX117" s="80">
        <v>0</v>
      </c>
      <c r="AY117" s="80">
        <v>0</v>
      </c>
      <c r="AZ117" s="432">
        <v>0</v>
      </c>
      <c r="BA117" s="998">
        <v>-1.323563</v>
      </c>
      <c r="BB117" s="1283"/>
      <c r="BC117" s="207">
        <v>0</v>
      </c>
      <c r="BD117" s="389">
        <v>0</v>
      </c>
      <c r="BE117" s="389">
        <v>0</v>
      </c>
      <c r="BF117" s="516">
        <v>0</v>
      </c>
      <c r="BG117" s="207">
        <v>0</v>
      </c>
      <c r="BH117" s="207">
        <v>0</v>
      </c>
      <c r="BI117" s="389">
        <v>0</v>
      </c>
      <c r="BJ117" s="516">
        <v>0</v>
      </c>
      <c r="BK117" s="516">
        <v>0</v>
      </c>
      <c r="BL117" s="516">
        <v>0</v>
      </c>
      <c r="BM117" s="516">
        <v>0</v>
      </c>
      <c r="BN117" s="409">
        <v>0</v>
      </c>
      <c r="BO117" s="207">
        <v>0</v>
      </c>
      <c r="BP117" s="389">
        <v>0</v>
      </c>
      <c r="BQ117" s="389">
        <v>0</v>
      </c>
      <c r="BR117" s="389">
        <v>0</v>
      </c>
      <c r="BS117" s="296">
        <v>0</v>
      </c>
      <c r="BT117" s="296">
        <v>0</v>
      </c>
      <c r="BU117" s="296">
        <v>0</v>
      </c>
      <c r="BV117" s="409">
        <v>0</v>
      </c>
      <c r="BW117" s="1011">
        <f t="shared" si="850"/>
        <v>0</v>
      </c>
      <c r="BX117" s="439" t="s">
        <v>169</v>
      </c>
    </row>
    <row r="118" spans="1:76" s="1" customFormat="1" ht="87" hidden="1" customHeight="1" outlineLevel="1" x14ac:dyDescent="0.25">
      <c r="A118" s="678">
        <v>10</v>
      </c>
      <c r="B118" s="702" t="s">
        <v>69</v>
      </c>
      <c r="C118" s="697" t="s">
        <v>1737</v>
      </c>
      <c r="D118" s="63">
        <v>43971</v>
      </c>
      <c r="E118" s="463" t="s">
        <v>240</v>
      </c>
      <c r="F118" s="542" t="s">
        <v>274</v>
      </c>
      <c r="G118" s="95" t="s">
        <v>24</v>
      </c>
      <c r="H118" s="311" t="s">
        <v>129</v>
      </c>
      <c r="I118" s="335"/>
      <c r="J118" s="294">
        <f t="shared" si="834"/>
        <v>7.7754273958998365E-5</v>
      </c>
      <c r="K118" s="1228"/>
      <c r="L118" s="52">
        <f t="shared" si="835"/>
        <v>0</v>
      </c>
      <c r="M118" s="52">
        <f t="shared" si="836"/>
        <v>0</v>
      </c>
      <c r="N118" s="52">
        <f t="shared" si="836"/>
        <v>0</v>
      </c>
      <c r="O118" s="52">
        <f t="shared" si="836"/>
        <v>0</v>
      </c>
      <c r="P118" s="52">
        <f t="shared" si="837"/>
        <v>0</v>
      </c>
      <c r="Q118" s="52">
        <f t="shared" si="837"/>
        <v>0</v>
      </c>
      <c r="R118" s="52">
        <f t="shared" si="838"/>
        <v>0</v>
      </c>
      <c r="S118" s="527">
        <f t="shared" si="839"/>
        <v>0</v>
      </c>
      <c r="T118" s="533">
        <f t="shared" si="851"/>
        <v>-7.7754273958998365E-5</v>
      </c>
      <c r="U118" s="1225"/>
      <c r="V118" s="375">
        <f t="shared" si="852"/>
        <v>0</v>
      </c>
      <c r="W118" s="386">
        <f t="shared" si="840"/>
        <v>0</v>
      </c>
      <c r="X118" s="386">
        <f t="shared" si="841"/>
        <v>0</v>
      </c>
      <c r="Y118" s="386">
        <f t="shared" si="842"/>
        <v>0</v>
      </c>
      <c r="Z118" s="375">
        <f t="shared" si="842"/>
        <v>0</v>
      </c>
      <c r="AA118" s="375">
        <f t="shared" si="843"/>
        <v>0</v>
      </c>
      <c r="AB118" s="386">
        <f t="shared" si="844"/>
        <v>0</v>
      </c>
      <c r="AC118" s="386">
        <f t="shared" si="845"/>
        <v>0</v>
      </c>
      <c r="AD118" s="386">
        <f t="shared" si="845"/>
        <v>0</v>
      </c>
      <c r="AE118" s="386">
        <f t="shared" si="845"/>
        <v>0</v>
      </c>
      <c r="AF118" s="386">
        <f t="shared" si="845"/>
        <v>0</v>
      </c>
      <c r="AG118" s="375">
        <f t="shared" si="846"/>
        <v>0</v>
      </c>
      <c r="AH118" s="375">
        <f t="shared" si="847"/>
        <v>0</v>
      </c>
      <c r="AI118" s="386">
        <f t="shared" si="847"/>
        <v>0</v>
      </c>
      <c r="AJ118" s="386">
        <f t="shared" si="847"/>
        <v>0</v>
      </c>
      <c r="AK118" s="386">
        <f t="shared" si="847"/>
        <v>0</v>
      </c>
      <c r="AL118" s="377">
        <f t="shared" si="848"/>
        <v>0</v>
      </c>
      <c r="AM118" s="377">
        <f t="shared" si="848"/>
        <v>0</v>
      </c>
      <c r="AN118" s="377">
        <f t="shared" si="849"/>
        <v>0</v>
      </c>
      <c r="AO118" s="288"/>
      <c r="AP118" s="1261"/>
      <c r="AQ118" s="182">
        <f t="shared" si="853"/>
        <v>2.1922039999999998</v>
      </c>
      <c r="AR118" s="1268"/>
      <c r="AS118" s="80">
        <v>0</v>
      </c>
      <c r="AT118" s="80">
        <v>0</v>
      </c>
      <c r="AU118" s="80">
        <v>0</v>
      </c>
      <c r="AV118" s="80">
        <v>0</v>
      </c>
      <c r="AW118" s="80">
        <v>0</v>
      </c>
      <c r="AX118" s="80">
        <v>0</v>
      </c>
      <c r="AY118" s="80">
        <v>0</v>
      </c>
      <c r="AZ118" s="432">
        <v>0</v>
      </c>
      <c r="BA118" s="998">
        <v>-2.1922039999999998</v>
      </c>
      <c r="BB118" s="1283"/>
      <c r="BC118" s="207">
        <v>0</v>
      </c>
      <c r="BD118" s="389">
        <v>0</v>
      </c>
      <c r="BE118" s="389">
        <v>0</v>
      </c>
      <c r="BF118" s="516">
        <v>0</v>
      </c>
      <c r="BG118" s="207">
        <v>0</v>
      </c>
      <c r="BH118" s="207">
        <v>0</v>
      </c>
      <c r="BI118" s="389">
        <v>0</v>
      </c>
      <c r="BJ118" s="516">
        <v>0</v>
      </c>
      <c r="BK118" s="516">
        <v>0</v>
      </c>
      <c r="BL118" s="516">
        <v>0</v>
      </c>
      <c r="BM118" s="516">
        <v>0</v>
      </c>
      <c r="BN118" s="409">
        <v>0</v>
      </c>
      <c r="BO118" s="207">
        <v>0</v>
      </c>
      <c r="BP118" s="389">
        <v>0</v>
      </c>
      <c r="BQ118" s="389">
        <v>0</v>
      </c>
      <c r="BR118" s="389">
        <v>0</v>
      </c>
      <c r="BS118" s="296">
        <v>0</v>
      </c>
      <c r="BT118" s="296">
        <v>0</v>
      </c>
      <c r="BU118" s="296">
        <v>0</v>
      </c>
      <c r="BV118" s="409">
        <v>0</v>
      </c>
      <c r="BW118" s="1011">
        <f t="shared" si="850"/>
        <v>0</v>
      </c>
      <c r="BX118" s="439" t="s">
        <v>282</v>
      </c>
    </row>
    <row r="119" spans="1:76" s="1" customFormat="1" ht="57.95" hidden="1" customHeight="1" outlineLevel="1" x14ac:dyDescent="0.25">
      <c r="A119" s="678">
        <v>11</v>
      </c>
      <c r="B119" s="702" t="s">
        <v>69</v>
      </c>
      <c r="C119" s="697" t="s">
        <v>1737</v>
      </c>
      <c r="D119" s="63">
        <v>43991</v>
      </c>
      <c r="E119" s="463" t="s">
        <v>431</v>
      </c>
      <c r="F119" s="542" t="s">
        <v>432</v>
      </c>
      <c r="G119" s="95" t="s">
        <v>24</v>
      </c>
      <c r="H119" s="311" t="s">
        <v>129</v>
      </c>
      <c r="I119" s="335"/>
      <c r="J119" s="294">
        <f t="shared" si="834"/>
        <v>5.6749663048875649E-4</v>
      </c>
      <c r="K119" s="1228"/>
      <c r="L119" s="52">
        <f t="shared" si="835"/>
        <v>0</v>
      </c>
      <c r="M119" s="52">
        <f t="shared" si="836"/>
        <v>0</v>
      </c>
      <c r="N119" s="52">
        <f t="shared" si="836"/>
        <v>0</v>
      </c>
      <c r="O119" s="52">
        <f t="shared" si="836"/>
        <v>0</v>
      </c>
      <c r="P119" s="52">
        <f t="shared" si="837"/>
        <v>0</v>
      </c>
      <c r="Q119" s="52">
        <f t="shared" si="837"/>
        <v>0</v>
      </c>
      <c r="R119" s="52">
        <f t="shared" si="838"/>
        <v>0</v>
      </c>
      <c r="S119" s="527">
        <f t="shared" si="839"/>
        <v>0</v>
      </c>
      <c r="T119" s="533">
        <f t="shared" si="851"/>
        <v>-5.6749663048875649E-4</v>
      </c>
      <c r="U119" s="1225"/>
      <c r="V119" s="375">
        <f t="shared" si="852"/>
        <v>0</v>
      </c>
      <c r="W119" s="386">
        <f t="shared" si="840"/>
        <v>0</v>
      </c>
      <c r="X119" s="386">
        <f t="shared" si="841"/>
        <v>0</v>
      </c>
      <c r="Y119" s="386">
        <f t="shared" si="842"/>
        <v>0</v>
      </c>
      <c r="Z119" s="375">
        <f t="shared" si="842"/>
        <v>0</v>
      </c>
      <c r="AA119" s="375">
        <f t="shared" si="843"/>
        <v>0</v>
      </c>
      <c r="AB119" s="386">
        <f t="shared" si="844"/>
        <v>0</v>
      </c>
      <c r="AC119" s="386">
        <f t="shared" si="845"/>
        <v>0</v>
      </c>
      <c r="AD119" s="386">
        <f t="shared" si="845"/>
        <v>0</v>
      </c>
      <c r="AE119" s="386">
        <f t="shared" si="845"/>
        <v>0</v>
      </c>
      <c r="AF119" s="386">
        <f t="shared" si="845"/>
        <v>0</v>
      </c>
      <c r="AG119" s="375">
        <f t="shared" si="846"/>
        <v>0</v>
      </c>
      <c r="AH119" s="375">
        <f t="shared" si="847"/>
        <v>0</v>
      </c>
      <c r="AI119" s="386">
        <f t="shared" si="847"/>
        <v>0</v>
      </c>
      <c r="AJ119" s="386">
        <f t="shared" si="847"/>
        <v>0</v>
      </c>
      <c r="AK119" s="386">
        <f t="shared" si="847"/>
        <v>0</v>
      </c>
      <c r="AL119" s="377">
        <f t="shared" si="848"/>
        <v>0</v>
      </c>
      <c r="AM119" s="377">
        <f t="shared" si="848"/>
        <v>0</v>
      </c>
      <c r="AN119" s="377">
        <f t="shared" si="849"/>
        <v>0</v>
      </c>
      <c r="AO119" s="288"/>
      <c r="AP119" s="1261"/>
      <c r="AQ119" s="182">
        <f t="shared" si="853"/>
        <v>16</v>
      </c>
      <c r="AR119" s="1268"/>
      <c r="AS119" s="80">
        <v>0</v>
      </c>
      <c r="AT119" s="80">
        <v>0</v>
      </c>
      <c r="AU119" s="80">
        <v>0</v>
      </c>
      <c r="AV119" s="80">
        <v>0</v>
      </c>
      <c r="AW119" s="80">
        <v>0</v>
      </c>
      <c r="AX119" s="80">
        <v>0</v>
      </c>
      <c r="AY119" s="80">
        <v>0</v>
      </c>
      <c r="AZ119" s="432">
        <v>0</v>
      </c>
      <c r="BA119" s="1028">
        <v>-16</v>
      </c>
      <c r="BB119" s="1283"/>
      <c r="BC119" s="207">
        <v>0</v>
      </c>
      <c r="BD119" s="389">
        <v>0</v>
      </c>
      <c r="BE119" s="389">
        <v>0</v>
      </c>
      <c r="BF119" s="516">
        <v>0</v>
      </c>
      <c r="BG119" s="207">
        <v>0</v>
      </c>
      <c r="BH119" s="207">
        <v>0</v>
      </c>
      <c r="BI119" s="389">
        <v>0</v>
      </c>
      <c r="BJ119" s="516">
        <v>0</v>
      </c>
      <c r="BK119" s="516">
        <v>0</v>
      </c>
      <c r="BL119" s="516">
        <v>0</v>
      </c>
      <c r="BM119" s="516">
        <v>0</v>
      </c>
      <c r="BN119" s="409">
        <v>0</v>
      </c>
      <c r="BO119" s="207">
        <v>0</v>
      </c>
      <c r="BP119" s="389">
        <v>0</v>
      </c>
      <c r="BQ119" s="389">
        <v>0</v>
      </c>
      <c r="BR119" s="389">
        <v>0</v>
      </c>
      <c r="BS119" s="296">
        <v>0</v>
      </c>
      <c r="BT119" s="296">
        <v>0</v>
      </c>
      <c r="BU119" s="296">
        <v>0</v>
      </c>
      <c r="BV119" s="409">
        <v>0</v>
      </c>
      <c r="BW119" s="1011">
        <f t="shared" si="850"/>
        <v>0</v>
      </c>
      <c r="BX119" s="439" t="s">
        <v>433</v>
      </c>
    </row>
    <row r="120" spans="1:76" s="1" customFormat="1" ht="101.45" hidden="1" customHeight="1" outlineLevel="1" x14ac:dyDescent="0.25">
      <c r="A120" s="678">
        <v>12</v>
      </c>
      <c r="B120" s="702" t="s">
        <v>69</v>
      </c>
      <c r="C120" s="697" t="s">
        <v>1737</v>
      </c>
      <c r="D120" s="63" t="s">
        <v>587</v>
      </c>
      <c r="E120" s="471" t="s">
        <v>588</v>
      </c>
      <c r="F120" s="542" t="s">
        <v>408</v>
      </c>
      <c r="G120" s="95" t="s">
        <v>24</v>
      </c>
      <c r="H120" s="311" t="s">
        <v>129</v>
      </c>
      <c r="I120" s="335"/>
      <c r="J120" s="294">
        <f t="shared" si="834"/>
        <v>1.1138237922962333E-3</v>
      </c>
      <c r="K120" s="1228"/>
      <c r="L120" s="52">
        <f t="shared" si="835"/>
        <v>0</v>
      </c>
      <c r="M120" s="52">
        <f t="shared" si="836"/>
        <v>0</v>
      </c>
      <c r="N120" s="52">
        <f t="shared" si="836"/>
        <v>0</v>
      </c>
      <c r="O120" s="52">
        <f t="shared" si="836"/>
        <v>0</v>
      </c>
      <c r="P120" s="52">
        <f t="shared" si="837"/>
        <v>0</v>
      </c>
      <c r="Q120" s="52">
        <f t="shared" si="837"/>
        <v>0</v>
      </c>
      <c r="R120" s="52">
        <f t="shared" si="838"/>
        <v>0</v>
      </c>
      <c r="S120" s="527">
        <f t="shared" si="839"/>
        <v>0</v>
      </c>
      <c r="T120" s="533">
        <f t="shared" si="851"/>
        <v>-1.1138237922962333E-3</v>
      </c>
      <c r="U120" s="1225"/>
      <c r="V120" s="375">
        <f t="shared" si="852"/>
        <v>0</v>
      </c>
      <c r="W120" s="386">
        <f t="shared" si="840"/>
        <v>0</v>
      </c>
      <c r="X120" s="386">
        <f t="shared" si="841"/>
        <v>0</v>
      </c>
      <c r="Y120" s="386">
        <f t="shared" si="842"/>
        <v>0</v>
      </c>
      <c r="Z120" s="375">
        <f t="shared" si="842"/>
        <v>0</v>
      </c>
      <c r="AA120" s="375">
        <f t="shared" si="843"/>
        <v>0</v>
      </c>
      <c r="AB120" s="386">
        <f t="shared" si="844"/>
        <v>0</v>
      </c>
      <c r="AC120" s="386">
        <f t="shared" si="845"/>
        <v>0</v>
      </c>
      <c r="AD120" s="386">
        <f t="shared" si="845"/>
        <v>0</v>
      </c>
      <c r="AE120" s="386">
        <f t="shared" si="845"/>
        <v>0</v>
      </c>
      <c r="AF120" s="386">
        <f t="shared" si="845"/>
        <v>0</v>
      </c>
      <c r="AG120" s="375">
        <f t="shared" si="846"/>
        <v>0</v>
      </c>
      <c r="AH120" s="375">
        <f t="shared" si="847"/>
        <v>0</v>
      </c>
      <c r="AI120" s="386">
        <f t="shared" si="847"/>
        <v>0</v>
      </c>
      <c r="AJ120" s="386">
        <f t="shared" si="847"/>
        <v>0</v>
      </c>
      <c r="AK120" s="386">
        <f t="shared" si="847"/>
        <v>0</v>
      </c>
      <c r="AL120" s="377">
        <f t="shared" si="848"/>
        <v>0</v>
      </c>
      <c r="AM120" s="377">
        <f t="shared" si="848"/>
        <v>0</v>
      </c>
      <c r="AN120" s="377">
        <f t="shared" si="849"/>
        <v>0</v>
      </c>
      <c r="AO120" s="288"/>
      <c r="AP120" s="1261"/>
      <c r="AQ120" s="182">
        <f t="shared" si="853"/>
        <v>31.403148000000002</v>
      </c>
      <c r="AR120" s="1268"/>
      <c r="AS120" s="80">
        <v>0</v>
      </c>
      <c r="AT120" s="80">
        <v>0</v>
      </c>
      <c r="AU120" s="80">
        <v>0</v>
      </c>
      <c r="AV120" s="80">
        <v>0</v>
      </c>
      <c r="AW120" s="80">
        <v>0</v>
      </c>
      <c r="AX120" s="80">
        <v>0</v>
      </c>
      <c r="AY120" s="80">
        <v>0</v>
      </c>
      <c r="AZ120" s="432">
        <v>0</v>
      </c>
      <c r="BA120" s="1028">
        <v>-31.403148000000002</v>
      </c>
      <c r="BB120" s="1283"/>
      <c r="BC120" s="207">
        <v>0</v>
      </c>
      <c r="BD120" s="389">
        <v>0</v>
      </c>
      <c r="BE120" s="389">
        <v>0</v>
      </c>
      <c r="BF120" s="516">
        <v>0</v>
      </c>
      <c r="BG120" s="207">
        <v>0</v>
      </c>
      <c r="BH120" s="207">
        <v>0</v>
      </c>
      <c r="BI120" s="389">
        <v>0</v>
      </c>
      <c r="BJ120" s="516">
        <v>0</v>
      </c>
      <c r="BK120" s="516">
        <v>0</v>
      </c>
      <c r="BL120" s="516">
        <v>0</v>
      </c>
      <c r="BM120" s="516">
        <v>0</v>
      </c>
      <c r="BN120" s="409">
        <v>0</v>
      </c>
      <c r="BO120" s="207">
        <v>0</v>
      </c>
      <c r="BP120" s="389">
        <v>0</v>
      </c>
      <c r="BQ120" s="389">
        <v>0</v>
      </c>
      <c r="BR120" s="389">
        <v>0</v>
      </c>
      <c r="BS120" s="296">
        <v>0</v>
      </c>
      <c r="BT120" s="296">
        <v>0</v>
      </c>
      <c r="BU120" s="296">
        <v>0</v>
      </c>
      <c r="BV120" s="409">
        <v>0</v>
      </c>
      <c r="BW120" s="1011">
        <f t="shared" si="850"/>
        <v>0</v>
      </c>
      <c r="BX120" s="439" t="s">
        <v>589</v>
      </c>
    </row>
    <row r="121" spans="1:76" s="1" customFormat="1" ht="43.5" hidden="1" customHeight="1" outlineLevel="1" x14ac:dyDescent="0.25">
      <c r="A121" s="678">
        <v>13</v>
      </c>
      <c r="B121" s="702" t="s">
        <v>69</v>
      </c>
      <c r="C121" s="697" t="s">
        <v>1737</v>
      </c>
      <c r="D121" s="63">
        <v>44054</v>
      </c>
      <c r="E121" s="463" t="s">
        <v>329</v>
      </c>
      <c r="F121" s="542" t="s">
        <v>290</v>
      </c>
      <c r="G121" s="95" t="s">
        <v>24</v>
      </c>
      <c r="H121" s="311" t="s">
        <v>129</v>
      </c>
      <c r="I121" s="335"/>
      <c r="J121" s="294">
        <f t="shared" si="834"/>
        <v>7.2885223806483645E-5</v>
      </c>
      <c r="K121" s="1228"/>
      <c r="L121" s="52">
        <f t="shared" si="835"/>
        <v>0</v>
      </c>
      <c r="M121" s="52">
        <f t="shared" si="836"/>
        <v>0</v>
      </c>
      <c r="N121" s="52">
        <f t="shared" si="836"/>
        <v>0</v>
      </c>
      <c r="O121" s="52">
        <f t="shared" si="836"/>
        <v>0</v>
      </c>
      <c r="P121" s="52">
        <f t="shared" si="837"/>
        <v>0</v>
      </c>
      <c r="Q121" s="52">
        <f t="shared" si="837"/>
        <v>0</v>
      </c>
      <c r="R121" s="52">
        <f t="shared" si="838"/>
        <v>0</v>
      </c>
      <c r="S121" s="527">
        <f t="shared" si="839"/>
        <v>0</v>
      </c>
      <c r="T121" s="533">
        <f t="shared" si="851"/>
        <v>-7.2885223806483645E-5</v>
      </c>
      <c r="U121" s="1225"/>
      <c r="V121" s="375">
        <f t="shared" si="852"/>
        <v>0</v>
      </c>
      <c r="W121" s="386">
        <f t="shared" si="840"/>
        <v>0</v>
      </c>
      <c r="X121" s="386">
        <f t="shared" si="841"/>
        <v>0</v>
      </c>
      <c r="Y121" s="386">
        <f t="shared" si="842"/>
        <v>0</v>
      </c>
      <c r="Z121" s="375">
        <f t="shared" si="842"/>
        <v>0</v>
      </c>
      <c r="AA121" s="375">
        <f t="shared" si="843"/>
        <v>0</v>
      </c>
      <c r="AB121" s="386">
        <f t="shared" si="844"/>
        <v>0</v>
      </c>
      <c r="AC121" s="386">
        <f t="shared" si="845"/>
        <v>0</v>
      </c>
      <c r="AD121" s="386">
        <f t="shared" si="845"/>
        <v>0</v>
      </c>
      <c r="AE121" s="386">
        <f t="shared" si="845"/>
        <v>0</v>
      </c>
      <c r="AF121" s="386">
        <f t="shared" si="845"/>
        <v>0</v>
      </c>
      <c r="AG121" s="375">
        <f t="shared" si="846"/>
        <v>0</v>
      </c>
      <c r="AH121" s="375">
        <f t="shared" si="847"/>
        <v>0</v>
      </c>
      <c r="AI121" s="386">
        <f t="shared" si="847"/>
        <v>0</v>
      </c>
      <c r="AJ121" s="386">
        <f t="shared" si="847"/>
        <v>0</v>
      </c>
      <c r="AK121" s="386">
        <f t="shared" si="847"/>
        <v>0</v>
      </c>
      <c r="AL121" s="377">
        <f t="shared" si="848"/>
        <v>0</v>
      </c>
      <c r="AM121" s="377">
        <f t="shared" si="848"/>
        <v>0</v>
      </c>
      <c r="AN121" s="377">
        <f t="shared" si="849"/>
        <v>0</v>
      </c>
      <c r="AO121" s="288"/>
      <c r="AP121" s="1261"/>
      <c r="AQ121" s="182">
        <f t="shared" si="853"/>
        <v>2.054926</v>
      </c>
      <c r="AR121" s="1268"/>
      <c r="AS121" s="80">
        <v>0</v>
      </c>
      <c r="AT121" s="80">
        <v>0</v>
      </c>
      <c r="AU121" s="80">
        <v>0</v>
      </c>
      <c r="AV121" s="80">
        <v>0</v>
      </c>
      <c r="AW121" s="80">
        <v>0</v>
      </c>
      <c r="AX121" s="80">
        <v>0</v>
      </c>
      <c r="AY121" s="80">
        <v>0</v>
      </c>
      <c r="AZ121" s="432">
        <v>0</v>
      </c>
      <c r="BA121" s="998">
        <v>-2.054926</v>
      </c>
      <c r="BB121" s="1283"/>
      <c r="BC121" s="207">
        <v>0</v>
      </c>
      <c r="BD121" s="389">
        <v>0</v>
      </c>
      <c r="BE121" s="389">
        <v>0</v>
      </c>
      <c r="BF121" s="516">
        <v>0</v>
      </c>
      <c r="BG121" s="207">
        <v>0</v>
      </c>
      <c r="BH121" s="207">
        <v>0</v>
      </c>
      <c r="BI121" s="389">
        <v>0</v>
      </c>
      <c r="BJ121" s="516">
        <v>0</v>
      </c>
      <c r="BK121" s="516">
        <v>0</v>
      </c>
      <c r="BL121" s="516">
        <v>0</v>
      </c>
      <c r="BM121" s="516">
        <v>0</v>
      </c>
      <c r="BN121" s="409">
        <v>0</v>
      </c>
      <c r="BO121" s="207">
        <v>0</v>
      </c>
      <c r="BP121" s="389">
        <v>0</v>
      </c>
      <c r="BQ121" s="389">
        <v>0</v>
      </c>
      <c r="BR121" s="389">
        <v>0</v>
      </c>
      <c r="BS121" s="296">
        <v>0</v>
      </c>
      <c r="BT121" s="296">
        <v>0</v>
      </c>
      <c r="BU121" s="296">
        <v>0</v>
      </c>
      <c r="BV121" s="409">
        <v>0</v>
      </c>
      <c r="BW121" s="1011">
        <f t="shared" si="850"/>
        <v>0</v>
      </c>
      <c r="BX121" s="439" t="s">
        <v>330</v>
      </c>
    </row>
    <row r="122" spans="1:76" s="1" customFormat="1" ht="57.95" hidden="1" customHeight="1" outlineLevel="1" x14ac:dyDescent="0.25">
      <c r="A122" s="678">
        <v>14</v>
      </c>
      <c r="B122" s="702" t="s">
        <v>69</v>
      </c>
      <c r="C122" s="697" t="s">
        <v>1734</v>
      </c>
      <c r="D122" s="1208" t="s">
        <v>590</v>
      </c>
      <c r="E122" s="463" t="s">
        <v>592</v>
      </c>
      <c r="F122" s="542" t="s">
        <v>358</v>
      </c>
      <c r="G122" s="95" t="s">
        <v>24</v>
      </c>
      <c r="H122" s="311" t="s">
        <v>171</v>
      </c>
      <c r="I122" s="1204"/>
      <c r="J122" s="1199">
        <f>AQ122/T$8</f>
        <v>2.9438887706604243E-4</v>
      </c>
      <c r="K122" s="1228"/>
      <c r="L122" s="1201">
        <f>AS122/V$8</f>
        <v>1.5086732064152791E-3</v>
      </c>
      <c r="M122" s="1201">
        <f t="shared" si="836"/>
        <v>1.5715894516255772E-3</v>
      </c>
      <c r="N122" s="1201">
        <f t="shared" si="836"/>
        <v>1.4761763567418778E-3</v>
      </c>
      <c r="O122" s="1201">
        <f t="shared" si="836"/>
        <v>0</v>
      </c>
      <c r="P122" s="1201">
        <f t="shared" si="837"/>
        <v>0</v>
      </c>
      <c r="Q122" s="1201">
        <f t="shared" si="837"/>
        <v>0</v>
      </c>
      <c r="R122" s="1201">
        <f t="shared" si="838"/>
        <v>0</v>
      </c>
      <c r="S122" s="1210">
        <f>AZ122/AN$8</f>
        <v>0</v>
      </c>
      <c r="T122" s="1206">
        <f t="shared" si="851"/>
        <v>-2.9438887706604243E-4</v>
      </c>
      <c r="U122" s="1225"/>
      <c r="V122" s="1220">
        <f t="shared" si="852"/>
        <v>-9.0843948947110669E-4</v>
      </c>
      <c r="W122" s="1193">
        <f t="shared" si="840"/>
        <v>-1.6095910345313418E-3</v>
      </c>
      <c r="X122" s="1193">
        <f t="shared" si="841"/>
        <v>-9.4632416949010719E-4</v>
      </c>
      <c r="Y122" s="1193">
        <f t="shared" si="842"/>
        <v>-9.4632416949010719E-4</v>
      </c>
      <c r="Z122" s="1220">
        <f t="shared" si="842"/>
        <v>-9.4290314880986215E-4</v>
      </c>
      <c r="AA122" s="1220">
        <f t="shared" si="843"/>
        <v>-4.485771084587522E-4</v>
      </c>
      <c r="AB122" s="1193">
        <f t="shared" si="844"/>
        <v>-5.4238789685819749E-4</v>
      </c>
      <c r="AC122" s="1193">
        <f t="shared" si="845"/>
        <v>-5.4238789685819781E-4</v>
      </c>
      <c r="AD122" s="1193">
        <f t="shared" si="845"/>
        <v>-5.2646750211827196E-4</v>
      </c>
      <c r="AE122" s="1193">
        <f t="shared" si="845"/>
        <v>-4.6115637850953687E-4</v>
      </c>
      <c r="AF122" s="1193">
        <f t="shared" si="845"/>
        <v>-4.485771084587522E-4</v>
      </c>
      <c r="AG122" s="1220">
        <f t="shared" si="846"/>
        <v>-4.0750151743571445E-4</v>
      </c>
      <c r="AH122" s="1220">
        <f t="shared" si="847"/>
        <v>-4.5149570051727181E-5</v>
      </c>
      <c r="AI122" s="1193">
        <f t="shared" si="847"/>
        <v>-5.3227912270195704E-6</v>
      </c>
      <c r="AJ122" s="1193">
        <f t="shared" si="847"/>
        <v>-5.1623162572764001E-6</v>
      </c>
      <c r="AK122" s="1193">
        <f t="shared" si="847"/>
        <v>-4.5510222439954676E-5</v>
      </c>
      <c r="AL122" s="1150">
        <f t="shared" si="848"/>
        <v>0</v>
      </c>
      <c r="AM122" s="1150">
        <f t="shared" si="848"/>
        <v>0</v>
      </c>
      <c r="AN122" s="1150">
        <f t="shared" si="849"/>
        <v>0</v>
      </c>
      <c r="AO122" s="288"/>
      <c r="AP122" s="1261"/>
      <c r="AQ122" s="1212">
        <f t="shared" si="853"/>
        <v>8.3000000000000007</v>
      </c>
      <c r="AR122" s="1268"/>
      <c r="AS122" s="1165">
        <v>49.291370999999998</v>
      </c>
      <c r="AT122" s="1165">
        <v>49.291370999999998</v>
      </c>
      <c r="AU122" s="1165">
        <f>-BG122+17.911356</f>
        <v>49.581189999999999</v>
      </c>
      <c r="AV122" s="1165">
        <v>0</v>
      </c>
      <c r="AW122" s="1165">
        <v>0</v>
      </c>
      <c r="AX122" s="1165">
        <v>0</v>
      </c>
      <c r="AY122" s="1165">
        <v>0</v>
      </c>
      <c r="AZ122" s="1218">
        <f>-BU122</f>
        <v>0</v>
      </c>
      <c r="BA122" s="1280">
        <f>-8.3</f>
        <v>-8.3000000000000007</v>
      </c>
      <c r="BB122" s="1283"/>
      <c r="BC122" s="1169">
        <f>-15.62207-14.058465</f>
        <v>-29.680534999999999</v>
      </c>
      <c r="BD122" s="1242">
        <v>-49.3</v>
      </c>
      <c r="BE122" s="1242">
        <v>-29.680534999999999</v>
      </c>
      <c r="BF122" s="1172">
        <v>-29.680534999999999</v>
      </c>
      <c r="BG122" s="1171">
        <f>-4.77915-0.362361-9.206773-17.32155</f>
        <v>-31.669833999999998</v>
      </c>
      <c r="BH122" s="1169">
        <v>-17.691355999999999</v>
      </c>
      <c r="BI122" s="1242">
        <v>-18.452995999999999</v>
      </c>
      <c r="BJ122" s="1159">
        <v>-18.452995999999999</v>
      </c>
      <c r="BK122" s="1159">
        <v>-17.911356000000001</v>
      </c>
      <c r="BL122" s="1159">
        <v>-17.691355999999999</v>
      </c>
      <c r="BM122" s="1159">
        <v>-17.691355999999999</v>
      </c>
      <c r="BN122" s="1277">
        <v>-15.925458000000001</v>
      </c>
      <c r="BO122" s="1169">
        <v>-1.985938</v>
      </c>
      <c r="BP122" s="1242">
        <v>-0.22</v>
      </c>
      <c r="BQ122" s="1242">
        <v>-0.22</v>
      </c>
      <c r="BR122" s="1242">
        <v>-1.985938</v>
      </c>
      <c r="BS122" s="1269">
        <v>0</v>
      </c>
      <c r="BT122" s="1269">
        <v>0</v>
      </c>
      <c r="BU122" s="1269">
        <v>0</v>
      </c>
      <c r="BV122" s="1277">
        <v>0</v>
      </c>
      <c r="BW122" s="1271">
        <v>0</v>
      </c>
      <c r="BX122" s="1274" t="s">
        <v>1366</v>
      </c>
    </row>
    <row r="123" spans="1:76" s="1" customFormat="1" ht="98.45" hidden="1" customHeight="1" outlineLevel="1" x14ac:dyDescent="0.25">
      <c r="A123" s="678">
        <v>15</v>
      </c>
      <c r="B123" s="702" t="s">
        <v>69</v>
      </c>
      <c r="C123" s="697" t="s">
        <v>1734</v>
      </c>
      <c r="D123" s="1209"/>
      <c r="E123" s="463" t="s">
        <v>593</v>
      </c>
      <c r="F123" s="542" t="s">
        <v>358</v>
      </c>
      <c r="G123" s="95" t="s">
        <v>24</v>
      </c>
      <c r="H123" s="311" t="s">
        <v>171</v>
      </c>
      <c r="I123" s="1204"/>
      <c r="J123" s="1200"/>
      <c r="K123" s="1228"/>
      <c r="L123" s="1202"/>
      <c r="M123" s="1202"/>
      <c r="N123" s="1202"/>
      <c r="O123" s="1202"/>
      <c r="P123" s="1202"/>
      <c r="Q123" s="1202"/>
      <c r="R123" s="1202"/>
      <c r="S123" s="1211"/>
      <c r="T123" s="1207"/>
      <c r="U123" s="1225"/>
      <c r="V123" s="1221"/>
      <c r="W123" s="1194"/>
      <c r="X123" s="1194"/>
      <c r="Y123" s="1194"/>
      <c r="Z123" s="1221"/>
      <c r="AA123" s="1221"/>
      <c r="AB123" s="1194"/>
      <c r="AC123" s="1194"/>
      <c r="AD123" s="1194"/>
      <c r="AE123" s="1194"/>
      <c r="AF123" s="1194"/>
      <c r="AG123" s="1221"/>
      <c r="AH123" s="1221"/>
      <c r="AI123" s="1194"/>
      <c r="AJ123" s="1194"/>
      <c r="AK123" s="1194"/>
      <c r="AL123" s="1227"/>
      <c r="AM123" s="1227"/>
      <c r="AN123" s="1227"/>
      <c r="AO123" s="288"/>
      <c r="AP123" s="1261"/>
      <c r="AQ123" s="1213"/>
      <c r="AR123" s="1268"/>
      <c r="AS123" s="1166"/>
      <c r="AT123" s="1166"/>
      <c r="AU123" s="1166"/>
      <c r="AV123" s="1166"/>
      <c r="AW123" s="1166"/>
      <c r="AX123" s="1166"/>
      <c r="AY123" s="1166"/>
      <c r="AZ123" s="1219"/>
      <c r="BA123" s="1281"/>
      <c r="BB123" s="1284"/>
      <c r="BC123" s="1244"/>
      <c r="BD123" s="1248"/>
      <c r="BE123" s="1248"/>
      <c r="BF123" s="1245"/>
      <c r="BG123" s="1246"/>
      <c r="BH123" s="1244"/>
      <c r="BI123" s="1248"/>
      <c r="BJ123" s="1247"/>
      <c r="BK123" s="1247"/>
      <c r="BL123" s="1247"/>
      <c r="BM123" s="1247"/>
      <c r="BN123" s="1278"/>
      <c r="BO123" s="1244"/>
      <c r="BP123" s="1248"/>
      <c r="BQ123" s="1248"/>
      <c r="BR123" s="1248"/>
      <c r="BS123" s="1276"/>
      <c r="BT123" s="1276"/>
      <c r="BU123" s="1276"/>
      <c r="BV123" s="1278"/>
      <c r="BW123" s="1272"/>
      <c r="BX123" s="1275"/>
    </row>
    <row r="124" spans="1:76" s="1" customFormat="1" ht="43.5" hidden="1" customHeight="1" outlineLevel="1" x14ac:dyDescent="0.25">
      <c r="A124" s="678">
        <v>16</v>
      </c>
      <c r="B124" s="702" t="s">
        <v>69</v>
      </c>
      <c r="C124" s="697" t="s">
        <v>701</v>
      </c>
      <c r="D124" s="63">
        <v>44123</v>
      </c>
      <c r="E124" s="463" t="s">
        <v>389</v>
      </c>
      <c r="F124" s="555" t="s">
        <v>637</v>
      </c>
      <c r="G124" s="95" t="s">
        <v>24</v>
      </c>
      <c r="H124" s="311" t="s">
        <v>129</v>
      </c>
      <c r="I124" s="335"/>
      <c r="J124" s="294">
        <f t="shared" ref="J124:J127" si="854">AQ124/T$8</f>
        <v>5.80997375328084E-5</v>
      </c>
      <c r="K124" s="1228"/>
      <c r="L124" s="52">
        <f t="shared" ref="L124:L189" si="855">AS124/V$8</f>
        <v>0</v>
      </c>
      <c r="M124" s="52">
        <f t="shared" ref="M124:M155" si="856">AT124/Y$8</f>
        <v>0</v>
      </c>
      <c r="N124" s="52">
        <f t="shared" ref="N124:N155" si="857">AU124/Z$8</f>
        <v>0</v>
      </c>
      <c r="O124" s="52">
        <f t="shared" ref="O124:O155" si="858">AV124/AA$8</f>
        <v>0</v>
      </c>
      <c r="P124" s="52">
        <f t="shared" ref="P124:P155" si="859">AW124/AE$8</f>
        <v>0</v>
      </c>
      <c r="Q124" s="52">
        <f t="shared" ref="Q124:Q155" si="860">AX124/AF$8</f>
        <v>0</v>
      </c>
      <c r="R124" s="52">
        <f t="shared" ref="R124:R155" si="861">AY124/AH$8</f>
        <v>0</v>
      </c>
      <c r="S124" s="527">
        <f t="shared" ref="S124:S127" si="862">AZ124/AN$8</f>
        <v>0</v>
      </c>
      <c r="T124" s="533">
        <f t="shared" ref="T124:T155" si="863">BA124/T$8</f>
        <v>-5.80997375328084E-5</v>
      </c>
      <c r="U124" s="1225"/>
      <c r="V124" s="375">
        <f t="shared" ref="V124:V189" si="864">BC124/V$8</f>
        <v>0</v>
      </c>
      <c r="W124" s="386">
        <f t="shared" ref="W124:W189" si="865">BD124/W$8</f>
        <v>0</v>
      </c>
      <c r="X124" s="386">
        <f t="shared" ref="X124:X189" si="866">BE124/X$8</f>
        <v>0</v>
      </c>
      <c r="Y124" s="386">
        <f t="shared" ref="Y124:Y156" si="867">BF124/Y$8</f>
        <v>0</v>
      </c>
      <c r="Z124" s="375">
        <f t="shared" ref="Z124:Z156" si="868">BG124/Z$8</f>
        <v>0</v>
      </c>
      <c r="AA124" s="375">
        <f t="shared" ref="AA124:AA189" si="869">BH124/AA$8</f>
        <v>0</v>
      </c>
      <c r="AB124" s="386">
        <f t="shared" ref="AB124:AB189" si="870">BI124/AB$8</f>
        <v>0</v>
      </c>
      <c r="AC124" s="386">
        <f t="shared" ref="AC124:AC155" si="871">BJ124/AC$8</f>
        <v>0</v>
      </c>
      <c r="AD124" s="386">
        <f t="shared" ref="AD124:AD155" si="872">BK124/AD$8</f>
        <v>0</v>
      </c>
      <c r="AE124" s="386">
        <f t="shared" ref="AE124:AE155" si="873">BL124/AE$8</f>
        <v>0</v>
      </c>
      <c r="AF124" s="386">
        <f t="shared" ref="AF124:AF155" si="874">BM124/AF$8</f>
        <v>0</v>
      </c>
      <c r="AG124" s="375">
        <f t="shared" ref="AG124:AG155" si="875">BN124/AG$8</f>
        <v>0</v>
      </c>
      <c r="AH124" s="375">
        <f t="shared" ref="AH124:AH155" si="876">BO124/AH$8</f>
        <v>0</v>
      </c>
      <c r="AI124" s="386">
        <f t="shared" ref="AI124:AI155" si="877">BP124/AI$8</f>
        <v>0</v>
      </c>
      <c r="AJ124" s="386">
        <f t="shared" ref="AJ124:AJ155" si="878">BQ124/AJ$8</f>
        <v>0</v>
      </c>
      <c r="AK124" s="386">
        <f t="shared" ref="AK124:AK155" si="879">BR124/AK$8</f>
        <v>0</v>
      </c>
      <c r="AL124" s="377">
        <f t="shared" ref="AL124:AL155" si="880">BS124/AL$8</f>
        <v>0</v>
      </c>
      <c r="AM124" s="377">
        <f t="shared" ref="AM124:AM155" si="881">BT124/AM$8</f>
        <v>0</v>
      </c>
      <c r="AN124" s="377">
        <f t="shared" ref="AN124:AN155" si="882">BU124/AN$8</f>
        <v>0</v>
      </c>
      <c r="AO124" s="288"/>
      <c r="AP124" s="1261"/>
      <c r="AQ124" s="183">
        <f>-BA124</f>
        <v>1.638064</v>
      </c>
      <c r="AR124" s="1268"/>
      <c r="AS124" s="94">
        <v>0</v>
      </c>
      <c r="AT124" s="94">
        <v>0</v>
      </c>
      <c r="AU124" s="94">
        <v>0</v>
      </c>
      <c r="AV124" s="94">
        <v>0</v>
      </c>
      <c r="AW124" s="94">
        <v>0</v>
      </c>
      <c r="AX124" s="94">
        <v>0</v>
      </c>
      <c r="AY124" s="94">
        <v>0</v>
      </c>
      <c r="AZ124" s="433">
        <v>0</v>
      </c>
      <c r="BA124" s="998">
        <v>-1.638064</v>
      </c>
      <c r="BB124" s="1283"/>
      <c r="BC124" s="207">
        <v>0</v>
      </c>
      <c r="BD124" s="389">
        <v>0</v>
      </c>
      <c r="BE124" s="389">
        <v>0</v>
      </c>
      <c r="BF124" s="516">
        <v>0</v>
      </c>
      <c r="BG124" s="207">
        <v>0</v>
      </c>
      <c r="BH124" s="207">
        <v>0</v>
      </c>
      <c r="BI124" s="389">
        <v>0</v>
      </c>
      <c r="BJ124" s="516">
        <v>0</v>
      </c>
      <c r="BK124" s="516">
        <v>0</v>
      </c>
      <c r="BL124" s="516">
        <v>0</v>
      </c>
      <c r="BM124" s="516">
        <v>0</v>
      </c>
      <c r="BN124" s="409">
        <v>0</v>
      </c>
      <c r="BO124" s="207">
        <v>0</v>
      </c>
      <c r="BP124" s="389">
        <v>0</v>
      </c>
      <c r="BQ124" s="389">
        <v>0</v>
      </c>
      <c r="BR124" s="389">
        <v>0</v>
      </c>
      <c r="BS124" s="296">
        <v>0</v>
      </c>
      <c r="BT124" s="296">
        <v>0</v>
      </c>
      <c r="BU124" s="296">
        <v>0</v>
      </c>
      <c r="BV124" s="409">
        <v>0</v>
      </c>
      <c r="BW124" s="1011">
        <f t="shared" ref="BW124:BW145" si="883">-BV124</f>
        <v>0</v>
      </c>
      <c r="BX124" s="439" t="s">
        <v>387</v>
      </c>
    </row>
    <row r="125" spans="1:76" s="1" customFormat="1" ht="72.599999999999994" hidden="1" customHeight="1" outlineLevel="1" x14ac:dyDescent="0.25">
      <c r="A125" s="678">
        <v>17</v>
      </c>
      <c r="B125" s="702" t="s">
        <v>69</v>
      </c>
      <c r="C125" s="697" t="s">
        <v>1737</v>
      </c>
      <c r="D125" s="230">
        <v>44124</v>
      </c>
      <c r="E125" s="472" t="s">
        <v>595</v>
      </c>
      <c r="F125" s="542" t="s">
        <v>388</v>
      </c>
      <c r="G125" s="229" t="s">
        <v>24</v>
      </c>
      <c r="H125" s="312" t="s">
        <v>129</v>
      </c>
      <c r="I125" s="335"/>
      <c r="J125" s="294">
        <f t="shared" si="854"/>
        <v>3.9059374334964888E-5</v>
      </c>
      <c r="K125" s="1228"/>
      <c r="L125" s="52">
        <f t="shared" si="855"/>
        <v>0</v>
      </c>
      <c r="M125" s="52">
        <f t="shared" si="856"/>
        <v>0</v>
      </c>
      <c r="N125" s="52">
        <f t="shared" si="857"/>
        <v>0</v>
      </c>
      <c r="O125" s="52">
        <f t="shared" si="858"/>
        <v>0</v>
      </c>
      <c r="P125" s="52">
        <f t="shared" si="859"/>
        <v>0</v>
      </c>
      <c r="Q125" s="52">
        <f t="shared" si="860"/>
        <v>0</v>
      </c>
      <c r="R125" s="52">
        <f t="shared" si="861"/>
        <v>0</v>
      </c>
      <c r="S125" s="527">
        <f t="shared" si="862"/>
        <v>0</v>
      </c>
      <c r="T125" s="533">
        <f t="shared" si="863"/>
        <v>-3.9059374334964888E-5</v>
      </c>
      <c r="U125" s="1225"/>
      <c r="V125" s="375">
        <f t="shared" si="864"/>
        <v>0</v>
      </c>
      <c r="W125" s="386">
        <f t="shared" si="865"/>
        <v>0</v>
      </c>
      <c r="X125" s="386">
        <f t="shared" si="866"/>
        <v>0</v>
      </c>
      <c r="Y125" s="386">
        <f t="shared" si="867"/>
        <v>0</v>
      </c>
      <c r="Z125" s="375">
        <f t="shared" si="868"/>
        <v>0</v>
      </c>
      <c r="AA125" s="375">
        <f t="shared" si="869"/>
        <v>0</v>
      </c>
      <c r="AB125" s="386">
        <f t="shared" si="870"/>
        <v>0</v>
      </c>
      <c r="AC125" s="386">
        <f t="shared" si="871"/>
        <v>0</v>
      </c>
      <c r="AD125" s="386">
        <f t="shared" si="872"/>
        <v>0</v>
      </c>
      <c r="AE125" s="386">
        <f t="shared" si="873"/>
        <v>0</v>
      </c>
      <c r="AF125" s="386">
        <f t="shared" si="874"/>
        <v>0</v>
      </c>
      <c r="AG125" s="375">
        <f t="shared" si="875"/>
        <v>0</v>
      </c>
      <c r="AH125" s="375">
        <f t="shared" si="876"/>
        <v>0</v>
      </c>
      <c r="AI125" s="386">
        <f t="shared" si="877"/>
        <v>0</v>
      </c>
      <c r="AJ125" s="386">
        <f t="shared" si="878"/>
        <v>0</v>
      </c>
      <c r="AK125" s="386">
        <f t="shared" si="879"/>
        <v>0</v>
      </c>
      <c r="AL125" s="377">
        <f t="shared" si="880"/>
        <v>0</v>
      </c>
      <c r="AM125" s="377">
        <f t="shared" si="881"/>
        <v>0</v>
      </c>
      <c r="AN125" s="377">
        <f t="shared" si="882"/>
        <v>0</v>
      </c>
      <c r="AO125" s="288"/>
      <c r="AP125" s="1261"/>
      <c r="AQ125" s="184">
        <f>-BA125</f>
        <v>1.10124</v>
      </c>
      <c r="AR125" s="1268"/>
      <c r="AS125" s="226">
        <f>-BC125</f>
        <v>0</v>
      </c>
      <c r="AT125" s="226">
        <f>-BC125</f>
        <v>0</v>
      </c>
      <c r="AU125" s="226">
        <f>-BG125</f>
        <v>0</v>
      </c>
      <c r="AV125" s="226">
        <f>-BH125</f>
        <v>0</v>
      </c>
      <c r="AW125" s="226">
        <f>-BH125</f>
        <v>0</v>
      </c>
      <c r="AX125" s="226">
        <f>-BN125</f>
        <v>0</v>
      </c>
      <c r="AY125" s="226">
        <f>-BO125</f>
        <v>0</v>
      </c>
      <c r="AZ125" s="434">
        <f>-BU125</f>
        <v>0</v>
      </c>
      <c r="BA125" s="1029">
        <v>-1.10124</v>
      </c>
      <c r="BB125" s="1283"/>
      <c r="BC125" s="211">
        <v>0</v>
      </c>
      <c r="BD125" s="977">
        <v>0</v>
      </c>
      <c r="BE125" s="389">
        <v>0</v>
      </c>
      <c r="BF125" s="516">
        <v>0</v>
      </c>
      <c r="BG125" s="207">
        <v>0</v>
      </c>
      <c r="BH125" s="211">
        <v>0</v>
      </c>
      <c r="BI125" s="977">
        <v>0</v>
      </c>
      <c r="BJ125" s="978">
        <v>0</v>
      </c>
      <c r="BK125" s="978">
        <v>0</v>
      </c>
      <c r="BL125" s="978">
        <v>0</v>
      </c>
      <c r="BM125" s="978">
        <v>0</v>
      </c>
      <c r="BN125" s="410">
        <v>0</v>
      </c>
      <c r="BO125" s="211">
        <v>0</v>
      </c>
      <c r="BP125" s="977">
        <v>0</v>
      </c>
      <c r="BQ125" s="977">
        <v>0</v>
      </c>
      <c r="BR125" s="977">
        <v>0</v>
      </c>
      <c r="BS125" s="980">
        <v>0</v>
      </c>
      <c r="BT125" s="980">
        <v>0</v>
      </c>
      <c r="BU125" s="980">
        <v>0</v>
      </c>
      <c r="BV125" s="410">
        <v>0</v>
      </c>
      <c r="BW125" s="1012">
        <f t="shared" si="883"/>
        <v>0</v>
      </c>
      <c r="BX125" s="441" t="s">
        <v>638</v>
      </c>
    </row>
    <row r="126" spans="1:76" s="1" customFormat="1" ht="43.5" hidden="1" customHeight="1" outlineLevel="1" x14ac:dyDescent="0.25">
      <c r="A126" s="678">
        <v>18</v>
      </c>
      <c r="B126" s="702" t="s">
        <v>69</v>
      </c>
      <c r="C126" s="697" t="s">
        <v>701</v>
      </c>
      <c r="D126" s="63">
        <v>44124</v>
      </c>
      <c r="E126" s="473" t="s">
        <v>639</v>
      </c>
      <c r="F126" s="555" t="s">
        <v>637</v>
      </c>
      <c r="G126" s="95" t="s">
        <v>24</v>
      </c>
      <c r="H126" s="311" t="s">
        <v>129</v>
      </c>
      <c r="I126" s="335"/>
      <c r="J126" s="294">
        <f t="shared" si="854"/>
        <v>0</v>
      </c>
      <c r="K126" s="1228"/>
      <c r="L126" s="52">
        <f t="shared" si="855"/>
        <v>7.9739256856023501E-5</v>
      </c>
      <c r="M126" s="52">
        <f t="shared" si="856"/>
        <v>8.3064625541506455E-5</v>
      </c>
      <c r="N126" s="52">
        <f t="shared" si="857"/>
        <v>0</v>
      </c>
      <c r="O126" s="52">
        <f t="shared" si="858"/>
        <v>0</v>
      </c>
      <c r="P126" s="52">
        <f t="shared" si="859"/>
        <v>0</v>
      </c>
      <c r="Q126" s="52">
        <f t="shared" si="860"/>
        <v>0</v>
      </c>
      <c r="R126" s="52">
        <f t="shared" si="861"/>
        <v>0</v>
      </c>
      <c r="S126" s="527">
        <f t="shared" si="862"/>
        <v>0</v>
      </c>
      <c r="T126" s="533">
        <f t="shared" si="863"/>
        <v>0</v>
      </c>
      <c r="U126" s="1225"/>
      <c r="V126" s="375">
        <f t="shared" si="864"/>
        <v>-7.9739256856023501E-5</v>
      </c>
      <c r="W126" s="386">
        <f t="shared" si="865"/>
        <v>-8.5058266863964857E-5</v>
      </c>
      <c r="X126" s="386">
        <f t="shared" si="866"/>
        <v>0</v>
      </c>
      <c r="Y126" s="386">
        <f t="shared" si="867"/>
        <v>0</v>
      </c>
      <c r="Z126" s="375">
        <f t="shared" si="868"/>
        <v>0</v>
      </c>
      <c r="AA126" s="375">
        <f t="shared" si="869"/>
        <v>0</v>
      </c>
      <c r="AB126" s="386">
        <f t="shared" si="870"/>
        <v>0</v>
      </c>
      <c r="AC126" s="386">
        <f t="shared" si="871"/>
        <v>0</v>
      </c>
      <c r="AD126" s="386">
        <f t="shared" si="872"/>
        <v>0</v>
      </c>
      <c r="AE126" s="386">
        <f t="shared" si="873"/>
        <v>0</v>
      </c>
      <c r="AF126" s="386">
        <f t="shared" si="874"/>
        <v>0</v>
      </c>
      <c r="AG126" s="375">
        <f t="shared" si="875"/>
        <v>0</v>
      </c>
      <c r="AH126" s="375">
        <f t="shared" si="876"/>
        <v>0</v>
      </c>
      <c r="AI126" s="386">
        <f t="shared" si="877"/>
        <v>0</v>
      </c>
      <c r="AJ126" s="386">
        <f t="shared" si="878"/>
        <v>0</v>
      </c>
      <c r="AK126" s="386">
        <f t="shared" si="879"/>
        <v>0</v>
      </c>
      <c r="AL126" s="377">
        <f t="shared" si="880"/>
        <v>0</v>
      </c>
      <c r="AM126" s="377">
        <f t="shared" si="881"/>
        <v>0</v>
      </c>
      <c r="AN126" s="377">
        <f t="shared" si="882"/>
        <v>0</v>
      </c>
      <c r="AO126" s="288"/>
      <c r="AP126" s="1261"/>
      <c r="AQ126" s="183">
        <f>-BA126</f>
        <v>0</v>
      </c>
      <c r="AR126" s="1268"/>
      <c r="AS126" s="94">
        <f>-BC126</f>
        <v>2.6052409999999999</v>
      </c>
      <c r="AT126" s="94">
        <f>-BC126</f>
        <v>2.6052409999999999</v>
      </c>
      <c r="AU126" s="94">
        <f>-BG126</f>
        <v>0</v>
      </c>
      <c r="AV126" s="94">
        <f>-BH126</f>
        <v>0</v>
      </c>
      <c r="AW126" s="94">
        <f>-BH126</f>
        <v>0</v>
      </c>
      <c r="AX126" s="94">
        <f>-BN126</f>
        <v>0</v>
      </c>
      <c r="AY126" s="94">
        <f>-BO126</f>
        <v>0</v>
      </c>
      <c r="AZ126" s="433">
        <f>-BU126</f>
        <v>0</v>
      </c>
      <c r="BA126" s="998">
        <v>0</v>
      </c>
      <c r="BB126" s="1283"/>
      <c r="BC126" s="207">
        <v>-2.6052409999999999</v>
      </c>
      <c r="BD126" s="389">
        <v>-2.6052409999999999</v>
      </c>
      <c r="BE126" s="389">
        <v>0</v>
      </c>
      <c r="BF126" s="516">
        <v>0</v>
      </c>
      <c r="BG126" s="207">
        <v>0</v>
      </c>
      <c r="BH126" s="207">
        <v>0</v>
      </c>
      <c r="BI126" s="389">
        <v>0</v>
      </c>
      <c r="BJ126" s="516">
        <v>0</v>
      </c>
      <c r="BK126" s="516">
        <v>0</v>
      </c>
      <c r="BL126" s="516">
        <v>0</v>
      </c>
      <c r="BM126" s="516">
        <v>0</v>
      </c>
      <c r="BN126" s="409">
        <v>0</v>
      </c>
      <c r="BO126" s="207">
        <v>0</v>
      </c>
      <c r="BP126" s="389">
        <v>0</v>
      </c>
      <c r="BQ126" s="389">
        <v>0</v>
      </c>
      <c r="BR126" s="389">
        <v>0</v>
      </c>
      <c r="BS126" s="296">
        <v>0</v>
      </c>
      <c r="BT126" s="296">
        <v>0</v>
      </c>
      <c r="BU126" s="296">
        <v>0</v>
      </c>
      <c r="BV126" s="409">
        <v>0</v>
      </c>
      <c r="BW126" s="1011">
        <f t="shared" si="883"/>
        <v>0</v>
      </c>
      <c r="BX126" s="438" t="s">
        <v>506</v>
      </c>
    </row>
    <row r="127" spans="1:76" s="1" customFormat="1" ht="43.5" hidden="1" customHeight="1" outlineLevel="1" x14ac:dyDescent="0.25">
      <c r="A127" s="678">
        <v>19</v>
      </c>
      <c r="B127" s="702" t="s">
        <v>69</v>
      </c>
      <c r="C127" s="697" t="s">
        <v>1736</v>
      </c>
      <c r="D127" s="63">
        <v>44138</v>
      </c>
      <c r="E127" s="463" t="s">
        <v>409</v>
      </c>
      <c r="F127" s="542" t="s">
        <v>399</v>
      </c>
      <c r="G127" s="95" t="s">
        <v>24</v>
      </c>
      <c r="H127" s="311" t="s">
        <v>130</v>
      </c>
      <c r="I127" s="335"/>
      <c r="J127" s="294">
        <f t="shared" si="854"/>
        <v>4.4196318365609701E-5</v>
      </c>
      <c r="K127" s="1228"/>
      <c r="L127" s="52">
        <f t="shared" si="855"/>
        <v>0</v>
      </c>
      <c r="M127" s="52">
        <f t="shared" si="856"/>
        <v>0</v>
      </c>
      <c r="N127" s="52">
        <f t="shared" si="857"/>
        <v>0</v>
      </c>
      <c r="O127" s="52">
        <f t="shared" si="858"/>
        <v>0</v>
      </c>
      <c r="P127" s="52">
        <f t="shared" si="859"/>
        <v>0</v>
      </c>
      <c r="Q127" s="52">
        <f t="shared" si="860"/>
        <v>0</v>
      </c>
      <c r="R127" s="52">
        <f t="shared" si="861"/>
        <v>0</v>
      </c>
      <c r="S127" s="527">
        <f t="shared" si="862"/>
        <v>0</v>
      </c>
      <c r="T127" s="533">
        <f t="shared" si="863"/>
        <v>-4.4196318365609701E-5</v>
      </c>
      <c r="U127" s="1225"/>
      <c r="V127" s="375">
        <f t="shared" si="864"/>
        <v>0</v>
      </c>
      <c r="W127" s="386">
        <f t="shared" si="865"/>
        <v>0</v>
      </c>
      <c r="X127" s="386">
        <f t="shared" si="866"/>
        <v>0</v>
      </c>
      <c r="Y127" s="386">
        <f t="shared" si="867"/>
        <v>0</v>
      </c>
      <c r="Z127" s="375">
        <f t="shared" si="868"/>
        <v>0</v>
      </c>
      <c r="AA127" s="375">
        <f t="shared" si="869"/>
        <v>0</v>
      </c>
      <c r="AB127" s="386">
        <f t="shared" si="870"/>
        <v>0</v>
      </c>
      <c r="AC127" s="386">
        <f t="shared" si="871"/>
        <v>0</v>
      </c>
      <c r="AD127" s="386">
        <f t="shared" si="872"/>
        <v>0</v>
      </c>
      <c r="AE127" s="386">
        <f t="shared" si="873"/>
        <v>0</v>
      </c>
      <c r="AF127" s="386">
        <f t="shared" si="874"/>
        <v>0</v>
      </c>
      <c r="AG127" s="375">
        <f t="shared" si="875"/>
        <v>0</v>
      </c>
      <c r="AH127" s="375">
        <f t="shared" si="876"/>
        <v>0</v>
      </c>
      <c r="AI127" s="386">
        <f t="shared" si="877"/>
        <v>0</v>
      </c>
      <c r="AJ127" s="386">
        <f t="shared" si="878"/>
        <v>0</v>
      </c>
      <c r="AK127" s="386">
        <f t="shared" si="879"/>
        <v>0</v>
      </c>
      <c r="AL127" s="377">
        <f t="shared" si="880"/>
        <v>0</v>
      </c>
      <c r="AM127" s="377">
        <f t="shared" si="881"/>
        <v>0</v>
      </c>
      <c r="AN127" s="377">
        <f t="shared" si="882"/>
        <v>0</v>
      </c>
      <c r="AO127" s="288"/>
      <c r="AP127" s="1261"/>
      <c r="AQ127" s="183">
        <v>1.2460709999999999</v>
      </c>
      <c r="AR127" s="1268"/>
      <c r="AS127" s="94">
        <v>0</v>
      </c>
      <c r="AT127" s="94">
        <v>0</v>
      </c>
      <c r="AU127" s="94">
        <v>0</v>
      </c>
      <c r="AV127" s="94">
        <v>0</v>
      </c>
      <c r="AW127" s="94">
        <v>0</v>
      </c>
      <c r="AX127" s="94">
        <v>0</v>
      </c>
      <c r="AY127" s="94">
        <v>0</v>
      </c>
      <c r="AZ127" s="433">
        <v>0</v>
      </c>
      <c r="BA127" s="998">
        <v>-1.2460709999999999</v>
      </c>
      <c r="BB127" s="1283"/>
      <c r="BC127" s="207">
        <v>0</v>
      </c>
      <c r="BD127" s="389">
        <v>0</v>
      </c>
      <c r="BE127" s="389">
        <v>0</v>
      </c>
      <c r="BF127" s="516">
        <v>0</v>
      </c>
      <c r="BG127" s="207">
        <f>0</f>
        <v>0</v>
      </c>
      <c r="BH127" s="207">
        <v>0</v>
      </c>
      <c r="BI127" s="389">
        <v>0</v>
      </c>
      <c r="BJ127" s="516">
        <v>0</v>
      </c>
      <c r="BK127" s="516">
        <v>0</v>
      </c>
      <c r="BL127" s="516">
        <v>0</v>
      </c>
      <c r="BM127" s="516">
        <v>0</v>
      </c>
      <c r="BN127" s="409">
        <f>0</f>
        <v>0</v>
      </c>
      <c r="BO127" s="207">
        <v>0</v>
      </c>
      <c r="BP127" s="389">
        <v>0</v>
      </c>
      <c r="BQ127" s="389">
        <v>0</v>
      </c>
      <c r="BR127" s="389">
        <v>0</v>
      </c>
      <c r="BS127" s="296">
        <v>0</v>
      </c>
      <c r="BT127" s="296">
        <v>0</v>
      </c>
      <c r="BU127" s="296">
        <v>0</v>
      </c>
      <c r="BV127" s="409">
        <f>0</f>
        <v>0</v>
      </c>
      <c r="BW127" s="1011">
        <f t="shared" si="883"/>
        <v>0</v>
      </c>
      <c r="BX127" s="438" t="s">
        <v>400</v>
      </c>
    </row>
    <row r="128" spans="1:76" s="1" customFormat="1" ht="57.95" hidden="1" customHeight="1" outlineLevel="1" x14ac:dyDescent="0.25">
      <c r="A128" s="678">
        <v>20</v>
      </c>
      <c r="B128" s="702" t="s">
        <v>69</v>
      </c>
      <c r="C128" s="697" t="s">
        <v>1736</v>
      </c>
      <c r="D128" s="63">
        <v>44141</v>
      </c>
      <c r="E128" s="463" t="s">
        <v>401</v>
      </c>
      <c r="F128" s="542" t="s">
        <v>402</v>
      </c>
      <c r="G128" s="95" t="s">
        <v>24</v>
      </c>
      <c r="H128" s="311" t="s">
        <v>130</v>
      </c>
      <c r="I128" s="335"/>
      <c r="J128" s="294">
        <f>AQ128/T$8</f>
        <v>1.038011633680925E-4</v>
      </c>
      <c r="K128" s="1202"/>
      <c r="L128" s="52">
        <f t="shared" si="855"/>
        <v>0</v>
      </c>
      <c r="M128" s="52">
        <f t="shared" si="856"/>
        <v>0</v>
      </c>
      <c r="N128" s="52">
        <f t="shared" si="857"/>
        <v>0</v>
      </c>
      <c r="O128" s="52">
        <f t="shared" si="858"/>
        <v>0</v>
      </c>
      <c r="P128" s="52">
        <f t="shared" si="859"/>
        <v>0</v>
      </c>
      <c r="Q128" s="52">
        <f t="shared" si="860"/>
        <v>0</v>
      </c>
      <c r="R128" s="52">
        <f t="shared" si="861"/>
        <v>0</v>
      </c>
      <c r="S128" s="527">
        <f>AZ128/AN$8</f>
        <v>0</v>
      </c>
      <c r="T128" s="533">
        <f t="shared" si="863"/>
        <v>-1.038011633680925E-4</v>
      </c>
      <c r="U128" s="1226"/>
      <c r="V128" s="375">
        <f t="shared" si="864"/>
        <v>0</v>
      </c>
      <c r="W128" s="386">
        <f t="shared" si="865"/>
        <v>0</v>
      </c>
      <c r="X128" s="386">
        <f t="shared" si="866"/>
        <v>0</v>
      </c>
      <c r="Y128" s="386">
        <f t="shared" si="867"/>
        <v>0</v>
      </c>
      <c r="Z128" s="375">
        <f t="shared" si="868"/>
        <v>0</v>
      </c>
      <c r="AA128" s="375">
        <f t="shared" si="869"/>
        <v>0</v>
      </c>
      <c r="AB128" s="386">
        <f t="shared" si="870"/>
        <v>0</v>
      </c>
      <c r="AC128" s="386">
        <f t="shared" si="871"/>
        <v>0</v>
      </c>
      <c r="AD128" s="386">
        <f t="shared" si="872"/>
        <v>0</v>
      </c>
      <c r="AE128" s="386">
        <f t="shared" si="873"/>
        <v>0</v>
      </c>
      <c r="AF128" s="386">
        <f t="shared" si="874"/>
        <v>0</v>
      </c>
      <c r="AG128" s="375">
        <f t="shared" si="875"/>
        <v>0</v>
      </c>
      <c r="AH128" s="375">
        <f t="shared" si="876"/>
        <v>0</v>
      </c>
      <c r="AI128" s="386">
        <f t="shared" si="877"/>
        <v>0</v>
      </c>
      <c r="AJ128" s="386">
        <f t="shared" si="878"/>
        <v>0</v>
      </c>
      <c r="AK128" s="386">
        <f t="shared" si="879"/>
        <v>0</v>
      </c>
      <c r="AL128" s="377">
        <f t="shared" si="880"/>
        <v>0</v>
      </c>
      <c r="AM128" s="377">
        <f t="shared" si="881"/>
        <v>0</v>
      </c>
      <c r="AN128" s="377">
        <f t="shared" si="882"/>
        <v>0</v>
      </c>
      <c r="AO128" s="288"/>
      <c r="AP128" s="1232"/>
      <c r="AQ128" s="183">
        <v>2.9265699999999999</v>
      </c>
      <c r="AR128" s="1268"/>
      <c r="AS128" s="94">
        <v>0</v>
      </c>
      <c r="AT128" s="94">
        <v>0</v>
      </c>
      <c r="AU128" s="94">
        <v>0</v>
      </c>
      <c r="AV128" s="94">
        <v>0</v>
      </c>
      <c r="AW128" s="94">
        <v>0</v>
      </c>
      <c r="AX128" s="94">
        <v>0</v>
      </c>
      <c r="AY128" s="94">
        <v>0</v>
      </c>
      <c r="AZ128" s="433">
        <v>0</v>
      </c>
      <c r="BA128" s="998">
        <v>-2.9265699999999999</v>
      </c>
      <c r="BB128" s="1285"/>
      <c r="BC128" s="207">
        <v>0</v>
      </c>
      <c r="BD128" s="389">
        <v>0</v>
      </c>
      <c r="BE128" s="389">
        <v>0</v>
      </c>
      <c r="BF128" s="516">
        <v>0</v>
      </c>
      <c r="BG128" s="207">
        <f>0</f>
        <v>0</v>
      </c>
      <c r="BH128" s="207">
        <v>0</v>
      </c>
      <c r="BI128" s="389">
        <v>0</v>
      </c>
      <c r="BJ128" s="516">
        <v>0</v>
      </c>
      <c r="BK128" s="516">
        <v>0</v>
      </c>
      <c r="BL128" s="516">
        <v>0</v>
      </c>
      <c r="BM128" s="516">
        <v>0</v>
      </c>
      <c r="BN128" s="409">
        <f>0</f>
        <v>0</v>
      </c>
      <c r="BO128" s="207">
        <v>0</v>
      </c>
      <c r="BP128" s="389">
        <v>0</v>
      </c>
      <c r="BQ128" s="389">
        <v>0</v>
      </c>
      <c r="BR128" s="389">
        <v>0</v>
      </c>
      <c r="BS128" s="296">
        <v>0</v>
      </c>
      <c r="BT128" s="296">
        <v>0</v>
      </c>
      <c r="BU128" s="296">
        <v>0</v>
      </c>
      <c r="BV128" s="409">
        <f>0</f>
        <v>0</v>
      </c>
      <c r="BW128" s="1011">
        <f t="shared" si="883"/>
        <v>0</v>
      </c>
      <c r="BX128" s="438" t="s">
        <v>403</v>
      </c>
    </row>
    <row r="129" spans="1:78" s="1" customFormat="1" ht="43.5" hidden="1" customHeight="1" outlineLevel="1" x14ac:dyDescent="0.25">
      <c r="A129" s="678">
        <v>21</v>
      </c>
      <c r="B129" s="702" t="s">
        <v>69</v>
      </c>
      <c r="C129" s="697" t="s">
        <v>701</v>
      </c>
      <c r="D129" s="63">
        <v>44166</v>
      </c>
      <c r="E129" s="463" t="s">
        <v>442</v>
      </c>
      <c r="F129" s="542" t="s">
        <v>441</v>
      </c>
      <c r="G129" s="95" t="s">
        <v>24</v>
      </c>
      <c r="H129" s="311" t="s">
        <v>129</v>
      </c>
      <c r="I129" s="335"/>
      <c r="J129" s="294">
        <f t="shared" ref="J129:J196" si="884">AQ129/T$8</f>
        <v>0</v>
      </c>
      <c r="K129" s="52">
        <f t="shared" ref="K129:K196" si="885">AR129/U$8</f>
        <v>0</v>
      </c>
      <c r="L129" s="52">
        <f t="shared" si="855"/>
        <v>0</v>
      </c>
      <c r="M129" s="52">
        <f t="shared" si="856"/>
        <v>0</v>
      </c>
      <c r="N129" s="52">
        <f t="shared" si="857"/>
        <v>0</v>
      </c>
      <c r="O129" s="52">
        <f t="shared" si="858"/>
        <v>0</v>
      </c>
      <c r="P129" s="52">
        <f t="shared" si="859"/>
        <v>0</v>
      </c>
      <c r="Q129" s="52">
        <f t="shared" si="860"/>
        <v>0</v>
      </c>
      <c r="R129" s="52">
        <f t="shared" si="861"/>
        <v>0</v>
      </c>
      <c r="S129" s="527">
        <f t="shared" ref="S129:S196" si="886">AZ129/AN$8</f>
        <v>0</v>
      </c>
      <c r="T129" s="533">
        <f t="shared" si="863"/>
        <v>0</v>
      </c>
      <c r="U129" s="375">
        <f t="shared" ref="U129:U142" si="887">BB129/U$8</f>
        <v>0</v>
      </c>
      <c r="V129" s="375">
        <f t="shared" si="864"/>
        <v>0</v>
      </c>
      <c r="W129" s="386">
        <f t="shared" si="865"/>
        <v>-8.6183370997102284E-4</v>
      </c>
      <c r="X129" s="386">
        <f t="shared" si="866"/>
        <v>0</v>
      </c>
      <c r="Y129" s="386">
        <f t="shared" si="867"/>
        <v>0</v>
      </c>
      <c r="Z129" s="375">
        <f t="shared" si="868"/>
        <v>0</v>
      </c>
      <c r="AA129" s="375">
        <f t="shared" si="869"/>
        <v>0</v>
      </c>
      <c r="AB129" s="386">
        <f t="shared" si="870"/>
        <v>0</v>
      </c>
      <c r="AC129" s="386">
        <f t="shared" si="871"/>
        <v>0</v>
      </c>
      <c r="AD129" s="386">
        <f t="shared" si="872"/>
        <v>0</v>
      </c>
      <c r="AE129" s="386">
        <f t="shared" si="873"/>
        <v>0</v>
      </c>
      <c r="AF129" s="386">
        <f t="shared" si="874"/>
        <v>0</v>
      </c>
      <c r="AG129" s="375">
        <f t="shared" si="875"/>
        <v>0</v>
      </c>
      <c r="AH129" s="375">
        <f t="shared" si="876"/>
        <v>0</v>
      </c>
      <c r="AI129" s="386">
        <f t="shared" si="877"/>
        <v>0</v>
      </c>
      <c r="AJ129" s="386">
        <f t="shared" si="878"/>
        <v>0</v>
      </c>
      <c r="AK129" s="386">
        <f t="shared" si="879"/>
        <v>0</v>
      </c>
      <c r="AL129" s="377">
        <f t="shared" si="880"/>
        <v>0</v>
      </c>
      <c r="AM129" s="377">
        <f t="shared" si="881"/>
        <v>0</v>
      </c>
      <c r="AN129" s="377">
        <f t="shared" si="882"/>
        <v>0</v>
      </c>
      <c r="AO129" s="283"/>
      <c r="AP129" s="295">
        <f t="shared" ref="AP129:AP160" si="888">AR129+AU129+AZ129+AW129+AY129</f>
        <v>0</v>
      </c>
      <c r="AQ129" s="183">
        <f t="shared" ref="AQ129:AS131" si="889">-BA129</f>
        <v>0</v>
      </c>
      <c r="AR129" s="94">
        <f t="shared" si="889"/>
        <v>0</v>
      </c>
      <c r="AS129" s="94">
        <f t="shared" si="889"/>
        <v>0</v>
      </c>
      <c r="AT129" s="94">
        <f>-BC129</f>
        <v>0</v>
      </c>
      <c r="AU129" s="94">
        <f t="shared" ref="AU129:AV131" si="890">-BG129</f>
        <v>0</v>
      </c>
      <c r="AV129" s="94">
        <f t="shared" si="890"/>
        <v>0</v>
      </c>
      <c r="AW129" s="94">
        <f t="shared" ref="AW129:AW131" si="891">-BH129</f>
        <v>0</v>
      </c>
      <c r="AX129" s="94">
        <f>-BN129</f>
        <v>0</v>
      </c>
      <c r="AY129" s="94">
        <f t="shared" ref="AY129:AY131" si="892">-BO129</f>
        <v>0</v>
      </c>
      <c r="AZ129" s="433">
        <f>-BU129</f>
        <v>0</v>
      </c>
      <c r="BA129" s="1008">
        <v>0</v>
      </c>
      <c r="BB129" s="409">
        <v>0</v>
      </c>
      <c r="BC129" s="207">
        <v>0</v>
      </c>
      <c r="BD129" s="389">
        <f>-26.770741+0.373724</f>
        <v>-26.397017000000002</v>
      </c>
      <c r="BE129" s="389">
        <v>0</v>
      </c>
      <c r="BF129" s="516">
        <v>0</v>
      </c>
      <c r="BG129" s="207">
        <v>0</v>
      </c>
      <c r="BH129" s="207">
        <v>0</v>
      </c>
      <c r="BI129" s="389">
        <v>0</v>
      </c>
      <c r="BJ129" s="516">
        <v>0</v>
      </c>
      <c r="BK129" s="516">
        <v>0</v>
      </c>
      <c r="BL129" s="516">
        <v>0</v>
      </c>
      <c r="BM129" s="516">
        <v>0</v>
      </c>
      <c r="BN129" s="409">
        <v>0</v>
      </c>
      <c r="BO129" s="207">
        <v>0</v>
      </c>
      <c r="BP129" s="389">
        <v>0</v>
      </c>
      <c r="BQ129" s="389">
        <v>0</v>
      </c>
      <c r="BR129" s="389">
        <v>0</v>
      </c>
      <c r="BS129" s="296">
        <v>0</v>
      </c>
      <c r="BT129" s="296">
        <v>0</v>
      </c>
      <c r="BU129" s="296">
        <v>0</v>
      </c>
      <c r="BV129" s="409">
        <v>0</v>
      </c>
      <c r="BW129" s="1011">
        <f t="shared" si="883"/>
        <v>0</v>
      </c>
      <c r="BX129" s="438" t="s">
        <v>434</v>
      </c>
    </row>
    <row r="130" spans="1:78" s="1" customFormat="1" ht="116.1" hidden="1" customHeight="1" outlineLevel="1" x14ac:dyDescent="0.25">
      <c r="A130" s="678">
        <v>22</v>
      </c>
      <c r="B130" s="702" t="s">
        <v>69</v>
      </c>
      <c r="C130" s="697" t="s">
        <v>1736</v>
      </c>
      <c r="D130" s="63">
        <v>44260</v>
      </c>
      <c r="E130" s="463" t="s">
        <v>1200</v>
      </c>
      <c r="F130" s="542" t="s">
        <v>428</v>
      </c>
      <c r="G130" s="95" t="s">
        <v>24</v>
      </c>
      <c r="H130" s="311" t="s">
        <v>130</v>
      </c>
      <c r="I130" s="335"/>
      <c r="J130" s="294">
        <f t="shared" si="884"/>
        <v>0</v>
      </c>
      <c r="K130" s="52">
        <f t="shared" si="885"/>
        <v>0</v>
      </c>
      <c r="L130" s="52">
        <f t="shared" si="855"/>
        <v>7.190031525465229E-4</v>
      </c>
      <c r="M130" s="52">
        <f t="shared" si="856"/>
        <v>7.4898776317010589E-4</v>
      </c>
      <c r="N130" s="52">
        <f t="shared" si="857"/>
        <v>6.9940352056931522E-4</v>
      </c>
      <c r="O130" s="52">
        <f t="shared" si="858"/>
        <v>0</v>
      </c>
      <c r="P130" s="52">
        <f t="shared" si="859"/>
        <v>0</v>
      </c>
      <c r="Q130" s="52">
        <f t="shared" si="860"/>
        <v>0</v>
      </c>
      <c r="R130" s="52">
        <f t="shared" si="861"/>
        <v>0</v>
      </c>
      <c r="S130" s="527">
        <f t="shared" si="886"/>
        <v>0</v>
      </c>
      <c r="T130" s="533">
        <f t="shared" si="863"/>
        <v>0</v>
      </c>
      <c r="U130" s="375">
        <f t="shared" si="887"/>
        <v>0</v>
      </c>
      <c r="V130" s="375">
        <f t="shared" si="864"/>
        <v>-7.190031525465229E-4</v>
      </c>
      <c r="W130" s="386">
        <f t="shared" si="865"/>
        <v>-7.6696428380012389E-4</v>
      </c>
      <c r="X130" s="386">
        <f t="shared" si="866"/>
        <v>-7.4898776317010589E-4</v>
      </c>
      <c r="Y130" s="386">
        <f t="shared" si="867"/>
        <v>-7.4898776317010589E-4</v>
      </c>
      <c r="Z130" s="375">
        <f t="shared" si="868"/>
        <v>-6.9940352056931522E-4</v>
      </c>
      <c r="AA130" s="375">
        <f t="shared" si="869"/>
        <v>0</v>
      </c>
      <c r="AB130" s="386">
        <f t="shared" si="870"/>
        <v>0</v>
      </c>
      <c r="AC130" s="386">
        <f t="shared" si="871"/>
        <v>0</v>
      </c>
      <c r="AD130" s="386">
        <f t="shared" si="872"/>
        <v>0</v>
      </c>
      <c r="AE130" s="386">
        <f t="shared" si="873"/>
        <v>0</v>
      </c>
      <c r="AF130" s="386">
        <f t="shared" si="874"/>
        <v>0</v>
      </c>
      <c r="AG130" s="375">
        <f t="shared" si="875"/>
        <v>0</v>
      </c>
      <c r="AH130" s="375">
        <f t="shared" si="876"/>
        <v>0</v>
      </c>
      <c r="AI130" s="386">
        <f t="shared" si="877"/>
        <v>0</v>
      </c>
      <c r="AJ130" s="386">
        <f t="shared" si="878"/>
        <v>0</v>
      </c>
      <c r="AK130" s="386">
        <f t="shared" si="879"/>
        <v>0</v>
      </c>
      <c r="AL130" s="377">
        <f t="shared" si="880"/>
        <v>0</v>
      </c>
      <c r="AM130" s="377">
        <f t="shared" si="881"/>
        <v>0</v>
      </c>
      <c r="AN130" s="377">
        <f t="shared" si="882"/>
        <v>0</v>
      </c>
      <c r="AO130" s="283"/>
      <c r="AP130" s="295">
        <f t="shared" si="888"/>
        <v>23.491270999999998</v>
      </c>
      <c r="AQ130" s="183">
        <f t="shared" si="889"/>
        <v>0</v>
      </c>
      <c r="AR130" s="94">
        <f t="shared" si="889"/>
        <v>0</v>
      </c>
      <c r="AS130" s="94">
        <f t="shared" si="889"/>
        <v>23.491270999999998</v>
      </c>
      <c r="AT130" s="94">
        <f>-BC130</f>
        <v>23.491270999999998</v>
      </c>
      <c r="AU130" s="94">
        <f t="shared" si="890"/>
        <v>23.491270999999998</v>
      </c>
      <c r="AV130" s="94">
        <f t="shared" si="890"/>
        <v>0</v>
      </c>
      <c r="AW130" s="94">
        <f t="shared" si="891"/>
        <v>0</v>
      </c>
      <c r="AX130" s="94">
        <f>-BN130</f>
        <v>0</v>
      </c>
      <c r="AY130" s="94">
        <f t="shared" si="892"/>
        <v>0</v>
      </c>
      <c r="AZ130" s="433">
        <f>-BU130</f>
        <v>0</v>
      </c>
      <c r="BA130" s="1008">
        <v>0</v>
      </c>
      <c r="BB130" s="409">
        <v>0</v>
      </c>
      <c r="BC130" s="207">
        <f>-32.699144+9.207873</f>
        <v>-23.491270999999998</v>
      </c>
      <c r="BD130" s="389">
        <f>-32.699144+9.207873</f>
        <v>-23.491270999999998</v>
      </c>
      <c r="BE130" s="389">
        <v>-23.491270999999998</v>
      </c>
      <c r="BF130" s="516">
        <v>-23.491270999999998</v>
      </c>
      <c r="BG130" s="207">
        <v>-23.491270999999998</v>
      </c>
      <c r="BH130" s="207">
        <v>0</v>
      </c>
      <c r="BI130" s="389">
        <v>0</v>
      </c>
      <c r="BJ130" s="516">
        <v>0</v>
      </c>
      <c r="BK130" s="516">
        <v>0</v>
      </c>
      <c r="BL130" s="516">
        <v>0</v>
      </c>
      <c r="BM130" s="516">
        <v>0</v>
      </c>
      <c r="BN130" s="409">
        <v>0</v>
      </c>
      <c r="BO130" s="207">
        <v>0</v>
      </c>
      <c r="BP130" s="389">
        <v>0</v>
      </c>
      <c r="BQ130" s="389">
        <v>0</v>
      </c>
      <c r="BR130" s="389">
        <v>0</v>
      </c>
      <c r="BS130" s="296">
        <v>0</v>
      </c>
      <c r="BT130" s="296">
        <v>0</v>
      </c>
      <c r="BU130" s="296">
        <v>0</v>
      </c>
      <c r="BV130" s="409">
        <v>0</v>
      </c>
      <c r="BW130" s="1011">
        <f t="shared" si="883"/>
        <v>0</v>
      </c>
      <c r="BX130" s="438" t="s">
        <v>1201</v>
      </c>
    </row>
    <row r="131" spans="1:78" s="1" customFormat="1" ht="72.599999999999994" hidden="1" customHeight="1" outlineLevel="1" x14ac:dyDescent="0.25">
      <c r="A131" s="678">
        <v>23</v>
      </c>
      <c r="B131" s="702" t="s">
        <v>69</v>
      </c>
      <c r="C131" s="697" t="s">
        <v>1737</v>
      </c>
      <c r="D131" s="63">
        <v>44266</v>
      </c>
      <c r="E131" s="463" t="s">
        <v>1345</v>
      </c>
      <c r="F131" s="542" t="s">
        <v>1456</v>
      </c>
      <c r="G131" s="95" t="s">
        <v>24</v>
      </c>
      <c r="H131" s="311" t="s">
        <v>171</v>
      </c>
      <c r="I131" s="335"/>
      <c r="J131" s="294">
        <f t="shared" si="884"/>
        <v>0</v>
      </c>
      <c r="K131" s="52">
        <f t="shared" si="885"/>
        <v>0</v>
      </c>
      <c r="L131" s="52">
        <f t="shared" si="855"/>
        <v>1.2770326273261508E-4</v>
      </c>
      <c r="M131" s="52">
        <f t="shared" si="856"/>
        <v>1.3302887583297045E-4</v>
      </c>
      <c r="N131" s="52">
        <f t="shared" si="857"/>
        <v>1.1568071041976561E-4</v>
      </c>
      <c r="O131" s="52">
        <f t="shared" si="858"/>
        <v>0</v>
      </c>
      <c r="P131" s="52">
        <f t="shared" si="859"/>
        <v>0</v>
      </c>
      <c r="Q131" s="52">
        <f t="shared" si="860"/>
        <v>0</v>
      </c>
      <c r="R131" s="52">
        <f t="shared" si="861"/>
        <v>0</v>
      </c>
      <c r="S131" s="527">
        <f t="shared" si="886"/>
        <v>0</v>
      </c>
      <c r="T131" s="533">
        <f t="shared" si="863"/>
        <v>0</v>
      </c>
      <c r="U131" s="375">
        <f t="shared" si="887"/>
        <v>0</v>
      </c>
      <c r="V131" s="375">
        <f t="shared" si="864"/>
        <v>-1.2770326273261508E-4</v>
      </c>
      <c r="W131" s="386">
        <f t="shared" si="865"/>
        <v>-1.3622171348452015E-4</v>
      </c>
      <c r="X131" s="386">
        <f t="shared" si="866"/>
        <v>-1.3302887583297045E-4</v>
      </c>
      <c r="Y131" s="386">
        <f t="shared" si="867"/>
        <v>-1.3302887583297045E-4</v>
      </c>
      <c r="Z131" s="375">
        <f t="shared" si="868"/>
        <v>-1.1568071041976561E-4</v>
      </c>
      <c r="AA131" s="375">
        <f t="shared" si="869"/>
        <v>0</v>
      </c>
      <c r="AB131" s="386">
        <f t="shared" si="870"/>
        <v>0</v>
      </c>
      <c r="AC131" s="386">
        <f t="shared" si="871"/>
        <v>0</v>
      </c>
      <c r="AD131" s="386">
        <f t="shared" si="872"/>
        <v>0</v>
      </c>
      <c r="AE131" s="386">
        <f t="shared" si="873"/>
        <v>0</v>
      </c>
      <c r="AF131" s="386">
        <f t="shared" si="874"/>
        <v>0</v>
      </c>
      <c r="AG131" s="375">
        <f t="shared" si="875"/>
        <v>0</v>
      </c>
      <c r="AH131" s="375">
        <f t="shared" si="876"/>
        <v>0</v>
      </c>
      <c r="AI131" s="386">
        <f t="shared" si="877"/>
        <v>0</v>
      </c>
      <c r="AJ131" s="386">
        <f t="shared" si="878"/>
        <v>0</v>
      </c>
      <c r="AK131" s="386">
        <f t="shared" si="879"/>
        <v>0</v>
      </c>
      <c r="AL131" s="377">
        <f t="shared" si="880"/>
        <v>0</v>
      </c>
      <c r="AM131" s="377">
        <f t="shared" si="881"/>
        <v>0</v>
      </c>
      <c r="AN131" s="377">
        <f t="shared" si="882"/>
        <v>0</v>
      </c>
      <c r="AO131" s="283"/>
      <c r="AP131" s="295">
        <f t="shared" si="888"/>
        <v>3.8854350000000002</v>
      </c>
      <c r="AQ131" s="183">
        <f t="shared" ref="AQ131:AQ165" si="893">-BA131</f>
        <v>0</v>
      </c>
      <c r="AR131" s="94">
        <f t="shared" si="889"/>
        <v>0</v>
      </c>
      <c r="AS131" s="94">
        <f>-BC131</f>
        <v>4.1723210000000002</v>
      </c>
      <c r="AT131" s="94">
        <f>-BC131</f>
        <v>4.1723210000000002</v>
      </c>
      <c r="AU131" s="94">
        <f t="shared" si="890"/>
        <v>3.8854350000000002</v>
      </c>
      <c r="AV131" s="94">
        <f t="shared" si="890"/>
        <v>0</v>
      </c>
      <c r="AW131" s="94">
        <f t="shared" si="891"/>
        <v>0</v>
      </c>
      <c r="AX131" s="94">
        <f>-BN131</f>
        <v>0</v>
      </c>
      <c r="AY131" s="94">
        <f t="shared" si="892"/>
        <v>0</v>
      </c>
      <c r="AZ131" s="433">
        <f>-BU131</f>
        <v>0</v>
      </c>
      <c r="BA131" s="1008">
        <v>0</v>
      </c>
      <c r="BB131" s="409">
        <v>0</v>
      </c>
      <c r="BC131" s="207">
        <v>-4.1723210000000002</v>
      </c>
      <c r="BD131" s="389">
        <v>-4.1723210000000002</v>
      </c>
      <c r="BE131" s="389">
        <v>-4.1723210000000002</v>
      </c>
      <c r="BF131" s="516">
        <v>-4.1723210000000002</v>
      </c>
      <c r="BG131" s="207">
        <v>-3.8854350000000002</v>
      </c>
      <c r="BH131" s="207">
        <v>0</v>
      </c>
      <c r="BI131" s="389">
        <v>0</v>
      </c>
      <c r="BJ131" s="516">
        <v>0</v>
      </c>
      <c r="BK131" s="516">
        <v>0</v>
      </c>
      <c r="BL131" s="516">
        <v>0</v>
      </c>
      <c r="BM131" s="516">
        <v>0</v>
      </c>
      <c r="BN131" s="409">
        <v>0</v>
      </c>
      <c r="BO131" s="207">
        <v>0</v>
      </c>
      <c r="BP131" s="389">
        <v>0</v>
      </c>
      <c r="BQ131" s="389">
        <v>0</v>
      </c>
      <c r="BR131" s="389">
        <v>0</v>
      </c>
      <c r="BS131" s="296">
        <v>0</v>
      </c>
      <c r="BT131" s="296">
        <v>0</v>
      </c>
      <c r="BU131" s="296">
        <v>0</v>
      </c>
      <c r="BV131" s="409">
        <v>0</v>
      </c>
      <c r="BW131" s="1011">
        <f t="shared" si="883"/>
        <v>0</v>
      </c>
      <c r="BX131" s="438" t="s">
        <v>1210</v>
      </c>
    </row>
    <row r="132" spans="1:78" s="1" customFormat="1" ht="43.5" hidden="1" customHeight="1" outlineLevel="1" x14ac:dyDescent="0.25">
      <c r="A132" s="678">
        <v>24</v>
      </c>
      <c r="B132" s="702" t="s">
        <v>69</v>
      </c>
      <c r="C132" s="697" t="s">
        <v>1734</v>
      </c>
      <c r="D132" s="63">
        <v>44266</v>
      </c>
      <c r="E132" s="463" t="s">
        <v>1327</v>
      </c>
      <c r="F132" s="542" t="s">
        <v>1208</v>
      </c>
      <c r="G132" s="95" t="s">
        <v>24</v>
      </c>
      <c r="H132" s="311" t="s">
        <v>171</v>
      </c>
      <c r="I132" s="335"/>
      <c r="J132" s="294">
        <f t="shared" si="884"/>
        <v>0</v>
      </c>
      <c r="K132" s="52">
        <f t="shared" si="885"/>
        <v>0</v>
      </c>
      <c r="L132" s="52">
        <f t="shared" si="855"/>
        <v>1.2308389446620961E-4</v>
      </c>
      <c r="M132" s="52">
        <f t="shared" si="856"/>
        <v>1.2821686590942544E-4</v>
      </c>
      <c r="N132" s="52">
        <f t="shared" si="857"/>
        <v>1.1972869494404466E-4</v>
      </c>
      <c r="O132" s="52">
        <f t="shared" si="858"/>
        <v>0</v>
      </c>
      <c r="P132" s="52">
        <f t="shared" si="859"/>
        <v>0</v>
      </c>
      <c r="Q132" s="52">
        <f t="shared" si="860"/>
        <v>0</v>
      </c>
      <c r="R132" s="52">
        <f t="shared" si="861"/>
        <v>0</v>
      </c>
      <c r="S132" s="527">
        <f t="shared" si="886"/>
        <v>0</v>
      </c>
      <c r="T132" s="533">
        <f t="shared" si="863"/>
        <v>0</v>
      </c>
      <c r="U132" s="375">
        <f t="shared" si="887"/>
        <v>-1.6658059364472458E-6</v>
      </c>
      <c r="V132" s="375">
        <f t="shared" si="864"/>
        <v>-1.1443009304603329E-4</v>
      </c>
      <c r="W132" s="386">
        <f t="shared" si="865"/>
        <v>-1.3129421009110012E-4</v>
      </c>
      <c r="X132" s="386">
        <f t="shared" si="866"/>
        <v>-1.1920217474199452E-4</v>
      </c>
      <c r="Y132" s="386">
        <f t="shared" si="867"/>
        <v>-1.1920217474199452E-4</v>
      </c>
      <c r="Z132" s="375">
        <f t="shared" si="868"/>
        <v>-9.8720095306660842E-5</v>
      </c>
      <c r="AA132" s="375">
        <f t="shared" si="869"/>
        <v>-1.0686904446221444E-5</v>
      </c>
      <c r="AB132" s="386">
        <f t="shared" si="870"/>
        <v>-6.8271581253823092E-6</v>
      </c>
      <c r="AC132" s="386">
        <f t="shared" si="871"/>
        <v>-6.8271581253823135E-6</v>
      </c>
      <c r="AD132" s="386">
        <f t="shared" si="872"/>
        <v>-1.9257199430228257E-5</v>
      </c>
      <c r="AE132" s="386">
        <f t="shared" si="873"/>
        <v>-1.0986593071657203E-5</v>
      </c>
      <c r="AF132" s="386">
        <f t="shared" si="874"/>
        <v>-1.0686904446221444E-5</v>
      </c>
      <c r="AG132" s="375">
        <f t="shared" si="875"/>
        <v>-1.0698673435833457E-5</v>
      </c>
      <c r="AH132" s="375">
        <f t="shared" si="876"/>
        <v>-5.3892900382096685E-6</v>
      </c>
      <c r="AI132" s="386">
        <f t="shared" si="877"/>
        <v>-5.6538930358457654E-6</v>
      </c>
      <c r="AJ132" s="386">
        <f t="shared" si="878"/>
        <v>-5.4834357935528885E-6</v>
      </c>
      <c r="AK132" s="386">
        <f t="shared" si="879"/>
        <v>-5.4323394032624061E-6</v>
      </c>
      <c r="AL132" s="377">
        <f t="shared" si="880"/>
        <v>0</v>
      </c>
      <c r="AM132" s="377">
        <f t="shared" si="881"/>
        <v>0</v>
      </c>
      <c r="AN132" s="377">
        <f t="shared" si="882"/>
        <v>0</v>
      </c>
      <c r="AO132" s="283"/>
      <c r="AP132" s="295">
        <f t="shared" si="888"/>
        <v>4.0213970000000003</v>
      </c>
      <c r="AQ132" s="183">
        <f t="shared" si="893"/>
        <v>0</v>
      </c>
      <c r="AR132" s="94">
        <v>0</v>
      </c>
      <c r="AS132" s="94">
        <v>4.0213970000000003</v>
      </c>
      <c r="AT132" s="94">
        <v>4.0213970000000003</v>
      </c>
      <c r="AU132" s="94">
        <v>4.0213970000000003</v>
      </c>
      <c r="AV132" s="94">
        <v>0</v>
      </c>
      <c r="AW132" s="94">
        <v>0</v>
      </c>
      <c r="AX132" s="94">
        <v>0</v>
      </c>
      <c r="AY132" s="94">
        <v>0</v>
      </c>
      <c r="AZ132" s="433">
        <v>0</v>
      </c>
      <c r="BA132" s="1008">
        <v>0</v>
      </c>
      <c r="BB132" s="409">
        <v>-5.0464000000000002E-2</v>
      </c>
      <c r="BC132" s="207">
        <v>-3.7386599999999999</v>
      </c>
      <c r="BD132" s="389">
        <v>-4.0213970000000003</v>
      </c>
      <c r="BE132" s="389">
        <v>-3.7386599999999999</v>
      </c>
      <c r="BF132" s="516">
        <v>-3.7386599999999999</v>
      </c>
      <c r="BG132" s="207">
        <f>-3.315769</f>
        <v>-3.315769</v>
      </c>
      <c r="BH132" s="207">
        <v>-0.42147899999999999</v>
      </c>
      <c r="BI132" s="389">
        <v>-0.23227200000000001</v>
      </c>
      <c r="BJ132" s="516">
        <v>-0.23227200000000001</v>
      </c>
      <c r="BK132" s="516">
        <v>-0.65516399999999997</v>
      </c>
      <c r="BL132" s="516">
        <v>-0.42147899999999999</v>
      </c>
      <c r="BM132" s="516">
        <v>-0.42147899999999999</v>
      </c>
      <c r="BN132" s="1054">
        <v>-0.41811199999999998</v>
      </c>
      <c r="BO132" s="207">
        <v>-0.23705200000000001</v>
      </c>
      <c r="BP132" s="389">
        <v>-0.233685</v>
      </c>
      <c r="BQ132" s="389">
        <v>-0.233685</v>
      </c>
      <c r="BR132" s="389">
        <v>-0.23705200000000001</v>
      </c>
      <c r="BS132" s="296">
        <v>0</v>
      </c>
      <c r="BT132" s="296">
        <v>0</v>
      </c>
      <c r="BU132" s="296">
        <v>0</v>
      </c>
      <c r="BV132" s="1054">
        <v>0</v>
      </c>
      <c r="BW132" s="1011">
        <v>0</v>
      </c>
      <c r="BX132" s="438" t="s">
        <v>1209</v>
      </c>
    </row>
    <row r="133" spans="1:78" s="1" customFormat="1" ht="188.45" hidden="1" customHeight="1" outlineLevel="1" x14ac:dyDescent="0.25">
      <c r="A133" s="678">
        <v>25</v>
      </c>
      <c r="B133" s="702" t="s">
        <v>69</v>
      </c>
      <c r="C133" s="697" t="s">
        <v>1737</v>
      </c>
      <c r="D133" s="63">
        <v>44173</v>
      </c>
      <c r="E133" s="463" t="s">
        <v>720</v>
      </c>
      <c r="F133" s="542" t="s">
        <v>596</v>
      </c>
      <c r="G133" s="95" t="s">
        <v>24</v>
      </c>
      <c r="H133" s="311" t="s">
        <v>439</v>
      </c>
      <c r="I133" s="335"/>
      <c r="J133" s="294">
        <f t="shared" si="884"/>
        <v>0</v>
      </c>
      <c r="K133" s="52">
        <f t="shared" si="885"/>
        <v>0</v>
      </c>
      <c r="L133" s="52">
        <f t="shared" si="855"/>
        <v>3.9718980166503432E-3</v>
      </c>
      <c r="M133" s="52">
        <f t="shared" si="856"/>
        <v>4.1375382020153659E-3</v>
      </c>
      <c r="N133" s="52">
        <f t="shared" si="857"/>
        <v>0</v>
      </c>
      <c r="O133" s="52">
        <f t="shared" si="858"/>
        <v>0</v>
      </c>
      <c r="P133" s="52">
        <f t="shared" si="859"/>
        <v>0</v>
      </c>
      <c r="Q133" s="52">
        <f t="shared" si="860"/>
        <v>0</v>
      </c>
      <c r="R133" s="52">
        <f t="shared" si="861"/>
        <v>0</v>
      </c>
      <c r="S133" s="527">
        <f t="shared" si="886"/>
        <v>0</v>
      </c>
      <c r="T133" s="533">
        <f t="shared" si="863"/>
        <v>0</v>
      </c>
      <c r="U133" s="375">
        <f t="shared" si="887"/>
        <v>0</v>
      </c>
      <c r="V133" s="375">
        <f t="shared" si="864"/>
        <v>-2.6568253550440742E-3</v>
      </c>
      <c r="W133" s="386">
        <f t="shared" si="865"/>
        <v>-1.7722584593088337E-3</v>
      </c>
      <c r="X133" s="386">
        <f t="shared" si="866"/>
        <v>0</v>
      </c>
      <c r="Y133" s="386">
        <f t="shared" si="867"/>
        <v>0</v>
      </c>
      <c r="Z133" s="375">
        <f t="shared" si="868"/>
        <v>0</v>
      </c>
      <c r="AA133" s="375">
        <f t="shared" si="869"/>
        <v>0</v>
      </c>
      <c r="AB133" s="386">
        <f t="shared" si="870"/>
        <v>0</v>
      </c>
      <c r="AC133" s="386">
        <f t="shared" si="871"/>
        <v>0</v>
      </c>
      <c r="AD133" s="386">
        <f t="shared" si="872"/>
        <v>0</v>
      </c>
      <c r="AE133" s="386">
        <f t="shared" si="873"/>
        <v>0</v>
      </c>
      <c r="AF133" s="386">
        <f t="shared" si="874"/>
        <v>0</v>
      </c>
      <c r="AG133" s="375">
        <f t="shared" si="875"/>
        <v>0</v>
      </c>
      <c r="AH133" s="375">
        <f t="shared" si="876"/>
        <v>0</v>
      </c>
      <c r="AI133" s="386">
        <f t="shared" si="877"/>
        <v>0</v>
      </c>
      <c r="AJ133" s="386">
        <f t="shared" si="878"/>
        <v>0</v>
      </c>
      <c r="AK133" s="386">
        <f t="shared" si="879"/>
        <v>0</v>
      </c>
      <c r="AL133" s="377">
        <f t="shared" si="880"/>
        <v>0</v>
      </c>
      <c r="AM133" s="377">
        <f t="shared" si="881"/>
        <v>0</v>
      </c>
      <c r="AN133" s="377">
        <f t="shared" si="882"/>
        <v>0</v>
      </c>
      <c r="AO133" s="283"/>
      <c r="AP133" s="295">
        <f t="shared" si="888"/>
        <v>0</v>
      </c>
      <c r="AQ133" s="183">
        <f t="shared" si="893"/>
        <v>0</v>
      </c>
      <c r="AR133" s="80">
        <v>0</v>
      </c>
      <c r="AS133" s="94">
        <f>244.578642-56.782929-0.341069-3.545726-21.617592-65.042948+32.521474</f>
        <v>129.76985200000001</v>
      </c>
      <c r="AT133" s="94">
        <f>244.578642-56.782929-0.341069-3.545726-21.617592-65.042948+32.521474</f>
        <v>129.76985200000001</v>
      </c>
      <c r="AU133" s="94">
        <f t="shared" ref="AU133" si="894">-BG133</f>
        <v>0</v>
      </c>
      <c r="AV133" s="94">
        <v>0</v>
      </c>
      <c r="AW133" s="94">
        <v>0</v>
      </c>
      <c r="AX133" s="94">
        <v>0</v>
      </c>
      <c r="AY133" s="94">
        <v>0</v>
      </c>
      <c r="AZ133" s="433">
        <v>0</v>
      </c>
      <c r="BA133" s="1008">
        <v>0</v>
      </c>
      <c r="BB133" s="409">
        <v>0</v>
      </c>
      <c r="BC133" s="1025">
        <f>-183.908918+21.617592+(51.304159-8.338105)+65.042948-32.521474</f>
        <v>-86.803798</v>
      </c>
      <c r="BD133" s="1030">
        <f>-183.908918+21.617592+(51.304159-8.338105)+65.042948</f>
        <v>-54.282324000000003</v>
      </c>
      <c r="BE133" s="389">
        <v>0</v>
      </c>
      <c r="BF133" s="516">
        <v>0</v>
      </c>
      <c r="BG133" s="207">
        <v>0</v>
      </c>
      <c r="BH133" s="207">
        <v>0</v>
      </c>
      <c r="BI133" s="389">
        <v>0</v>
      </c>
      <c r="BJ133" s="516">
        <v>0</v>
      </c>
      <c r="BK133" s="516">
        <v>0</v>
      </c>
      <c r="BL133" s="516">
        <v>0</v>
      </c>
      <c r="BM133" s="516">
        <v>0</v>
      </c>
      <c r="BN133" s="409">
        <v>0</v>
      </c>
      <c r="BO133" s="207">
        <v>0</v>
      </c>
      <c r="BP133" s="389">
        <v>0</v>
      </c>
      <c r="BQ133" s="389">
        <v>0</v>
      </c>
      <c r="BR133" s="389">
        <v>0</v>
      </c>
      <c r="BS133" s="296">
        <v>0</v>
      </c>
      <c r="BT133" s="296">
        <v>0</v>
      </c>
      <c r="BU133" s="296">
        <v>0</v>
      </c>
      <c r="BV133" s="409">
        <v>0</v>
      </c>
      <c r="BW133" s="1011">
        <f t="shared" si="883"/>
        <v>0</v>
      </c>
      <c r="BX133" s="438" t="s">
        <v>1446</v>
      </c>
    </row>
    <row r="134" spans="1:78" s="1" customFormat="1" ht="116.1" hidden="1" customHeight="1" outlineLevel="1" x14ac:dyDescent="0.25">
      <c r="A134" s="678">
        <v>26</v>
      </c>
      <c r="B134" s="702" t="s">
        <v>69</v>
      </c>
      <c r="C134" s="697" t="s">
        <v>1738</v>
      </c>
      <c r="D134" s="63" t="s">
        <v>1346</v>
      </c>
      <c r="E134" s="463" t="s">
        <v>1347</v>
      </c>
      <c r="F134" s="542" t="s">
        <v>518</v>
      </c>
      <c r="G134" s="71" t="s">
        <v>25</v>
      </c>
      <c r="H134" s="311" t="s">
        <v>129</v>
      </c>
      <c r="I134" s="335"/>
      <c r="J134" s="294">
        <f t="shared" si="884"/>
        <v>0</v>
      </c>
      <c r="K134" s="52">
        <f t="shared" si="885"/>
        <v>0</v>
      </c>
      <c r="L134" s="52">
        <f t="shared" si="855"/>
        <v>6.4581292850146907E-5</v>
      </c>
      <c r="M134" s="52">
        <f t="shared" si="856"/>
        <v>6.7274528495666467E-5</v>
      </c>
      <c r="N134" s="52">
        <f t="shared" si="857"/>
        <v>5.4929800090682335E-5</v>
      </c>
      <c r="O134" s="52">
        <f t="shared" si="858"/>
        <v>0</v>
      </c>
      <c r="P134" s="52">
        <f t="shared" si="859"/>
        <v>0</v>
      </c>
      <c r="Q134" s="52">
        <f t="shared" si="860"/>
        <v>0</v>
      </c>
      <c r="R134" s="52">
        <f t="shared" si="861"/>
        <v>0</v>
      </c>
      <c r="S134" s="527">
        <f t="shared" si="886"/>
        <v>0</v>
      </c>
      <c r="T134" s="533">
        <f t="shared" si="863"/>
        <v>0</v>
      </c>
      <c r="U134" s="375">
        <f t="shared" si="887"/>
        <v>0</v>
      </c>
      <c r="V134" s="375">
        <f t="shared" si="864"/>
        <v>-6.4581292850146907E-5</v>
      </c>
      <c r="W134" s="386">
        <f t="shared" si="865"/>
        <v>-6.88891903217268E-5</v>
      </c>
      <c r="X134" s="386">
        <f t="shared" si="866"/>
        <v>-6.7274528495666467E-5</v>
      </c>
      <c r="Y134" s="386">
        <f t="shared" si="867"/>
        <v>-6.7274528495666467E-5</v>
      </c>
      <c r="Z134" s="375">
        <f t="shared" si="868"/>
        <v>-5.4929800090682335E-5</v>
      </c>
      <c r="AA134" s="375">
        <f t="shared" si="869"/>
        <v>0</v>
      </c>
      <c r="AB134" s="386">
        <f t="shared" si="870"/>
        <v>0</v>
      </c>
      <c r="AC134" s="386">
        <f t="shared" si="871"/>
        <v>0</v>
      </c>
      <c r="AD134" s="386">
        <f t="shared" si="872"/>
        <v>0</v>
      </c>
      <c r="AE134" s="386">
        <f t="shared" si="873"/>
        <v>0</v>
      </c>
      <c r="AF134" s="386">
        <f t="shared" si="874"/>
        <v>0</v>
      </c>
      <c r="AG134" s="375">
        <f t="shared" si="875"/>
        <v>0</v>
      </c>
      <c r="AH134" s="375">
        <f t="shared" si="876"/>
        <v>0</v>
      </c>
      <c r="AI134" s="386">
        <f t="shared" si="877"/>
        <v>0</v>
      </c>
      <c r="AJ134" s="386">
        <f t="shared" si="878"/>
        <v>0</v>
      </c>
      <c r="AK134" s="386">
        <f t="shared" si="879"/>
        <v>0</v>
      </c>
      <c r="AL134" s="377">
        <f t="shared" si="880"/>
        <v>0</v>
      </c>
      <c r="AM134" s="377">
        <f t="shared" si="881"/>
        <v>0</v>
      </c>
      <c r="AN134" s="377">
        <f t="shared" si="882"/>
        <v>0</v>
      </c>
      <c r="AO134" s="283"/>
      <c r="AP134" s="295">
        <f t="shared" si="888"/>
        <v>1.844959</v>
      </c>
      <c r="AQ134" s="20">
        <f t="shared" si="893"/>
        <v>0</v>
      </c>
      <c r="AR134" s="95">
        <f t="shared" ref="AR134:AS135" si="895">-BB134</f>
        <v>0</v>
      </c>
      <c r="AS134" s="94">
        <f t="shared" si="895"/>
        <v>2.11</v>
      </c>
      <c r="AT134" s="94">
        <f>-BC134</f>
        <v>2.11</v>
      </c>
      <c r="AU134" s="94">
        <f t="shared" ref="AU134:AU165" si="896">-BG134</f>
        <v>1.844959</v>
      </c>
      <c r="AV134" s="94">
        <f>-BH134</f>
        <v>0</v>
      </c>
      <c r="AW134" s="94">
        <f t="shared" ref="AW134:AW166" si="897">-BH134</f>
        <v>0</v>
      </c>
      <c r="AX134" s="94">
        <f>-BN134</f>
        <v>0</v>
      </c>
      <c r="AY134" s="94">
        <f t="shared" ref="AY134:AY166" si="898">-BO134</f>
        <v>0</v>
      </c>
      <c r="AZ134" s="433">
        <f t="shared" ref="AZ134:AZ166" si="899">-BU134</f>
        <v>0</v>
      </c>
      <c r="BA134" s="657">
        <v>0</v>
      </c>
      <c r="BB134" s="327">
        <v>0</v>
      </c>
      <c r="BC134" s="207">
        <v>-2.11</v>
      </c>
      <c r="BD134" s="389">
        <v>-2.11</v>
      </c>
      <c r="BE134" s="389">
        <v>-2.11</v>
      </c>
      <c r="BF134" s="516">
        <v>-2.11</v>
      </c>
      <c r="BG134" s="207">
        <f>-1.844959</f>
        <v>-1.844959</v>
      </c>
      <c r="BH134" s="207">
        <v>0</v>
      </c>
      <c r="BI134" s="389">
        <v>0</v>
      </c>
      <c r="BJ134" s="516">
        <v>0</v>
      </c>
      <c r="BK134" s="516">
        <v>0</v>
      </c>
      <c r="BL134" s="516">
        <v>0</v>
      </c>
      <c r="BM134" s="516">
        <v>0</v>
      </c>
      <c r="BN134" s="409">
        <v>0</v>
      </c>
      <c r="BO134" s="207">
        <v>0</v>
      </c>
      <c r="BP134" s="389">
        <v>0</v>
      </c>
      <c r="BQ134" s="389">
        <v>0</v>
      </c>
      <c r="BR134" s="389">
        <v>0</v>
      </c>
      <c r="BS134" s="296">
        <v>0</v>
      </c>
      <c r="BT134" s="296">
        <v>0</v>
      </c>
      <c r="BU134" s="296">
        <v>0</v>
      </c>
      <c r="BV134" s="409">
        <v>0</v>
      </c>
      <c r="BW134" s="1011">
        <f t="shared" si="883"/>
        <v>0</v>
      </c>
      <c r="BX134" s="442" t="s">
        <v>693</v>
      </c>
    </row>
    <row r="135" spans="1:78" s="1" customFormat="1" ht="57.95" hidden="1" customHeight="1" outlineLevel="1" x14ac:dyDescent="0.25">
      <c r="A135" s="678">
        <v>27</v>
      </c>
      <c r="B135" s="702" t="s">
        <v>69</v>
      </c>
      <c r="C135" s="697" t="s">
        <v>1737</v>
      </c>
      <c r="D135" s="63" t="s">
        <v>1531</v>
      </c>
      <c r="E135" s="463" t="s">
        <v>640</v>
      </c>
      <c r="F135" s="542" t="s">
        <v>504</v>
      </c>
      <c r="G135" s="95" t="s">
        <v>24</v>
      </c>
      <c r="H135" s="311" t="s">
        <v>129</v>
      </c>
      <c r="I135" s="335"/>
      <c r="J135" s="294">
        <f t="shared" si="884"/>
        <v>0</v>
      </c>
      <c r="K135" s="52">
        <f t="shared" si="885"/>
        <v>0</v>
      </c>
      <c r="L135" s="52">
        <f t="shared" si="855"/>
        <v>5.4656038809990212E-4</v>
      </c>
      <c r="M135" s="52">
        <f t="shared" si="856"/>
        <v>5.6935361280469857E-4</v>
      </c>
      <c r="N135" s="52">
        <f t="shared" si="857"/>
        <v>3.941040227996189E-7</v>
      </c>
      <c r="O135" s="52">
        <f t="shared" si="858"/>
        <v>0</v>
      </c>
      <c r="P135" s="52">
        <f t="shared" si="859"/>
        <v>0</v>
      </c>
      <c r="Q135" s="52">
        <f t="shared" si="860"/>
        <v>0</v>
      </c>
      <c r="R135" s="52">
        <f t="shared" si="861"/>
        <v>0</v>
      </c>
      <c r="S135" s="527">
        <f t="shared" si="886"/>
        <v>0</v>
      </c>
      <c r="T135" s="533">
        <f t="shared" si="863"/>
        <v>0</v>
      </c>
      <c r="U135" s="375">
        <f t="shared" si="887"/>
        <v>0</v>
      </c>
      <c r="V135" s="375">
        <f t="shared" si="864"/>
        <v>-5.4656038809990212E-4</v>
      </c>
      <c r="W135" s="386">
        <f t="shared" si="865"/>
        <v>-2.1248489089032911E-3</v>
      </c>
      <c r="X135" s="386">
        <f t="shared" si="866"/>
        <v>0</v>
      </c>
      <c r="Y135" s="386">
        <f t="shared" si="867"/>
        <v>0</v>
      </c>
      <c r="Z135" s="375">
        <f t="shared" si="868"/>
        <v>-3.941040227996189E-7</v>
      </c>
      <c r="AA135" s="375">
        <f t="shared" si="869"/>
        <v>0</v>
      </c>
      <c r="AB135" s="386">
        <f t="shared" si="870"/>
        <v>0</v>
      </c>
      <c r="AC135" s="386">
        <f t="shared" si="871"/>
        <v>0</v>
      </c>
      <c r="AD135" s="386">
        <f t="shared" si="872"/>
        <v>0</v>
      </c>
      <c r="AE135" s="386">
        <f t="shared" si="873"/>
        <v>0</v>
      </c>
      <c r="AF135" s="386">
        <f t="shared" si="874"/>
        <v>0</v>
      </c>
      <c r="AG135" s="375">
        <f t="shared" si="875"/>
        <v>0</v>
      </c>
      <c r="AH135" s="375">
        <f t="shared" si="876"/>
        <v>0</v>
      </c>
      <c r="AI135" s="386">
        <f t="shared" si="877"/>
        <v>0</v>
      </c>
      <c r="AJ135" s="386">
        <f t="shared" si="878"/>
        <v>0</v>
      </c>
      <c r="AK135" s="386">
        <f t="shared" si="879"/>
        <v>0</v>
      </c>
      <c r="AL135" s="377">
        <f t="shared" si="880"/>
        <v>0</v>
      </c>
      <c r="AM135" s="377">
        <f t="shared" si="881"/>
        <v>0</v>
      </c>
      <c r="AN135" s="377">
        <f t="shared" si="882"/>
        <v>0</v>
      </c>
      <c r="AO135" s="283"/>
      <c r="AP135" s="295">
        <f t="shared" si="888"/>
        <v>1.3237000000000001E-2</v>
      </c>
      <c r="AQ135" s="183">
        <f t="shared" si="893"/>
        <v>0</v>
      </c>
      <c r="AR135" s="94">
        <f t="shared" si="895"/>
        <v>0</v>
      </c>
      <c r="AS135" s="94">
        <f t="shared" si="895"/>
        <v>17.857221000000003</v>
      </c>
      <c r="AT135" s="94">
        <f>-BC135</f>
        <v>17.857221000000003</v>
      </c>
      <c r="AU135" s="94">
        <f t="shared" si="896"/>
        <v>1.3237000000000001E-2</v>
      </c>
      <c r="AV135" s="94">
        <f>-BH135</f>
        <v>0</v>
      </c>
      <c r="AW135" s="94">
        <f t="shared" si="897"/>
        <v>0</v>
      </c>
      <c r="AX135" s="94">
        <f>-BN135</f>
        <v>0</v>
      </c>
      <c r="AY135" s="94">
        <f t="shared" si="898"/>
        <v>0</v>
      </c>
      <c r="AZ135" s="433">
        <f t="shared" si="899"/>
        <v>0</v>
      </c>
      <c r="BA135" s="1008">
        <v>0</v>
      </c>
      <c r="BB135" s="409">
        <v>0</v>
      </c>
      <c r="BC135" s="1031">
        <f>-65.081781+7.905455+32.521474+3.673822+3.123809</f>
        <v>-17.857221000000003</v>
      </c>
      <c r="BD135" s="1030">
        <v>-65.081781000000007</v>
      </c>
      <c r="BE135" s="389">
        <v>0</v>
      </c>
      <c r="BF135" s="516">
        <v>0</v>
      </c>
      <c r="BG135" s="207">
        <f>-0.013237</f>
        <v>-1.3237000000000001E-2</v>
      </c>
      <c r="BH135" s="207">
        <v>0</v>
      </c>
      <c r="BI135" s="389">
        <v>0</v>
      </c>
      <c r="BJ135" s="516">
        <v>0</v>
      </c>
      <c r="BK135" s="516">
        <v>0</v>
      </c>
      <c r="BL135" s="516">
        <v>0</v>
      </c>
      <c r="BM135" s="516">
        <v>0</v>
      </c>
      <c r="BN135" s="409">
        <v>0</v>
      </c>
      <c r="BO135" s="207">
        <v>0</v>
      </c>
      <c r="BP135" s="389">
        <v>0</v>
      </c>
      <c r="BQ135" s="389">
        <v>0</v>
      </c>
      <c r="BR135" s="389">
        <v>0</v>
      </c>
      <c r="BS135" s="296">
        <v>0</v>
      </c>
      <c r="BT135" s="296">
        <v>0</v>
      </c>
      <c r="BU135" s="296">
        <v>0</v>
      </c>
      <c r="BV135" s="409">
        <v>0</v>
      </c>
      <c r="BW135" s="1011">
        <f t="shared" si="883"/>
        <v>0</v>
      </c>
      <c r="BX135" s="438" t="s">
        <v>1532</v>
      </c>
    </row>
    <row r="136" spans="1:78" s="1" customFormat="1" ht="57.95" hidden="1" customHeight="1" outlineLevel="1" x14ac:dyDescent="0.25">
      <c r="A136" s="678">
        <v>28</v>
      </c>
      <c r="B136" s="702" t="s">
        <v>69</v>
      </c>
      <c r="C136" s="697" t="s">
        <v>1737</v>
      </c>
      <c r="D136" s="63">
        <v>44182</v>
      </c>
      <c r="E136" s="463" t="s">
        <v>640</v>
      </c>
      <c r="F136" s="542" t="s">
        <v>504</v>
      </c>
      <c r="G136" s="95" t="s">
        <v>24</v>
      </c>
      <c r="H136" s="311" t="s">
        <v>129</v>
      </c>
      <c r="I136" s="335"/>
      <c r="J136" s="294">
        <f t="shared" si="884"/>
        <v>0</v>
      </c>
      <c r="K136" s="52">
        <f t="shared" si="885"/>
        <v>0</v>
      </c>
      <c r="L136" s="52">
        <f t="shared" si="855"/>
        <v>3.5752194539666993E-4</v>
      </c>
      <c r="M136" s="52">
        <f t="shared" si="856"/>
        <v>3.7243169410102123E-4</v>
      </c>
      <c r="N136" s="52">
        <f t="shared" si="857"/>
        <v>7.4644349924714732E-5</v>
      </c>
      <c r="O136" s="52">
        <f t="shared" si="858"/>
        <v>0</v>
      </c>
      <c r="P136" s="52">
        <f t="shared" si="859"/>
        <v>0</v>
      </c>
      <c r="Q136" s="52">
        <f t="shared" si="860"/>
        <v>0</v>
      </c>
      <c r="R136" s="52">
        <f t="shared" si="861"/>
        <v>0</v>
      </c>
      <c r="S136" s="527">
        <f t="shared" si="886"/>
        <v>0</v>
      </c>
      <c r="T136" s="533">
        <f t="shared" si="863"/>
        <v>0</v>
      </c>
      <c r="U136" s="375">
        <f t="shared" si="887"/>
        <v>0</v>
      </c>
      <c r="V136" s="375">
        <f t="shared" si="864"/>
        <v>-3.5752194539666993E-4</v>
      </c>
      <c r="W136" s="386">
        <f t="shared" si="865"/>
        <v>-3.8137045967436348E-4</v>
      </c>
      <c r="X136" s="386">
        <f t="shared" si="866"/>
        <v>-3.7243169410102123E-4</v>
      </c>
      <c r="Y136" s="386">
        <f t="shared" si="867"/>
        <v>-3.7243169410102123E-4</v>
      </c>
      <c r="Z136" s="375">
        <f t="shared" si="868"/>
        <v>-7.4644349924714732E-5</v>
      </c>
      <c r="AA136" s="375">
        <f t="shared" si="869"/>
        <v>0</v>
      </c>
      <c r="AB136" s="386">
        <f t="shared" si="870"/>
        <v>0</v>
      </c>
      <c r="AC136" s="386">
        <f t="shared" si="871"/>
        <v>0</v>
      </c>
      <c r="AD136" s="386">
        <f t="shared" si="872"/>
        <v>0</v>
      </c>
      <c r="AE136" s="386">
        <f t="shared" si="873"/>
        <v>0</v>
      </c>
      <c r="AF136" s="386">
        <f t="shared" si="874"/>
        <v>0</v>
      </c>
      <c r="AG136" s="375">
        <f t="shared" si="875"/>
        <v>0</v>
      </c>
      <c r="AH136" s="375">
        <f t="shared" si="876"/>
        <v>0</v>
      </c>
      <c r="AI136" s="386">
        <f t="shared" si="877"/>
        <v>0</v>
      </c>
      <c r="AJ136" s="386">
        <f t="shared" si="878"/>
        <v>0</v>
      </c>
      <c r="AK136" s="386">
        <f t="shared" si="879"/>
        <v>0</v>
      </c>
      <c r="AL136" s="377">
        <f t="shared" si="880"/>
        <v>0</v>
      </c>
      <c r="AM136" s="377">
        <f t="shared" si="881"/>
        <v>0</v>
      </c>
      <c r="AN136" s="377">
        <f t="shared" si="882"/>
        <v>0</v>
      </c>
      <c r="AO136" s="283"/>
      <c r="AP136" s="295">
        <f t="shared" si="888"/>
        <v>2.507123</v>
      </c>
      <c r="AQ136" s="183">
        <f t="shared" si="893"/>
        <v>0</v>
      </c>
      <c r="AR136" s="94">
        <f>-BB136</f>
        <v>0</v>
      </c>
      <c r="AS136" s="94">
        <f>-BC136</f>
        <v>11.680956999999999</v>
      </c>
      <c r="AT136" s="94">
        <f>-BC136</f>
        <v>11.680956999999999</v>
      </c>
      <c r="AU136" s="94">
        <f t="shared" si="896"/>
        <v>2.507123</v>
      </c>
      <c r="AV136" s="94">
        <f>-BH136</f>
        <v>0</v>
      </c>
      <c r="AW136" s="94">
        <f t="shared" si="897"/>
        <v>0</v>
      </c>
      <c r="AX136" s="94">
        <f>-BN136</f>
        <v>0</v>
      </c>
      <c r="AY136" s="94">
        <f t="shared" si="898"/>
        <v>0</v>
      </c>
      <c r="AZ136" s="433">
        <f t="shared" si="899"/>
        <v>0</v>
      </c>
      <c r="BA136" s="1008">
        <v>0</v>
      </c>
      <c r="BB136" s="409">
        <v>0</v>
      </c>
      <c r="BC136" s="1025">
        <v>-11.680956999999999</v>
      </c>
      <c r="BD136" s="1030">
        <v>-11.680956999999999</v>
      </c>
      <c r="BE136" s="389">
        <v>-11.680956999999999</v>
      </c>
      <c r="BF136" s="516">
        <v>-11.680956999999999</v>
      </c>
      <c r="BG136" s="207">
        <f>-2.132484-0.374639</f>
        <v>-2.507123</v>
      </c>
      <c r="BH136" s="207">
        <v>0</v>
      </c>
      <c r="BI136" s="389">
        <v>0</v>
      </c>
      <c r="BJ136" s="516">
        <v>0</v>
      </c>
      <c r="BK136" s="516">
        <v>0</v>
      </c>
      <c r="BL136" s="516">
        <v>0</v>
      </c>
      <c r="BM136" s="516">
        <v>0</v>
      </c>
      <c r="BN136" s="409">
        <v>0</v>
      </c>
      <c r="BO136" s="207">
        <v>0</v>
      </c>
      <c r="BP136" s="389">
        <v>0</v>
      </c>
      <c r="BQ136" s="389">
        <v>0</v>
      </c>
      <c r="BR136" s="389">
        <v>0</v>
      </c>
      <c r="BS136" s="296">
        <v>0</v>
      </c>
      <c r="BT136" s="296">
        <v>0</v>
      </c>
      <c r="BU136" s="296">
        <v>0</v>
      </c>
      <c r="BV136" s="409">
        <v>0</v>
      </c>
      <c r="BW136" s="1011">
        <f t="shared" si="883"/>
        <v>0</v>
      </c>
      <c r="BX136" s="438" t="s">
        <v>505</v>
      </c>
    </row>
    <row r="137" spans="1:78" s="1" customFormat="1" ht="57.95" hidden="1" customHeight="1" outlineLevel="1" x14ac:dyDescent="0.25">
      <c r="A137" s="678">
        <v>29</v>
      </c>
      <c r="B137" s="702" t="s">
        <v>69</v>
      </c>
      <c r="C137" s="697" t="s">
        <v>1734</v>
      </c>
      <c r="D137" s="63">
        <v>44201</v>
      </c>
      <c r="E137" s="463" t="s">
        <v>547</v>
      </c>
      <c r="F137" s="542" t="s">
        <v>549</v>
      </c>
      <c r="G137" s="95" t="s">
        <v>24</v>
      </c>
      <c r="H137" s="311" t="s">
        <v>171</v>
      </c>
      <c r="I137" s="335"/>
      <c r="J137" s="294">
        <f t="shared" si="884"/>
        <v>0</v>
      </c>
      <c r="K137" s="52">
        <f t="shared" si="885"/>
        <v>0</v>
      </c>
      <c r="L137" s="52">
        <f t="shared" si="855"/>
        <v>1.4573481880509305E-4</v>
      </c>
      <c r="M137" s="52">
        <f t="shared" si="856"/>
        <v>1.5181240244390242E-4</v>
      </c>
      <c r="N137" s="52">
        <f t="shared" si="857"/>
        <v>1.4176216749650221E-4</v>
      </c>
      <c r="O137" s="52">
        <f t="shared" si="858"/>
        <v>0</v>
      </c>
      <c r="P137" s="52">
        <f t="shared" si="859"/>
        <v>0</v>
      </c>
      <c r="Q137" s="52">
        <f t="shared" si="860"/>
        <v>0</v>
      </c>
      <c r="R137" s="52">
        <f t="shared" si="861"/>
        <v>0</v>
      </c>
      <c r="S137" s="527">
        <f t="shared" si="886"/>
        <v>0</v>
      </c>
      <c r="T137" s="533">
        <f t="shared" si="863"/>
        <v>0</v>
      </c>
      <c r="U137" s="375">
        <f t="shared" si="887"/>
        <v>-9.345070953713841E-8</v>
      </c>
      <c r="V137" s="375">
        <f t="shared" si="864"/>
        <v>-1.3332899730656217E-4</v>
      </c>
      <c r="W137" s="386">
        <f t="shared" si="865"/>
        <v>-1.5545606515592674E-4</v>
      </c>
      <c r="X137" s="386">
        <f t="shared" si="866"/>
        <v>-1.3888922058918725E-4</v>
      </c>
      <c r="Y137" s="386">
        <f t="shared" si="867"/>
        <v>-1.3888922058918725E-4</v>
      </c>
      <c r="Z137" s="375">
        <f t="shared" si="868"/>
        <v>-1.0160887154147074E-4</v>
      </c>
      <c r="AA137" s="375">
        <f t="shared" si="869"/>
        <v>-2.3809454213323846E-5</v>
      </c>
      <c r="AB137" s="386">
        <f t="shared" si="870"/>
        <v>-1.1830395833519542E-5</v>
      </c>
      <c r="AC137" s="386">
        <f t="shared" si="871"/>
        <v>-1.1830395833519549E-5</v>
      </c>
      <c r="AD137" s="386">
        <f t="shared" si="872"/>
        <v>-3.9557642658005053E-5</v>
      </c>
      <c r="AE137" s="386">
        <f t="shared" si="873"/>
        <v>-2.4477133300516353E-5</v>
      </c>
      <c r="AF137" s="386">
        <f t="shared" si="874"/>
        <v>-2.3809454213323846E-5</v>
      </c>
      <c r="AG137" s="375">
        <f t="shared" si="875"/>
        <v>-2.3920636288986697E-5</v>
      </c>
      <c r="AH137" s="375">
        <f t="shared" si="876"/>
        <v>-9.343592825007173E-6</v>
      </c>
      <c r="AI137" s="386">
        <f t="shared" si="877"/>
        <v>-9.8424216468930429E-6</v>
      </c>
      <c r="AJ137" s="386">
        <f t="shared" si="878"/>
        <v>-9.5456859214775834E-6</v>
      </c>
      <c r="AK137" s="386">
        <f t="shared" si="879"/>
        <v>-9.4182289525074658E-6</v>
      </c>
      <c r="AL137" s="377">
        <f t="shared" si="880"/>
        <v>0</v>
      </c>
      <c r="AM137" s="377">
        <f t="shared" si="881"/>
        <v>0</v>
      </c>
      <c r="AN137" s="377">
        <f t="shared" si="882"/>
        <v>0</v>
      </c>
      <c r="AO137" s="283"/>
      <c r="AP137" s="295">
        <f t="shared" si="888"/>
        <v>4.7614479999999997</v>
      </c>
      <c r="AQ137" s="183">
        <f t="shared" si="893"/>
        <v>0</v>
      </c>
      <c r="AR137" s="94">
        <v>0</v>
      </c>
      <c r="AS137" s="94">
        <v>4.7614479999999997</v>
      </c>
      <c r="AT137" s="94">
        <v>4.7614479999999997</v>
      </c>
      <c r="AU137" s="94">
        <v>4.7614479999999997</v>
      </c>
      <c r="AV137" s="94">
        <v>0</v>
      </c>
      <c r="AW137" s="94">
        <v>0</v>
      </c>
      <c r="AX137" s="94">
        <v>0</v>
      </c>
      <c r="AY137" s="94">
        <v>0</v>
      </c>
      <c r="AZ137" s="433">
        <v>0</v>
      </c>
      <c r="BA137" s="1008">
        <v>0</v>
      </c>
      <c r="BB137" s="409">
        <v>-2.8310000000000002E-3</v>
      </c>
      <c r="BC137" s="1025">
        <v>-4.3561249999999996</v>
      </c>
      <c r="BD137" s="1030">
        <v>-4.7614479999999997</v>
      </c>
      <c r="BE137" s="389">
        <v>-4.3561249999999996</v>
      </c>
      <c r="BF137" s="516">
        <v>-4.3561249999999996</v>
      </c>
      <c r="BG137" s="207">
        <f>-3.412796</f>
        <v>-3.4127960000000002</v>
      </c>
      <c r="BH137" s="207">
        <v>-0.93901699999999999</v>
      </c>
      <c r="BI137" s="389">
        <v>-0.40249099999999999</v>
      </c>
      <c r="BJ137" s="516">
        <v>-0.40249099999999999</v>
      </c>
      <c r="BK137" s="516">
        <v>-1.3458209999999999</v>
      </c>
      <c r="BL137" s="516">
        <v>-0.93901699999999999</v>
      </c>
      <c r="BM137" s="516">
        <v>-0.93901699999999999</v>
      </c>
      <c r="BN137" s="1054">
        <v>-0.934836</v>
      </c>
      <c r="BO137" s="207">
        <v>-0.41098499999999999</v>
      </c>
      <c r="BP137" s="389">
        <v>-0.406804</v>
      </c>
      <c r="BQ137" s="389">
        <v>-0.406804</v>
      </c>
      <c r="BR137" s="389">
        <v>-0.41098499999999999</v>
      </c>
      <c r="BS137" s="296">
        <v>0</v>
      </c>
      <c r="BT137" s="296">
        <v>0</v>
      </c>
      <c r="BU137" s="296">
        <v>0</v>
      </c>
      <c r="BV137" s="1054">
        <v>0</v>
      </c>
      <c r="BW137" s="1011">
        <v>0</v>
      </c>
      <c r="BX137" s="438" t="s">
        <v>548</v>
      </c>
    </row>
    <row r="138" spans="1:78" s="1" customFormat="1" ht="43.5" hidden="1" customHeight="1" outlineLevel="1" x14ac:dyDescent="0.25">
      <c r="A138" s="678">
        <v>30</v>
      </c>
      <c r="B138" s="702" t="s">
        <v>69</v>
      </c>
      <c r="C138" s="697" t="s">
        <v>1737</v>
      </c>
      <c r="D138" s="63">
        <v>44201</v>
      </c>
      <c r="E138" s="463" t="s">
        <v>550</v>
      </c>
      <c r="F138" s="542" t="s">
        <v>551</v>
      </c>
      <c r="G138" s="95" t="s">
        <v>24</v>
      </c>
      <c r="H138" s="311" t="s">
        <v>129</v>
      </c>
      <c r="I138" s="335"/>
      <c r="J138" s="294">
        <f t="shared" si="884"/>
        <v>0</v>
      </c>
      <c r="K138" s="52">
        <f t="shared" si="885"/>
        <v>0</v>
      </c>
      <c r="L138" s="52">
        <f t="shared" si="855"/>
        <v>2.1352151689520076E-4</v>
      </c>
      <c r="M138" s="52">
        <f t="shared" si="856"/>
        <v>2.2242601129301236E-4</v>
      </c>
      <c r="N138" s="52">
        <f t="shared" si="857"/>
        <v>2.0770103733883289E-4</v>
      </c>
      <c r="O138" s="52">
        <f t="shared" si="858"/>
        <v>0</v>
      </c>
      <c r="P138" s="52">
        <f t="shared" si="859"/>
        <v>0</v>
      </c>
      <c r="Q138" s="52">
        <f t="shared" si="860"/>
        <v>0</v>
      </c>
      <c r="R138" s="52">
        <f t="shared" si="861"/>
        <v>0</v>
      </c>
      <c r="S138" s="527">
        <f t="shared" si="886"/>
        <v>0</v>
      </c>
      <c r="T138" s="533">
        <f t="shared" si="863"/>
        <v>0</v>
      </c>
      <c r="U138" s="375">
        <f t="shared" si="887"/>
        <v>0</v>
      </c>
      <c r="V138" s="375">
        <f t="shared" si="864"/>
        <v>-2.1352151689520076E-4</v>
      </c>
      <c r="W138" s="386">
        <f t="shared" si="865"/>
        <v>-2.2776447738989217E-4</v>
      </c>
      <c r="X138" s="386">
        <f t="shared" si="866"/>
        <v>-2.2242601129301236E-4</v>
      </c>
      <c r="Y138" s="386">
        <f t="shared" si="867"/>
        <v>-2.2242601129301236E-4</v>
      </c>
      <c r="Z138" s="375">
        <f t="shared" si="868"/>
        <v>-2.0770103733883289E-4</v>
      </c>
      <c r="AA138" s="375">
        <f t="shared" si="869"/>
        <v>0</v>
      </c>
      <c r="AB138" s="386">
        <f t="shared" si="870"/>
        <v>0</v>
      </c>
      <c r="AC138" s="386">
        <f t="shared" si="871"/>
        <v>0</v>
      </c>
      <c r="AD138" s="386">
        <f t="shared" si="872"/>
        <v>0</v>
      </c>
      <c r="AE138" s="386">
        <f t="shared" si="873"/>
        <v>0</v>
      </c>
      <c r="AF138" s="386">
        <f t="shared" si="874"/>
        <v>0</v>
      </c>
      <c r="AG138" s="375">
        <f t="shared" si="875"/>
        <v>0</v>
      </c>
      <c r="AH138" s="375">
        <f t="shared" si="876"/>
        <v>0</v>
      </c>
      <c r="AI138" s="386">
        <f t="shared" si="877"/>
        <v>0</v>
      </c>
      <c r="AJ138" s="386">
        <f t="shared" si="878"/>
        <v>0</v>
      </c>
      <c r="AK138" s="386">
        <f t="shared" si="879"/>
        <v>0</v>
      </c>
      <c r="AL138" s="377">
        <f t="shared" si="880"/>
        <v>0</v>
      </c>
      <c r="AM138" s="377">
        <f t="shared" si="881"/>
        <v>0</v>
      </c>
      <c r="AN138" s="377">
        <f t="shared" si="882"/>
        <v>0</v>
      </c>
      <c r="AO138" s="283"/>
      <c r="AP138" s="295">
        <f t="shared" si="888"/>
        <v>6.9761749999999996</v>
      </c>
      <c r="AQ138" s="183">
        <f t="shared" si="893"/>
        <v>0</v>
      </c>
      <c r="AR138" s="94">
        <f t="shared" ref="AR138:AR165" si="900">-BB138</f>
        <v>0</v>
      </c>
      <c r="AS138" s="94">
        <f t="shared" ref="AS138:AS152" si="901">-BC138</f>
        <v>6.9761749999999996</v>
      </c>
      <c r="AT138" s="94">
        <f t="shared" ref="AT138:AT152" si="902">-BC138</f>
        <v>6.9761749999999996</v>
      </c>
      <c r="AU138" s="94">
        <f t="shared" si="896"/>
        <v>6.9761749999999996</v>
      </c>
      <c r="AV138" s="94">
        <f t="shared" ref="AV138:AV152" si="903">-BH138</f>
        <v>0</v>
      </c>
      <c r="AW138" s="94">
        <f t="shared" si="897"/>
        <v>0</v>
      </c>
      <c r="AX138" s="94">
        <f t="shared" ref="AX138:AX152" si="904">-BN138</f>
        <v>0</v>
      </c>
      <c r="AY138" s="94">
        <f t="shared" si="898"/>
        <v>0</v>
      </c>
      <c r="AZ138" s="433">
        <f t="shared" si="899"/>
        <v>0</v>
      </c>
      <c r="BA138" s="1008">
        <v>0</v>
      </c>
      <c r="BB138" s="409">
        <v>0</v>
      </c>
      <c r="BC138" s="1025">
        <v>-6.9761749999999996</v>
      </c>
      <c r="BD138" s="1030">
        <v>-6.9761749999999996</v>
      </c>
      <c r="BE138" s="389">
        <v>-6.9761749999999996</v>
      </c>
      <c r="BF138" s="516">
        <v>-6.9761749999999996</v>
      </c>
      <c r="BG138" s="207">
        <v>-6.9761749999999996</v>
      </c>
      <c r="BH138" s="207">
        <v>0</v>
      </c>
      <c r="BI138" s="389">
        <v>0</v>
      </c>
      <c r="BJ138" s="516">
        <v>0</v>
      </c>
      <c r="BK138" s="516">
        <v>0</v>
      </c>
      <c r="BL138" s="516">
        <v>0</v>
      </c>
      <c r="BM138" s="516">
        <v>0</v>
      </c>
      <c r="BN138" s="409">
        <v>0</v>
      </c>
      <c r="BO138" s="207">
        <v>0</v>
      </c>
      <c r="BP138" s="389">
        <v>0</v>
      </c>
      <c r="BQ138" s="389">
        <v>0</v>
      </c>
      <c r="BR138" s="389">
        <v>0</v>
      </c>
      <c r="BS138" s="296">
        <v>0</v>
      </c>
      <c r="BT138" s="296">
        <v>0</v>
      </c>
      <c r="BU138" s="296">
        <v>0</v>
      </c>
      <c r="BV138" s="409">
        <v>0</v>
      </c>
      <c r="BW138" s="1011">
        <f t="shared" si="883"/>
        <v>0</v>
      </c>
      <c r="BX138" s="438" t="s">
        <v>552</v>
      </c>
      <c r="BZ138" s="649"/>
    </row>
    <row r="139" spans="1:78" s="1" customFormat="1" ht="29.1" hidden="1" customHeight="1" outlineLevel="1" x14ac:dyDescent="0.25">
      <c r="A139" s="678">
        <v>31</v>
      </c>
      <c r="B139" s="702" t="s">
        <v>69</v>
      </c>
      <c r="C139" s="697" t="s">
        <v>701</v>
      </c>
      <c r="D139" s="63">
        <v>44204</v>
      </c>
      <c r="E139" s="463" t="s">
        <v>721</v>
      </c>
      <c r="F139" s="542" t="s">
        <v>615</v>
      </c>
      <c r="G139" s="95" t="s">
        <v>24</v>
      </c>
      <c r="H139" s="311" t="s">
        <v>129</v>
      </c>
      <c r="I139" s="335"/>
      <c r="J139" s="294">
        <f t="shared" si="884"/>
        <v>0</v>
      </c>
      <c r="K139" s="52">
        <f t="shared" si="885"/>
        <v>0</v>
      </c>
      <c r="L139" s="52">
        <f t="shared" si="855"/>
        <v>0</v>
      </c>
      <c r="M139" s="52">
        <f t="shared" si="856"/>
        <v>0</v>
      </c>
      <c r="N139" s="52">
        <f t="shared" si="857"/>
        <v>0</v>
      </c>
      <c r="O139" s="52">
        <f t="shared" si="858"/>
        <v>0</v>
      </c>
      <c r="P139" s="52">
        <f t="shared" si="859"/>
        <v>0</v>
      </c>
      <c r="Q139" s="52">
        <f t="shared" si="860"/>
        <v>0</v>
      </c>
      <c r="R139" s="52">
        <f t="shared" si="861"/>
        <v>0</v>
      </c>
      <c r="S139" s="527">
        <f t="shared" si="886"/>
        <v>0</v>
      </c>
      <c r="T139" s="533">
        <f t="shared" si="863"/>
        <v>0</v>
      </c>
      <c r="U139" s="375">
        <f t="shared" si="887"/>
        <v>0</v>
      </c>
      <c r="V139" s="375">
        <f t="shared" si="864"/>
        <v>0</v>
      </c>
      <c r="W139" s="386">
        <f t="shared" si="865"/>
        <v>-7.5340643406013297E-4</v>
      </c>
      <c r="X139" s="386">
        <f t="shared" si="866"/>
        <v>0</v>
      </c>
      <c r="Y139" s="386">
        <f t="shared" si="867"/>
        <v>0</v>
      </c>
      <c r="Z139" s="375">
        <f t="shared" si="868"/>
        <v>0</v>
      </c>
      <c r="AA139" s="375">
        <f t="shared" si="869"/>
        <v>0</v>
      </c>
      <c r="AB139" s="386">
        <f t="shared" si="870"/>
        <v>0</v>
      </c>
      <c r="AC139" s="386">
        <f t="shared" si="871"/>
        <v>0</v>
      </c>
      <c r="AD139" s="386">
        <f t="shared" si="872"/>
        <v>0</v>
      </c>
      <c r="AE139" s="386">
        <f t="shared" si="873"/>
        <v>0</v>
      </c>
      <c r="AF139" s="386">
        <f t="shared" si="874"/>
        <v>0</v>
      </c>
      <c r="AG139" s="375">
        <f t="shared" si="875"/>
        <v>0</v>
      </c>
      <c r="AH139" s="375">
        <f t="shared" si="876"/>
        <v>0</v>
      </c>
      <c r="AI139" s="386">
        <f t="shared" si="877"/>
        <v>0</v>
      </c>
      <c r="AJ139" s="386">
        <f t="shared" si="878"/>
        <v>0</v>
      </c>
      <c r="AK139" s="386">
        <f t="shared" si="879"/>
        <v>0</v>
      </c>
      <c r="AL139" s="377">
        <f t="shared" si="880"/>
        <v>0</v>
      </c>
      <c r="AM139" s="377">
        <f t="shared" si="881"/>
        <v>0</v>
      </c>
      <c r="AN139" s="377">
        <f t="shared" si="882"/>
        <v>0</v>
      </c>
      <c r="AO139" s="283"/>
      <c r="AP139" s="295">
        <f t="shared" si="888"/>
        <v>0</v>
      </c>
      <c r="AQ139" s="183">
        <f t="shared" si="893"/>
        <v>0</v>
      </c>
      <c r="AR139" s="94">
        <f t="shared" si="900"/>
        <v>0</v>
      </c>
      <c r="AS139" s="94">
        <f t="shared" si="901"/>
        <v>0</v>
      </c>
      <c r="AT139" s="94">
        <f t="shared" si="902"/>
        <v>0</v>
      </c>
      <c r="AU139" s="94">
        <f t="shared" si="896"/>
        <v>0</v>
      </c>
      <c r="AV139" s="94">
        <f t="shared" si="903"/>
        <v>0</v>
      </c>
      <c r="AW139" s="94">
        <f t="shared" si="897"/>
        <v>0</v>
      </c>
      <c r="AX139" s="94">
        <f t="shared" si="904"/>
        <v>0</v>
      </c>
      <c r="AY139" s="94">
        <f t="shared" si="898"/>
        <v>0</v>
      </c>
      <c r="AZ139" s="433">
        <f t="shared" si="899"/>
        <v>0</v>
      </c>
      <c r="BA139" s="1008">
        <v>0</v>
      </c>
      <c r="BB139" s="409">
        <v>0</v>
      </c>
      <c r="BC139" s="1025">
        <v>0</v>
      </c>
      <c r="BD139" s="1030">
        <v>-23.076008999999999</v>
      </c>
      <c r="BE139" s="389">
        <v>0</v>
      </c>
      <c r="BF139" s="516">
        <v>0</v>
      </c>
      <c r="BG139" s="207">
        <v>0</v>
      </c>
      <c r="BH139" s="207">
        <v>0</v>
      </c>
      <c r="BI139" s="389">
        <v>0</v>
      </c>
      <c r="BJ139" s="516">
        <v>0</v>
      </c>
      <c r="BK139" s="516">
        <v>0</v>
      </c>
      <c r="BL139" s="516">
        <v>0</v>
      </c>
      <c r="BM139" s="516">
        <v>0</v>
      </c>
      <c r="BN139" s="409">
        <v>0</v>
      </c>
      <c r="BO139" s="207">
        <v>0</v>
      </c>
      <c r="BP139" s="389">
        <v>0</v>
      </c>
      <c r="BQ139" s="389">
        <v>0</v>
      </c>
      <c r="BR139" s="389">
        <v>0</v>
      </c>
      <c r="BS139" s="296">
        <v>0</v>
      </c>
      <c r="BT139" s="296">
        <v>0</v>
      </c>
      <c r="BU139" s="296">
        <v>0</v>
      </c>
      <c r="BV139" s="409">
        <v>0</v>
      </c>
      <c r="BW139" s="1011">
        <f t="shared" si="883"/>
        <v>0</v>
      </c>
      <c r="BX139" s="442" t="s">
        <v>615</v>
      </c>
    </row>
    <row r="140" spans="1:78" s="1" customFormat="1" ht="72.599999999999994" hidden="1" customHeight="1" outlineLevel="1" x14ac:dyDescent="0.25">
      <c r="A140" s="678">
        <v>32</v>
      </c>
      <c r="B140" s="702" t="s">
        <v>69</v>
      </c>
      <c r="C140" s="697" t="s">
        <v>1739</v>
      </c>
      <c r="D140" s="63" t="s">
        <v>1149</v>
      </c>
      <c r="E140" s="463" t="s">
        <v>1148</v>
      </c>
      <c r="F140" s="542" t="s">
        <v>706</v>
      </c>
      <c r="G140" s="95" t="s">
        <v>142</v>
      </c>
      <c r="H140" s="311" t="s">
        <v>129</v>
      </c>
      <c r="I140" s="335"/>
      <c r="J140" s="294">
        <f t="shared" si="884"/>
        <v>0</v>
      </c>
      <c r="K140" s="52">
        <f t="shared" si="885"/>
        <v>0</v>
      </c>
      <c r="L140" s="52">
        <f t="shared" si="855"/>
        <v>6.9072875857002937E-5</v>
      </c>
      <c r="M140" s="52">
        <f t="shared" si="856"/>
        <v>7.1953424127045896E-5</v>
      </c>
      <c r="N140" s="52">
        <f t="shared" si="857"/>
        <v>0</v>
      </c>
      <c r="O140" s="52">
        <f t="shared" si="858"/>
        <v>0</v>
      </c>
      <c r="P140" s="52">
        <f t="shared" si="859"/>
        <v>0</v>
      </c>
      <c r="Q140" s="52">
        <f t="shared" si="860"/>
        <v>0</v>
      </c>
      <c r="R140" s="52">
        <f t="shared" si="861"/>
        <v>0</v>
      </c>
      <c r="S140" s="527">
        <f t="shared" si="886"/>
        <v>0</v>
      </c>
      <c r="T140" s="533">
        <f t="shared" si="863"/>
        <v>0</v>
      </c>
      <c r="U140" s="375">
        <f t="shared" si="887"/>
        <v>0</v>
      </c>
      <c r="V140" s="375">
        <f t="shared" si="864"/>
        <v>-6.9072875857002937E-5</v>
      </c>
      <c r="W140" s="386">
        <f t="shared" si="865"/>
        <v>-7.3680384535244859E-5</v>
      </c>
      <c r="X140" s="386">
        <f t="shared" si="866"/>
        <v>-7.1953424127045896E-5</v>
      </c>
      <c r="Y140" s="386">
        <f t="shared" si="867"/>
        <v>-7.1953424127045896E-5</v>
      </c>
      <c r="Z140" s="375">
        <f t="shared" si="868"/>
        <v>0</v>
      </c>
      <c r="AA140" s="375">
        <f t="shared" si="869"/>
        <v>0</v>
      </c>
      <c r="AB140" s="386">
        <f t="shared" si="870"/>
        <v>0</v>
      </c>
      <c r="AC140" s="386">
        <f t="shared" si="871"/>
        <v>0</v>
      </c>
      <c r="AD140" s="386">
        <f t="shared" si="872"/>
        <v>0</v>
      </c>
      <c r="AE140" s="386">
        <f t="shared" si="873"/>
        <v>0</v>
      </c>
      <c r="AF140" s="386">
        <f t="shared" si="874"/>
        <v>0</v>
      </c>
      <c r="AG140" s="375">
        <f t="shared" si="875"/>
        <v>0</v>
      </c>
      <c r="AH140" s="375">
        <f t="shared" si="876"/>
        <v>0</v>
      </c>
      <c r="AI140" s="386">
        <f t="shared" si="877"/>
        <v>0</v>
      </c>
      <c r="AJ140" s="386">
        <f t="shared" si="878"/>
        <v>0</v>
      </c>
      <c r="AK140" s="386">
        <f t="shared" si="879"/>
        <v>0</v>
      </c>
      <c r="AL140" s="377">
        <f t="shared" si="880"/>
        <v>0</v>
      </c>
      <c r="AM140" s="377">
        <f t="shared" si="881"/>
        <v>0</v>
      </c>
      <c r="AN140" s="377">
        <f t="shared" si="882"/>
        <v>0</v>
      </c>
      <c r="AO140" s="283"/>
      <c r="AP140" s="295">
        <f t="shared" si="888"/>
        <v>0</v>
      </c>
      <c r="AQ140" s="183">
        <f t="shared" si="893"/>
        <v>0</v>
      </c>
      <c r="AR140" s="94">
        <f t="shared" si="900"/>
        <v>0</v>
      </c>
      <c r="AS140" s="94">
        <f t="shared" si="901"/>
        <v>2.2567490000000001</v>
      </c>
      <c r="AT140" s="94">
        <f t="shared" si="902"/>
        <v>2.2567490000000001</v>
      </c>
      <c r="AU140" s="94">
        <f t="shared" si="896"/>
        <v>0</v>
      </c>
      <c r="AV140" s="94">
        <f t="shared" si="903"/>
        <v>0</v>
      </c>
      <c r="AW140" s="94">
        <f t="shared" si="897"/>
        <v>0</v>
      </c>
      <c r="AX140" s="94">
        <f t="shared" si="904"/>
        <v>0</v>
      </c>
      <c r="AY140" s="94">
        <f t="shared" si="898"/>
        <v>0</v>
      </c>
      <c r="AZ140" s="433">
        <f t="shared" si="899"/>
        <v>0</v>
      </c>
      <c r="BA140" s="1008">
        <v>0</v>
      </c>
      <c r="BB140" s="409">
        <v>0</v>
      </c>
      <c r="BC140" s="1025">
        <f>-0.621799-1.63495</f>
        <v>-2.2567490000000001</v>
      </c>
      <c r="BD140" s="1030">
        <f>-0.621799-1.63495</f>
        <v>-2.2567490000000001</v>
      </c>
      <c r="BE140" s="389">
        <v>-2.2567490000000001</v>
      </c>
      <c r="BF140" s="516">
        <v>-2.2567490000000001</v>
      </c>
      <c r="BG140" s="207">
        <v>0</v>
      </c>
      <c r="BH140" s="207">
        <v>0</v>
      </c>
      <c r="BI140" s="389">
        <v>0</v>
      </c>
      <c r="BJ140" s="516">
        <v>0</v>
      </c>
      <c r="BK140" s="516">
        <v>0</v>
      </c>
      <c r="BL140" s="516">
        <v>0</v>
      </c>
      <c r="BM140" s="516">
        <v>0</v>
      </c>
      <c r="BN140" s="409">
        <v>0</v>
      </c>
      <c r="BO140" s="207">
        <v>0</v>
      </c>
      <c r="BP140" s="389">
        <v>0</v>
      </c>
      <c r="BQ140" s="389">
        <v>0</v>
      </c>
      <c r="BR140" s="389">
        <v>0</v>
      </c>
      <c r="BS140" s="296">
        <v>0</v>
      </c>
      <c r="BT140" s="296">
        <v>0</v>
      </c>
      <c r="BU140" s="296">
        <v>0</v>
      </c>
      <c r="BV140" s="409">
        <v>0</v>
      </c>
      <c r="BW140" s="1011">
        <f t="shared" si="883"/>
        <v>0</v>
      </c>
      <c r="BX140" s="442" t="s">
        <v>1114</v>
      </c>
    </row>
    <row r="141" spans="1:78" s="1" customFormat="1" ht="43.5" hidden="1" customHeight="1" outlineLevel="1" x14ac:dyDescent="0.25">
      <c r="A141" s="678">
        <v>33</v>
      </c>
      <c r="B141" s="702" t="s">
        <v>69</v>
      </c>
      <c r="C141" s="697" t="s">
        <v>701</v>
      </c>
      <c r="D141" s="63">
        <v>44210</v>
      </c>
      <c r="E141" s="463" t="s">
        <v>722</v>
      </c>
      <c r="F141" s="542" t="s">
        <v>616</v>
      </c>
      <c r="G141" s="95" t="s">
        <v>24</v>
      </c>
      <c r="H141" s="311" t="s">
        <v>129</v>
      </c>
      <c r="I141" s="335"/>
      <c r="J141" s="294">
        <f t="shared" si="884"/>
        <v>0</v>
      </c>
      <c r="K141" s="52">
        <f t="shared" si="885"/>
        <v>0</v>
      </c>
      <c r="L141" s="52">
        <f t="shared" si="855"/>
        <v>0</v>
      </c>
      <c r="M141" s="52">
        <f t="shared" si="856"/>
        <v>0</v>
      </c>
      <c r="N141" s="52">
        <f t="shared" si="857"/>
        <v>0</v>
      </c>
      <c r="O141" s="52">
        <f t="shared" si="858"/>
        <v>0</v>
      </c>
      <c r="P141" s="52">
        <f t="shared" si="859"/>
        <v>0</v>
      </c>
      <c r="Q141" s="52">
        <f t="shared" si="860"/>
        <v>0</v>
      </c>
      <c r="R141" s="52">
        <f t="shared" si="861"/>
        <v>0</v>
      </c>
      <c r="S141" s="527">
        <f t="shared" si="886"/>
        <v>0</v>
      </c>
      <c r="T141" s="533">
        <f t="shared" si="863"/>
        <v>0</v>
      </c>
      <c r="U141" s="375">
        <f t="shared" si="887"/>
        <v>0</v>
      </c>
      <c r="V141" s="375">
        <f t="shared" si="864"/>
        <v>0</v>
      </c>
      <c r="W141" s="386">
        <f t="shared" si="865"/>
        <v>-3.7606723267799444E-4</v>
      </c>
      <c r="X141" s="386">
        <f t="shared" si="866"/>
        <v>0</v>
      </c>
      <c r="Y141" s="386">
        <f t="shared" si="867"/>
        <v>0</v>
      </c>
      <c r="Z141" s="375">
        <f t="shared" si="868"/>
        <v>0</v>
      </c>
      <c r="AA141" s="375">
        <f t="shared" si="869"/>
        <v>0</v>
      </c>
      <c r="AB141" s="386">
        <f t="shared" si="870"/>
        <v>0</v>
      </c>
      <c r="AC141" s="386">
        <f t="shared" si="871"/>
        <v>0</v>
      </c>
      <c r="AD141" s="386">
        <f t="shared" si="872"/>
        <v>0</v>
      </c>
      <c r="AE141" s="386">
        <f t="shared" si="873"/>
        <v>0</v>
      </c>
      <c r="AF141" s="386">
        <f t="shared" si="874"/>
        <v>0</v>
      </c>
      <c r="AG141" s="375">
        <f t="shared" si="875"/>
        <v>0</v>
      </c>
      <c r="AH141" s="375">
        <f t="shared" si="876"/>
        <v>0</v>
      </c>
      <c r="AI141" s="386">
        <f t="shared" si="877"/>
        <v>0</v>
      </c>
      <c r="AJ141" s="386">
        <f t="shared" si="878"/>
        <v>0</v>
      </c>
      <c r="AK141" s="386">
        <f t="shared" si="879"/>
        <v>0</v>
      </c>
      <c r="AL141" s="377">
        <f t="shared" si="880"/>
        <v>0</v>
      </c>
      <c r="AM141" s="377">
        <f t="shared" si="881"/>
        <v>0</v>
      </c>
      <c r="AN141" s="377">
        <f t="shared" si="882"/>
        <v>0</v>
      </c>
      <c r="AO141" s="283"/>
      <c r="AP141" s="295">
        <f t="shared" si="888"/>
        <v>0</v>
      </c>
      <c r="AQ141" s="183">
        <f t="shared" si="893"/>
        <v>0</v>
      </c>
      <c r="AR141" s="94">
        <f t="shared" si="900"/>
        <v>0</v>
      </c>
      <c r="AS141" s="94">
        <f t="shared" si="901"/>
        <v>0</v>
      </c>
      <c r="AT141" s="94">
        <f t="shared" si="902"/>
        <v>0</v>
      </c>
      <c r="AU141" s="94">
        <f t="shared" si="896"/>
        <v>0</v>
      </c>
      <c r="AV141" s="94">
        <f t="shared" si="903"/>
        <v>0</v>
      </c>
      <c r="AW141" s="94">
        <f t="shared" si="897"/>
        <v>0</v>
      </c>
      <c r="AX141" s="94">
        <f t="shared" si="904"/>
        <v>0</v>
      </c>
      <c r="AY141" s="94">
        <f t="shared" si="898"/>
        <v>0</v>
      </c>
      <c r="AZ141" s="433">
        <f t="shared" si="899"/>
        <v>0</v>
      </c>
      <c r="BA141" s="1008">
        <v>0</v>
      </c>
      <c r="BB141" s="409">
        <v>0</v>
      </c>
      <c r="BC141" s="1025">
        <v>0</v>
      </c>
      <c r="BD141" s="1030">
        <f>-14.180745+2.66222</f>
        <v>-11.518525</v>
      </c>
      <c r="BE141" s="389">
        <v>0</v>
      </c>
      <c r="BF141" s="516">
        <v>0</v>
      </c>
      <c r="BG141" s="1010">
        <v>0</v>
      </c>
      <c r="BH141" s="207">
        <v>0</v>
      </c>
      <c r="BI141" s="389">
        <v>0</v>
      </c>
      <c r="BJ141" s="516">
        <v>0</v>
      </c>
      <c r="BK141" s="516">
        <v>0</v>
      </c>
      <c r="BL141" s="516">
        <v>0</v>
      </c>
      <c r="BM141" s="516">
        <v>0</v>
      </c>
      <c r="BN141" s="1032">
        <v>0</v>
      </c>
      <c r="BO141" s="207">
        <v>0</v>
      </c>
      <c r="BP141" s="389">
        <v>0</v>
      </c>
      <c r="BQ141" s="389">
        <v>0</v>
      </c>
      <c r="BR141" s="389">
        <v>0</v>
      </c>
      <c r="BS141" s="296">
        <v>0</v>
      </c>
      <c r="BT141" s="296">
        <v>0</v>
      </c>
      <c r="BU141" s="296">
        <v>0</v>
      </c>
      <c r="BV141" s="1032">
        <v>0</v>
      </c>
      <c r="BW141" s="1011">
        <f t="shared" si="883"/>
        <v>0</v>
      </c>
      <c r="BX141" s="442" t="s">
        <v>616</v>
      </c>
    </row>
    <row r="142" spans="1:78" s="1" customFormat="1" ht="72.599999999999994" hidden="1" customHeight="1" outlineLevel="1" x14ac:dyDescent="0.25">
      <c r="A142" s="678">
        <v>34</v>
      </c>
      <c r="B142" s="702" t="s">
        <v>69</v>
      </c>
      <c r="C142" s="697" t="s">
        <v>1740</v>
      </c>
      <c r="D142" s="63" t="s">
        <v>1817</v>
      </c>
      <c r="E142" s="463" t="s">
        <v>558</v>
      </c>
      <c r="F142" s="542" t="s">
        <v>557</v>
      </c>
      <c r="G142" s="95" t="s">
        <v>24</v>
      </c>
      <c r="H142" s="311" t="s">
        <v>129</v>
      </c>
      <c r="I142" s="335"/>
      <c r="J142" s="294">
        <f t="shared" si="884"/>
        <v>0</v>
      </c>
      <c r="K142" s="52">
        <f t="shared" si="885"/>
        <v>0</v>
      </c>
      <c r="L142" s="52">
        <f t="shared" si="855"/>
        <v>3.5636202252693441E-4</v>
      </c>
      <c r="M142" s="52">
        <f t="shared" si="856"/>
        <v>3.7122339893211115E-4</v>
      </c>
      <c r="N142" s="52">
        <f t="shared" si="857"/>
        <v>3.4368955261705525E-4</v>
      </c>
      <c r="O142" s="52">
        <f t="shared" si="858"/>
        <v>0</v>
      </c>
      <c r="P142" s="52">
        <f t="shared" si="859"/>
        <v>0</v>
      </c>
      <c r="Q142" s="52">
        <f t="shared" si="860"/>
        <v>0</v>
      </c>
      <c r="R142" s="52">
        <f t="shared" si="861"/>
        <v>0</v>
      </c>
      <c r="S142" s="527">
        <f t="shared" si="886"/>
        <v>0</v>
      </c>
      <c r="T142" s="533">
        <f t="shared" si="863"/>
        <v>0</v>
      </c>
      <c r="U142" s="375">
        <f t="shared" si="887"/>
        <v>0</v>
      </c>
      <c r="V142" s="375">
        <f t="shared" si="864"/>
        <v>-3.5636202252693441E-4</v>
      </c>
      <c r="W142" s="386">
        <f t="shared" si="865"/>
        <v>-7.9387772331136508E-5</v>
      </c>
      <c r="X142" s="386">
        <f t="shared" si="866"/>
        <v>-2.2602519856753051E-4</v>
      </c>
      <c r="Y142" s="386">
        <f t="shared" si="867"/>
        <v>-2.2602519856753051E-4</v>
      </c>
      <c r="Z142" s="375">
        <f t="shared" si="868"/>
        <v>-3.4368955261705525E-4</v>
      </c>
      <c r="AA142" s="375">
        <f t="shared" si="869"/>
        <v>0</v>
      </c>
      <c r="AB142" s="386">
        <f t="shared" si="870"/>
        <v>0</v>
      </c>
      <c r="AC142" s="386">
        <f t="shared" si="871"/>
        <v>0</v>
      </c>
      <c r="AD142" s="386">
        <f t="shared" si="872"/>
        <v>0</v>
      </c>
      <c r="AE142" s="386">
        <f t="shared" si="873"/>
        <v>0</v>
      </c>
      <c r="AF142" s="386">
        <f t="shared" si="874"/>
        <v>0</v>
      </c>
      <c r="AG142" s="375">
        <f t="shared" si="875"/>
        <v>0</v>
      </c>
      <c r="AH142" s="375">
        <f t="shared" si="876"/>
        <v>0</v>
      </c>
      <c r="AI142" s="386">
        <f t="shared" si="877"/>
        <v>0</v>
      </c>
      <c r="AJ142" s="386">
        <f t="shared" si="878"/>
        <v>0</v>
      </c>
      <c r="AK142" s="386">
        <f t="shared" si="879"/>
        <v>0</v>
      </c>
      <c r="AL142" s="377">
        <f t="shared" si="880"/>
        <v>0</v>
      </c>
      <c r="AM142" s="377">
        <f t="shared" si="881"/>
        <v>0</v>
      </c>
      <c r="AN142" s="377">
        <f t="shared" si="882"/>
        <v>0</v>
      </c>
      <c r="AO142" s="283"/>
      <c r="AP142" s="295">
        <f t="shared" si="888"/>
        <v>11.543699999999999</v>
      </c>
      <c r="AQ142" s="183">
        <f t="shared" si="893"/>
        <v>0</v>
      </c>
      <c r="AR142" s="94">
        <f t="shared" si="900"/>
        <v>0</v>
      </c>
      <c r="AS142" s="94">
        <f t="shared" si="901"/>
        <v>11.64306</v>
      </c>
      <c r="AT142" s="94">
        <f t="shared" si="902"/>
        <v>11.64306</v>
      </c>
      <c r="AU142" s="94">
        <f t="shared" si="896"/>
        <v>11.543699999999999</v>
      </c>
      <c r="AV142" s="94">
        <f t="shared" si="903"/>
        <v>0</v>
      </c>
      <c r="AW142" s="94">
        <f t="shared" si="897"/>
        <v>0</v>
      </c>
      <c r="AX142" s="94">
        <f t="shared" si="904"/>
        <v>0</v>
      </c>
      <c r="AY142" s="94">
        <f t="shared" si="898"/>
        <v>0</v>
      </c>
      <c r="AZ142" s="433">
        <f t="shared" si="899"/>
        <v>0</v>
      </c>
      <c r="BA142" s="1008">
        <v>0</v>
      </c>
      <c r="BB142" s="409">
        <v>0</v>
      </c>
      <c r="BC142" s="1025">
        <f>-2.43156-4.6575-4.554</f>
        <v>-11.64306</v>
      </c>
      <c r="BD142" s="1030">
        <v>-2.4315600000000002</v>
      </c>
      <c r="BE142" s="389">
        <v>-7.0890599999999999</v>
      </c>
      <c r="BF142" s="516">
        <v>-7.0890599999999999</v>
      </c>
      <c r="BG142" s="207">
        <f>-11.5437</f>
        <v>-11.543699999999999</v>
      </c>
      <c r="BH142" s="207">
        <v>0</v>
      </c>
      <c r="BI142" s="389">
        <v>0</v>
      </c>
      <c r="BJ142" s="516">
        <v>0</v>
      </c>
      <c r="BK142" s="516">
        <v>0</v>
      </c>
      <c r="BL142" s="516">
        <v>0</v>
      </c>
      <c r="BM142" s="516">
        <v>0</v>
      </c>
      <c r="BN142" s="409">
        <v>0</v>
      </c>
      <c r="BO142" s="207">
        <v>0</v>
      </c>
      <c r="BP142" s="389">
        <v>0</v>
      </c>
      <c r="BQ142" s="389">
        <v>0</v>
      </c>
      <c r="BR142" s="389">
        <v>0</v>
      </c>
      <c r="BS142" s="296">
        <v>0</v>
      </c>
      <c r="BT142" s="296">
        <v>0</v>
      </c>
      <c r="BU142" s="296">
        <v>0</v>
      </c>
      <c r="BV142" s="409">
        <v>0</v>
      </c>
      <c r="BW142" s="1011">
        <f t="shared" si="883"/>
        <v>0</v>
      </c>
      <c r="BX142" s="438" t="s">
        <v>1806</v>
      </c>
    </row>
    <row r="143" spans="1:78" s="1" customFormat="1" ht="144.94999999999999" hidden="1" customHeight="1" outlineLevel="1" x14ac:dyDescent="0.25">
      <c r="A143" s="678">
        <v>35</v>
      </c>
      <c r="B143" s="702" t="s">
        <v>69</v>
      </c>
      <c r="C143" s="697" t="s">
        <v>1737</v>
      </c>
      <c r="D143" s="63">
        <v>44215</v>
      </c>
      <c r="E143" s="463" t="s">
        <v>641</v>
      </c>
      <c r="F143" s="542" t="s">
        <v>619</v>
      </c>
      <c r="G143" s="95" t="s">
        <v>24</v>
      </c>
      <c r="H143" s="311" t="s">
        <v>127</v>
      </c>
      <c r="I143" s="335"/>
      <c r="J143" s="294">
        <f t="shared" si="884"/>
        <v>0</v>
      </c>
      <c r="K143" s="52">
        <f t="shared" si="885"/>
        <v>0</v>
      </c>
      <c r="L143" s="52">
        <f t="shared" si="855"/>
        <v>2.1765450538687562E-4</v>
      </c>
      <c r="M143" s="52">
        <f t="shared" si="856"/>
        <v>2.2673135793109547E-4</v>
      </c>
      <c r="N143" s="52">
        <f t="shared" si="857"/>
        <v>1.0430501704216312E-4</v>
      </c>
      <c r="O143" s="52">
        <f t="shared" si="858"/>
        <v>0</v>
      </c>
      <c r="P143" s="52">
        <f t="shared" si="859"/>
        <v>0</v>
      </c>
      <c r="Q143" s="52">
        <f t="shared" si="860"/>
        <v>0</v>
      </c>
      <c r="R143" s="52">
        <f t="shared" si="861"/>
        <v>0</v>
      </c>
      <c r="S143" s="527">
        <f t="shared" si="886"/>
        <v>0</v>
      </c>
      <c r="T143" s="533">
        <f t="shared" si="863"/>
        <v>0</v>
      </c>
      <c r="U143" s="375">
        <f t="shared" ref="U143:U196" si="905">BB143/U$8</f>
        <v>0</v>
      </c>
      <c r="V143" s="375">
        <f t="shared" si="864"/>
        <v>-2.1765450538687562E-4</v>
      </c>
      <c r="W143" s="386">
        <f t="shared" si="865"/>
        <v>-2.3217315702814514E-4</v>
      </c>
      <c r="X143" s="386">
        <f t="shared" si="866"/>
        <v>-2.2673135793109547E-4</v>
      </c>
      <c r="Y143" s="386">
        <f t="shared" si="867"/>
        <v>-2.2673135793109547E-4</v>
      </c>
      <c r="Z143" s="375">
        <f t="shared" si="868"/>
        <v>-1.0430501704216312E-4</v>
      </c>
      <c r="AA143" s="375">
        <f t="shared" si="869"/>
        <v>0</v>
      </c>
      <c r="AB143" s="386">
        <f t="shared" si="870"/>
        <v>0</v>
      </c>
      <c r="AC143" s="386">
        <f t="shared" si="871"/>
        <v>0</v>
      </c>
      <c r="AD143" s="386">
        <f t="shared" si="872"/>
        <v>0</v>
      </c>
      <c r="AE143" s="386">
        <f t="shared" si="873"/>
        <v>0</v>
      </c>
      <c r="AF143" s="386">
        <f t="shared" si="874"/>
        <v>0</v>
      </c>
      <c r="AG143" s="375">
        <f t="shared" si="875"/>
        <v>0</v>
      </c>
      <c r="AH143" s="375">
        <f t="shared" si="876"/>
        <v>0</v>
      </c>
      <c r="AI143" s="386">
        <f t="shared" si="877"/>
        <v>0</v>
      </c>
      <c r="AJ143" s="386">
        <f t="shared" si="878"/>
        <v>0</v>
      </c>
      <c r="AK143" s="386">
        <f t="shared" si="879"/>
        <v>0</v>
      </c>
      <c r="AL143" s="377">
        <f t="shared" si="880"/>
        <v>0</v>
      </c>
      <c r="AM143" s="377">
        <f t="shared" si="881"/>
        <v>0</v>
      </c>
      <c r="AN143" s="377">
        <f t="shared" si="882"/>
        <v>0</v>
      </c>
      <c r="AO143" s="283"/>
      <c r="AP143" s="295">
        <f t="shared" si="888"/>
        <v>3.5033529999999997</v>
      </c>
      <c r="AQ143" s="183">
        <f t="shared" si="893"/>
        <v>0</v>
      </c>
      <c r="AR143" s="94">
        <f t="shared" si="900"/>
        <v>0</v>
      </c>
      <c r="AS143" s="94">
        <f t="shared" si="901"/>
        <v>7.1112080000000004</v>
      </c>
      <c r="AT143" s="94">
        <f t="shared" si="902"/>
        <v>7.1112080000000004</v>
      </c>
      <c r="AU143" s="94">
        <f t="shared" si="896"/>
        <v>3.5033529999999997</v>
      </c>
      <c r="AV143" s="94">
        <f t="shared" si="903"/>
        <v>0</v>
      </c>
      <c r="AW143" s="94">
        <f t="shared" si="897"/>
        <v>0</v>
      </c>
      <c r="AX143" s="94">
        <f t="shared" si="904"/>
        <v>0</v>
      </c>
      <c r="AY143" s="94">
        <f t="shared" si="898"/>
        <v>0</v>
      </c>
      <c r="AZ143" s="433">
        <f t="shared" si="899"/>
        <v>0</v>
      </c>
      <c r="BA143" s="1008">
        <v>0</v>
      </c>
      <c r="BB143" s="409">
        <v>0</v>
      </c>
      <c r="BC143" s="1025">
        <v>-7.1112080000000004</v>
      </c>
      <c r="BD143" s="1030">
        <v>-7.1112080000000004</v>
      </c>
      <c r="BE143" s="389">
        <v>-7.1112080000000004</v>
      </c>
      <c r="BF143" s="516">
        <v>-7.1112080000000004</v>
      </c>
      <c r="BG143" s="207">
        <f>-3.470779-0.032574</f>
        <v>-3.5033529999999997</v>
      </c>
      <c r="BH143" s="207">
        <v>0</v>
      </c>
      <c r="BI143" s="389">
        <v>0</v>
      </c>
      <c r="BJ143" s="516">
        <v>0</v>
      </c>
      <c r="BK143" s="516">
        <v>0</v>
      </c>
      <c r="BL143" s="516">
        <v>0</v>
      </c>
      <c r="BM143" s="516">
        <v>0</v>
      </c>
      <c r="BN143" s="409">
        <v>0</v>
      </c>
      <c r="BO143" s="207">
        <v>0</v>
      </c>
      <c r="BP143" s="389">
        <v>0</v>
      </c>
      <c r="BQ143" s="389">
        <v>0</v>
      </c>
      <c r="BR143" s="389">
        <v>0</v>
      </c>
      <c r="BS143" s="296">
        <v>0</v>
      </c>
      <c r="BT143" s="296">
        <v>0</v>
      </c>
      <c r="BU143" s="296">
        <v>0</v>
      </c>
      <c r="BV143" s="409">
        <v>0</v>
      </c>
      <c r="BW143" s="1011">
        <f t="shared" si="883"/>
        <v>0</v>
      </c>
      <c r="BX143" s="438" t="s">
        <v>620</v>
      </c>
    </row>
    <row r="144" spans="1:78" s="1" customFormat="1" ht="43.5" hidden="1" customHeight="1" outlineLevel="1" x14ac:dyDescent="0.25">
      <c r="A144" s="678">
        <v>36</v>
      </c>
      <c r="B144" s="702" t="s">
        <v>69</v>
      </c>
      <c r="C144" s="697" t="s">
        <v>1738</v>
      </c>
      <c r="D144" s="63" t="s">
        <v>1323</v>
      </c>
      <c r="E144" s="463" t="s">
        <v>617</v>
      </c>
      <c r="F144" s="542" t="s">
        <v>618</v>
      </c>
      <c r="G144" s="95" t="s">
        <v>24</v>
      </c>
      <c r="H144" s="311" t="s">
        <v>130</v>
      </c>
      <c r="I144" s="335"/>
      <c r="J144" s="294">
        <f t="shared" si="884"/>
        <v>0</v>
      </c>
      <c r="K144" s="52">
        <f t="shared" si="885"/>
        <v>0</v>
      </c>
      <c r="L144" s="52">
        <f t="shared" si="855"/>
        <v>1.3464587414299706E-5</v>
      </c>
      <c r="M144" s="52">
        <f t="shared" si="856"/>
        <v>1.4026101518090578E-5</v>
      </c>
      <c r="N144" s="52">
        <f t="shared" si="857"/>
        <v>1.0113768545211314E-5</v>
      </c>
      <c r="O144" s="52">
        <f t="shared" si="858"/>
        <v>0</v>
      </c>
      <c r="P144" s="52">
        <f t="shared" si="859"/>
        <v>0</v>
      </c>
      <c r="Q144" s="52">
        <f t="shared" si="860"/>
        <v>0</v>
      </c>
      <c r="R144" s="52">
        <f t="shared" si="861"/>
        <v>0</v>
      </c>
      <c r="S144" s="527">
        <f t="shared" si="886"/>
        <v>0</v>
      </c>
      <c r="T144" s="533">
        <f t="shared" si="863"/>
        <v>0</v>
      </c>
      <c r="U144" s="375">
        <f t="shared" si="905"/>
        <v>0</v>
      </c>
      <c r="V144" s="375">
        <f t="shared" si="864"/>
        <v>-1.3464587414299706E-5</v>
      </c>
      <c r="W144" s="386">
        <f t="shared" si="865"/>
        <v>-2.0954263357168812E-5</v>
      </c>
      <c r="X144" s="386">
        <f t="shared" si="866"/>
        <v>-1.4026101518090578E-5</v>
      </c>
      <c r="Y144" s="386">
        <f t="shared" si="867"/>
        <v>-1.4026101518090578E-5</v>
      </c>
      <c r="Z144" s="375">
        <f t="shared" si="868"/>
        <v>-1.0113768545211314E-5</v>
      </c>
      <c r="AA144" s="375">
        <f t="shared" si="869"/>
        <v>0</v>
      </c>
      <c r="AB144" s="386">
        <f t="shared" si="870"/>
        <v>0</v>
      </c>
      <c r="AC144" s="386">
        <f t="shared" si="871"/>
        <v>0</v>
      </c>
      <c r="AD144" s="386">
        <f t="shared" si="872"/>
        <v>0</v>
      </c>
      <c r="AE144" s="386">
        <f t="shared" si="873"/>
        <v>0</v>
      </c>
      <c r="AF144" s="386">
        <f t="shared" si="874"/>
        <v>0</v>
      </c>
      <c r="AG144" s="375">
        <f t="shared" si="875"/>
        <v>0</v>
      </c>
      <c r="AH144" s="375">
        <f t="shared" si="876"/>
        <v>0</v>
      </c>
      <c r="AI144" s="386">
        <f t="shared" si="877"/>
        <v>0</v>
      </c>
      <c r="AJ144" s="386">
        <f t="shared" si="878"/>
        <v>0</v>
      </c>
      <c r="AK144" s="386">
        <f t="shared" si="879"/>
        <v>0</v>
      </c>
      <c r="AL144" s="377">
        <f t="shared" si="880"/>
        <v>0</v>
      </c>
      <c r="AM144" s="377">
        <f t="shared" si="881"/>
        <v>0</v>
      </c>
      <c r="AN144" s="377">
        <f t="shared" si="882"/>
        <v>0</v>
      </c>
      <c r="AO144" s="283"/>
      <c r="AP144" s="295">
        <f t="shared" si="888"/>
        <v>0.33969700000000003</v>
      </c>
      <c r="AQ144" s="183">
        <f t="shared" si="893"/>
        <v>0</v>
      </c>
      <c r="AR144" s="94">
        <f t="shared" si="900"/>
        <v>0</v>
      </c>
      <c r="AS144" s="94">
        <f t="shared" si="901"/>
        <v>0.439915</v>
      </c>
      <c r="AT144" s="94">
        <f t="shared" si="902"/>
        <v>0.439915</v>
      </c>
      <c r="AU144" s="94">
        <f t="shared" si="896"/>
        <v>0.33969700000000003</v>
      </c>
      <c r="AV144" s="94">
        <f t="shared" si="903"/>
        <v>0</v>
      </c>
      <c r="AW144" s="94">
        <f t="shared" si="897"/>
        <v>0</v>
      </c>
      <c r="AX144" s="94">
        <f t="shared" si="904"/>
        <v>0</v>
      </c>
      <c r="AY144" s="94">
        <f t="shared" si="898"/>
        <v>0</v>
      </c>
      <c r="AZ144" s="433">
        <f t="shared" si="899"/>
        <v>0</v>
      </c>
      <c r="BA144" s="1008">
        <v>0</v>
      </c>
      <c r="BB144" s="409">
        <v>0</v>
      </c>
      <c r="BC144" s="1025">
        <v>-0.439915</v>
      </c>
      <c r="BD144" s="1030">
        <v>-0.64180599999999999</v>
      </c>
      <c r="BE144" s="389">
        <v>-0.439915</v>
      </c>
      <c r="BF144" s="516">
        <v>-0.439915</v>
      </c>
      <c r="BG144" s="207">
        <f>-0.00242-0.131376-0.205901</f>
        <v>-0.33969700000000003</v>
      </c>
      <c r="BH144" s="207">
        <v>0</v>
      </c>
      <c r="BI144" s="389">
        <v>0</v>
      </c>
      <c r="BJ144" s="516">
        <v>0</v>
      </c>
      <c r="BK144" s="516">
        <v>0</v>
      </c>
      <c r="BL144" s="516">
        <v>0</v>
      </c>
      <c r="BM144" s="516">
        <v>0</v>
      </c>
      <c r="BN144" s="409">
        <v>0</v>
      </c>
      <c r="BO144" s="207">
        <v>0</v>
      </c>
      <c r="BP144" s="389">
        <v>0</v>
      </c>
      <c r="BQ144" s="389">
        <v>0</v>
      </c>
      <c r="BR144" s="389">
        <v>0</v>
      </c>
      <c r="BS144" s="296">
        <v>0</v>
      </c>
      <c r="BT144" s="296">
        <v>0</v>
      </c>
      <c r="BU144" s="296">
        <v>0</v>
      </c>
      <c r="BV144" s="409">
        <v>0</v>
      </c>
      <c r="BW144" s="1011">
        <f t="shared" si="883"/>
        <v>0</v>
      </c>
      <c r="BX144" s="442" t="s">
        <v>618</v>
      </c>
    </row>
    <row r="145" spans="1:78" s="1" customFormat="1" ht="87" hidden="1" customHeight="1" outlineLevel="1" x14ac:dyDescent="0.25">
      <c r="A145" s="678">
        <v>37</v>
      </c>
      <c r="B145" s="702" t="s">
        <v>69</v>
      </c>
      <c r="C145" s="697" t="s">
        <v>701</v>
      </c>
      <c r="D145" s="63">
        <v>44217</v>
      </c>
      <c r="E145" s="463" t="s">
        <v>723</v>
      </c>
      <c r="F145" s="542" t="s">
        <v>677</v>
      </c>
      <c r="G145" s="95" t="s">
        <v>24</v>
      </c>
      <c r="H145" s="311" t="s">
        <v>129</v>
      </c>
      <c r="I145" s="335"/>
      <c r="J145" s="294">
        <f t="shared" si="884"/>
        <v>0</v>
      </c>
      <c r="K145" s="52">
        <f t="shared" si="885"/>
        <v>0</v>
      </c>
      <c r="L145" s="52">
        <f t="shared" si="855"/>
        <v>0</v>
      </c>
      <c r="M145" s="52">
        <f t="shared" si="856"/>
        <v>0</v>
      </c>
      <c r="N145" s="52">
        <f t="shared" si="857"/>
        <v>0</v>
      </c>
      <c r="O145" s="52">
        <f t="shared" si="858"/>
        <v>0</v>
      </c>
      <c r="P145" s="52">
        <f t="shared" si="859"/>
        <v>0</v>
      </c>
      <c r="Q145" s="52">
        <f t="shared" si="860"/>
        <v>0</v>
      </c>
      <c r="R145" s="52">
        <f t="shared" si="861"/>
        <v>0</v>
      </c>
      <c r="S145" s="527">
        <f t="shared" si="886"/>
        <v>0</v>
      </c>
      <c r="T145" s="533">
        <f t="shared" si="863"/>
        <v>0</v>
      </c>
      <c r="U145" s="375">
        <f t="shared" si="905"/>
        <v>0</v>
      </c>
      <c r="V145" s="375">
        <f t="shared" si="864"/>
        <v>0</v>
      </c>
      <c r="W145" s="386">
        <f t="shared" si="865"/>
        <v>-4.7038867962123448E-4</v>
      </c>
      <c r="X145" s="386">
        <f t="shared" si="866"/>
        <v>0</v>
      </c>
      <c r="Y145" s="386">
        <f t="shared" si="867"/>
        <v>0</v>
      </c>
      <c r="Z145" s="375">
        <f t="shared" si="868"/>
        <v>0</v>
      </c>
      <c r="AA145" s="375">
        <f t="shared" si="869"/>
        <v>0</v>
      </c>
      <c r="AB145" s="386">
        <f t="shared" si="870"/>
        <v>0</v>
      </c>
      <c r="AC145" s="386">
        <f t="shared" si="871"/>
        <v>0</v>
      </c>
      <c r="AD145" s="386">
        <f t="shared" si="872"/>
        <v>0</v>
      </c>
      <c r="AE145" s="386">
        <f t="shared" si="873"/>
        <v>0</v>
      </c>
      <c r="AF145" s="386">
        <f t="shared" si="874"/>
        <v>0</v>
      </c>
      <c r="AG145" s="375">
        <f t="shared" si="875"/>
        <v>0</v>
      </c>
      <c r="AH145" s="375">
        <f t="shared" si="876"/>
        <v>0</v>
      </c>
      <c r="AI145" s="386">
        <f t="shared" si="877"/>
        <v>0</v>
      </c>
      <c r="AJ145" s="386">
        <f t="shared" si="878"/>
        <v>0</v>
      </c>
      <c r="AK145" s="386">
        <f t="shared" si="879"/>
        <v>0</v>
      </c>
      <c r="AL145" s="377">
        <f t="shared" si="880"/>
        <v>0</v>
      </c>
      <c r="AM145" s="377">
        <f t="shared" si="881"/>
        <v>0</v>
      </c>
      <c r="AN145" s="377">
        <f t="shared" si="882"/>
        <v>0</v>
      </c>
      <c r="AO145" s="283"/>
      <c r="AP145" s="295">
        <f t="shared" si="888"/>
        <v>0</v>
      </c>
      <c r="AQ145" s="183">
        <f t="shared" si="893"/>
        <v>0</v>
      </c>
      <c r="AR145" s="94">
        <f t="shared" si="900"/>
        <v>0</v>
      </c>
      <c r="AS145" s="94">
        <f t="shared" si="901"/>
        <v>0</v>
      </c>
      <c r="AT145" s="94">
        <f t="shared" si="902"/>
        <v>0</v>
      </c>
      <c r="AU145" s="94">
        <f t="shared" si="896"/>
        <v>0</v>
      </c>
      <c r="AV145" s="94">
        <f t="shared" si="903"/>
        <v>0</v>
      </c>
      <c r="AW145" s="94">
        <f t="shared" si="897"/>
        <v>0</v>
      </c>
      <c r="AX145" s="94">
        <f t="shared" si="904"/>
        <v>0</v>
      </c>
      <c r="AY145" s="94">
        <f t="shared" si="898"/>
        <v>0</v>
      </c>
      <c r="AZ145" s="433">
        <f t="shared" si="899"/>
        <v>0</v>
      </c>
      <c r="BA145" s="1008">
        <v>0</v>
      </c>
      <c r="BB145" s="409">
        <v>0</v>
      </c>
      <c r="BC145" s="1025">
        <v>0</v>
      </c>
      <c r="BD145" s="1030">
        <v>-14.407487</v>
      </c>
      <c r="BE145" s="389">
        <v>0</v>
      </c>
      <c r="BF145" s="516">
        <v>0</v>
      </c>
      <c r="BG145" s="207">
        <v>0</v>
      </c>
      <c r="BH145" s="207">
        <v>0</v>
      </c>
      <c r="BI145" s="389">
        <v>0</v>
      </c>
      <c r="BJ145" s="516">
        <v>0</v>
      </c>
      <c r="BK145" s="516">
        <v>0</v>
      </c>
      <c r="BL145" s="516">
        <v>0</v>
      </c>
      <c r="BM145" s="516">
        <v>0</v>
      </c>
      <c r="BN145" s="409">
        <v>0</v>
      </c>
      <c r="BO145" s="207">
        <v>0</v>
      </c>
      <c r="BP145" s="389">
        <v>0</v>
      </c>
      <c r="BQ145" s="389">
        <v>0</v>
      </c>
      <c r="BR145" s="389">
        <v>0</v>
      </c>
      <c r="BS145" s="296">
        <v>0</v>
      </c>
      <c r="BT145" s="296">
        <v>0</v>
      </c>
      <c r="BU145" s="296">
        <v>0</v>
      </c>
      <c r="BV145" s="409">
        <v>0</v>
      </c>
      <c r="BW145" s="1011">
        <f t="shared" si="883"/>
        <v>0</v>
      </c>
      <c r="BX145" s="442" t="s">
        <v>678</v>
      </c>
    </row>
    <row r="146" spans="1:78" s="1" customFormat="1" ht="114" hidden="1" customHeight="1" outlineLevel="1" x14ac:dyDescent="0.25">
      <c r="A146" s="678">
        <v>38</v>
      </c>
      <c r="B146" s="702" t="s">
        <v>69</v>
      </c>
      <c r="C146" s="697" t="s">
        <v>1736</v>
      </c>
      <c r="D146" s="63">
        <v>44217</v>
      </c>
      <c r="E146" s="463" t="s">
        <v>676</v>
      </c>
      <c r="F146" s="542" t="s">
        <v>675</v>
      </c>
      <c r="G146" s="95" t="s">
        <v>24</v>
      </c>
      <c r="H146" s="311" t="s">
        <v>130</v>
      </c>
      <c r="I146" s="335"/>
      <c r="J146" s="294">
        <f t="shared" si="884"/>
        <v>0</v>
      </c>
      <c r="K146" s="52">
        <f t="shared" si="885"/>
        <v>0</v>
      </c>
      <c r="L146" s="52">
        <f t="shared" si="855"/>
        <v>1.4176571376101862E-3</v>
      </c>
      <c r="M146" s="52">
        <f t="shared" si="856"/>
        <v>1.4767777368988437E-3</v>
      </c>
      <c r="N146" s="52">
        <f t="shared" si="857"/>
        <v>1.3790125808114959E-3</v>
      </c>
      <c r="O146" s="52">
        <f t="shared" si="858"/>
        <v>0</v>
      </c>
      <c r="P146" s="52">
        <f t="shared" si="859"/>
        <v>0</v>
      </c>
      <c r="Q146" s="52">
        <f t="shared" si="860"/>
        <v>0</v>
      </c>
      <c r="R146" s="52">
        <f t="shared" si="861"/>
        <v>0</v>
      </c>
      <c r="S146" s="527">
        <f t="shared" si="886"/>
        <v>0</v>
      </c>
      <c r="T146" s="533">
        <f t="shared" si="863"/>
        <v>0</v>
      </c>
      <c r="U146" s="375">
        <f t="shared" si="905"/>
        <v>0</v>
      </c>
      <c r="V146" s="375">
        <f t="shared" si="864"/>
        <v>-1.4176571376101862E-3</v>
      </c>
      <c r="W146" s="386">
        <f t="shared" si="865"/>
        <v>-2.2639274669051246E-3</v>
      </c>
      <c r="X146" s="386">
        <f t="shared" si="866"/>
        <v>-1.4767777368988437E-3</v>
      </c>
      <c r="Y146" s="386">
        <f t="shared" si="867"/>
        <v>-1.4767777368988437E-3</v>
      </c>
      <c r="Z146" s="375">
        <f t="shared" si="868"/>
        <v>-1.3790125808114959E-3</v>
      </c>
      <c r="AA146" s="375">
        <f t="shared" si="869"/>
        <v>0</v>
      </c>
      <c r="AB146" s="386">
        <f t="shared" si="870"/>
        <v>0</v>
      </c>
      <c r="AC146" s="386">
        <f t="shared" si="871"/>
        <v>0</v>
      </c>
      <c r="AD146" s="386">
        <f t="shared" si="872"/>
        <v>0</v>
      </c>
      <c r="AE146" s="386">
        <f t="shared" si="873"/>
        <v>0</v>
      </c>
      <c r="AF146" s="386">
        <f t="shared" si="874"/>
        <v>0</v>
      </c>
      <c r="AG146" s="375">
        <f t="shared" si="875"/>
        <v>0</v>
      </c>
      <c r="AH146" s="375">
        <f t="shared" si="876"/>
        <v>0</v>
      </c>
      <c r="AI146" s="386">
        <f t="shared" si="877"/>
        <v>0</v>
      </c>
      <c r="AJ146" s="386">
        <f t="shared" si="878"/>
        <v>0</v>
      </c>
      <c r="AK146" s="386">
        <f t="shared" si="879"/>
        <v>0</v>
      </c>
      <c r="AL146" s="377">
        <f t="shared" si="880"/>
        <v>0</v>
      </c>
      <c r="AM146" s="377">
        <f t="shared" si="881"/>
        <v>0</v>
      </c>
      <c r="AN146" s="377">
        <f t="shared" si="882"/>
        <v>0</v>
      </c>
      <c r="AO146" s="283"/>
      <c r="AP146" s="295">
        <f t="shared" si="888"/>
        <v>46.317694000000003</v>
      </c>
      <c r="AQ146" s="183">
        <f t="shared" si="893"/>
        <v>0</v>
      </c>
      <c r="AR146" s="94">
        <f t="shared" si="900"/>
        <v>0</v>
      </c>
      <c r="AS146" s="94">
        <f t="shared" si="901"/>
        <v>46.317694000000003</v>
      </c>
      <c r="AT146" s="94">
        <f t="shared" si="902"/>
        <v>46.317694000000003</v>
      </c>
      <c r="AU146" s="94">
        <f t="shared" si="896"/>
        <v>46.317694000000003</v>
      </c>
      <c r="AV146" s="94">
        <f t="shared" si="903"/>
        <v>0</v>
      </c>
      <c r="AW146" s="94">
        <f t="shared" si="897"/>
        <v>0</v>
      </c>
      <c r="AX146" s="94">
        <f t="shared" si="904"/>
        <v>0</v>
      </c>
      <c r="AY146" s="94">
        <f t="shared" si="898"/>
        <v>0</v>
      </c>
      <c r="AZ146" s="433">
        <f t="shared" si="899"/>
        <v>0</v>
      </c>
      <c r="BA146" s="1008">
        <v>0</v>
      </c>
      <c r="BB146" s="409">
        <v>0</v>
      </c>
      <c r="BC146" s="1025">
        <f>-69.341604+23.02391</f>
        <v>-46.317694000000003</v>
      </c>
      <c r="BD146" s="1030">
        <v>-69.341604000000004</v>
      </c>
      <c r="BE146" s="389">
        <v>-46.317694000000003</v>
      </c>
      <c r="BF146" s="516">
        <v>-46.317694000000003</v>
      </c>
      <c r="BG146" s="207">
        <v>-46.317694000000003</v>
      </c>
      <c r="BH146" s="207">
        <v>0</v>
      </c>
      <c r="BI146" s="389">
        <v>0</v>
      </c>
      <c r="BJ146" s="516">
        <v>0</v>
      </c>
      <c r="BK146" s="516">
        <v>0</v>
      </c>
      <c r="BL146" s="516">
        <v>0</v>
      </c>
      <c r="BM146" s="516">
        <v>0</v>
      </c>
      <c r="BN146" s="409">
        <v>0</v>
      </c>
      <c r="BO146" s="207">
        <v>0</v>
      </c>
      <c r="BP146" s="389">
        <v>0</v>
      </c>
      <c r="BQ146" s="389">
        <v>0</v>
      </c>
      <c r="BR146" s="389">
        <v>0</v>
      </c>
      <c r="BS146" s="296">
        <v>0</v>
      </c>
      <c r="BT146" s="296">
        <v>0</v>
      </c>
      <c r="BU146" s="296">
        <v>0</v>
      </c>
      <c r="BV146" s="409">
        <v>0</v>
      </c>
      <c r="BW146" s="1011">
        <f t="shared" ref="BW146:BW166" si="906">-BV146</f>
        <v>0</v>
      </c>
      <c r="BX146" s="442" t="s">
        <v>1357</v>
      </c>
    </row>
    <row r="147" spans="1:78" s="1" customFormat="1" ht="165" hidden="1" customHeight="1" outlineLevel="1" x14ac:dyDescent="0.25">
      <c r="A147" s="678">
        <v>39</v>
      </c>
      <c r="B147" s="702" t="s">
        <v>69</v>
      </c>
      <c r="C147" s="697" t="s">
        <v>1738</v>
      </c>
      <c r="D147" s="63">
        <v>44224</v>
      </c>
      <c r="E147" s="463" t="s">
        <v>684</v>
      </c>
      <c r="F147" s="542" t="s">
        <v>683</v>
      </c>
      <c r="G147" s="95" t="s">
        <v>24</v>
      </c>
      <c r="H147" s="311" t="s">
        <v>130</v>
      </c>
      <c r="I147" s="335"/>
      <c r="J147" s="294">
        <f t="shared" si="884"/>
        <v>0</v>
      </c>
      <c r="K147" s="52">
        <f t="shared" si="885"/>
        <v>0</v>
      </c>
      <c r="L147" s="52">
        <f t="shared" si="855"/>
        <v>2.1449467433888346E-5</v>
      </c>
      <c r="M147" s="52">
        <f t="shared" si="856"/>
        <v>2.2343975235155252E-5</v>
      </c>
      <c r="N147" s="52">
        <f t="shared" si="857"/>
        <v>1.3213009487822864E-5</v>
      </c>
      <c r="O147" s="52">
        <f t="shared" si="858"/>
        <v>0</v>
      </c>
      <c r="P147" s="52">
        <f t="shared" si="859"/>
        <v>0</v>
      </c>
      <c r="Q147" s="52">
        <f t="shared" si="860"/>
        <v>0</v>
      </c>
      <c r="R147" s="52">
        <f t="shared" si="861"/>
        <v>0</v>
      </c>
      <c r="S147" s="527">
        <f t="shared" si="886"/>
        <v>0</v>
      </c>
      <c r="T147" s="533">
        <f t="shared" si="863"/>
        <v>0</v>
      </c>
      <c r="U147" s="375">
        <f t="shared" si="905"/>
        <v>0</v>
      </c>
      <c r="V147" s="375">
        <f t="shared" si="864"/>
        <v>-2.1449467433888346E-5</v>
      </c>
      <c r="W147" s="386">
        <f t="shared" si="865"/>
        <v>-1.1959294035473238E-5</v>
      </c>
      <c r="X147" s="386">
        <f t="shared" si="866"/>
        <v>-1.1678985681498877E-5</v>
      </c>
      <c r="Y147" s="386">
        <f t="shared" si="867"/>
        <v>-1.1678985681498877E-5</v>
      </c>
      <c r="Z147" s="375">
        <f t="shared" si="868"/>
        <v>-1.3213009487822864E-5</v>
      </c>
      <c r="AA147" s="375">
        <f t="shared" si="869"/>
        <v>0</v>
      </c>
      <c r="AB147" s="386">
        <f t="shared" si="870"/>
        <v>0</v>
      </c>
      <c r="AC147" s="386">
        <f t="shared" si="871"/>
        <v>0</v>
      </c>
      <c r="AD147" s="386">
        <f t="shared" si="872"/>
        <v>0</v>
      </c>
      <c r="AE147" s="386">
        <f t="shared" si="873"/>
        <v>0</v>
      </c>
      <c r="AF147" s="386">
        <f t="shared" si="874"/>
        <v>0</v>
      </c>
      <c r="AG147" s="375">
        <f t="shared" si="875"/>
        <v>0</v>
      </c>
      <c r="AH147" s="375">
        <f t="shared" si="876"/>
        <v>0</v>
      </c>
      <c r="AI147" s="386">
        <f t="shared" si="877"/>
        <v>0</v>
      </c>
      <c r="AJ147" s="386">
        <f t="shared" si="878"/>
        <v>0</v>
      </c>
      <c r="AK147" s="386">
        <f t="shared" si="879"/>
        <v>0</v>
      </c>
      <c r="AL147" s="377">
        <f t="shared" si="880"/>
        <v>0</v>
      </c>
      <c r="AM147" s="377">
        <f t="shared" si="881"/>
        <v>0</v>
      </c>
      <c r="AN147" s="377">
        <f t="shared" si="882"/>
        <v>0</v>
      </c>
      <c r="AO147" s="283"/>
      <c r="AP147" s="295">
        <f t="shared" si="888"/>
        <v>0.44379299999999999</v>
      </c>
      <c r="AQ147" s="183">
        <f t="shared" si="893"/>
        <v>0</v>
      </c>
      <c r="AR147" s="94">
        <f t="shared" si="900"/>
        <v>0</v>
      </c>
      <c r="AS147" s="94">
        <f t="shared" si="901"/>
        <v>0.700797</v>
      </c>
      <c r="AT147" s="94">
        <f t="shared" si="902"/>
        <v>0.700797</v>
      </c>
      <c r="AU147" s="94">
        <f t="shared" si="896"/>
        <v>0.44379299999999999</v>
      </c>
      <c r="AV147" s="94">
        <f t="shared" si="903"/>
        <v>0</v>
      </c>
      <c r="AW147" s="94">
        <f t="shared" si="897"/>
        <v>0</v>
      </c>
      <c r="AX147" s="94">
        <f t="shared" si="904"/>
        <v>0</v>
      </c>
      <c r="AY147" s="94">
        <f t="shared" si="898"/>
        <v>0</v>
      </c>
      <c r="AZ147" s="433">
        <f t="shared" si="899"/>
        <v>0</v>
      </c>
      <c r="BA147" s="1008">
        <v>0</v>
      </c>
      <c r="BB147" s="409">
        <v>0</v>
      </c>
      <c r="BC147" s="1025">
        <f>-0.700797</f>
        <v>-0.700797</v>
      </c>
      <c r="BD147" s="1030">
        <v>-0.36630000000000001</v>
      </c>
      <c r="BE147" s="389">
        <v>-0.36630000000000001</v>
      </c>
      <c r="BF147" s="516">
        <v>-0.36630000000000001</v>
      </c>
      <c r="BG147" s="207">
        <f>-0.443793</f>
        <v>-0.44379299999999999</v>
      </c>
      <c r="BH147" s="207">
        <v>0</v>
      </c>
      <c r="BI147" s="389">
        <v>0</v>
      </c>
      <c r="BJ147" s="516">
        <v>0</v>
      </c>
      <c r="BK147" s="516">
        <v>0</v>
      </c>
      <c r="BL147" s="516">
        <v>0</v>
      </c>
      <c r="BM147" s="516">
        <v>0</v>
      </c>
      <c r="BN147" s="409">
        <v>0</v>
      </c>
      <c r="BO147" s="207">
        <v>0</v>
      </c>
      <c r="BP147" s="389">
        <v>0</v>
      </c>
      <c r="BQ147" s="389">
        <v>0</v>
      </c>
      <c r="BR147" s="389">
        <v>0</v>
      </c>
      <c r="BS147" s="296">
        <v>0</v>
      </c>
      <c r="BT147" s="296">
        <v>0</v>
      </c>
      <c r="BU147" s="296">
        <v>0</v>
      </c>
      <c r="BV147" s="409">
        <v>0</v>
      </c>
      <c r="BW147" s="1011">
        <f t="shared" si="906"/>
        <v>0</v>
      </c>
      <c r="BX147" s="442" t="s">
        <v>1818</v>
      </c>
    </row>
    <row r="148" spans="1:78" s="1" customFormat="1" ht="29.1" hidden="1" customHeight="1" outlineLevel="1" x14ac:dyDescent="0.25">
      <c r="A148" s="678">
        <v>40</v>
      </c>
      <c r="B148" s="702" t="s">
        <v>69</v>
      </c>
      <c r="C148" s="697" t="s">
        <v>701</v>
      </c>
      <c r="D148" s="63">
        <v>44224</v>
      </c>
      <c r="E148" s="463" t="s">
        <v>724</v>
      </c>
      <c r="F148" s="542" t="s">
        <v>701</v>
      </c>
      <c r="G148" s="95" t="s">
        <v>24</v>
      </c>
      <c r="H148" s="311" t="s">
        <v>129</v>
      </c>
      <c r="I148" s="335"/>
      <c r="J148" s="294">
        <f t="shared" si="884"/>
        <v>0</v>
      </c>
      <c r="K148" s="52">
        <f t="shared" si="885"/>
        <v>0</v>
      </c>
      <c r="L148" s="52">
        <f t="shared" si="855"/>
        <v>0</v>
      </c>
      <c r="M148" s="52">
        <f t="shared" si="856"/>
        <v>0</v>
      </c>
      <c r="N148" s="52">
        <f t="shared" si="857"/>
        <v>0</v>
      </c>
      <c r="O148" s="52">
        <f t="shared" si="858"/>
        <v>0</v>
      </c>
      <c r="P148" s="52">
        <f t="shared" si="859"/>
        <v>0</v>
      </c>
      <c r="Q148" s="52">
        <f t="shared" si="860"/>
        <v>0</v>
      </c>
      <c r="R148" s="52">
        <f t="shared" si="861"/>
        <v>0</v>
      </c>
      <c r="S148" s="527">
        <f t="shared" si="886"/>
        <v>0</v>
      </c>
      <c r="T148" s="533">
        <f t="shared" si="863"/>
        <v>0</v>
      </c>
      <c r="U148" s="375">
        <f t="shared" si="905"/>
        <v>0</v>
      </c>
      <c r="V148" s="375">
        <f t="shared" si="864"/>
        <v>0</v>
      </c>
      <c r="W148" s="386">
        <f t="shared" si="865"/>
        <v>-4.6782583849673938E-4</v>
      </c>
      <c r="X148" s="386">
        <f t="shared" si="866"/>
        <v>0</v>
      </c>
      <c r="Y148" s="386">
        <f t="shared" si="867"/>
        <v>0</v>
      </c>
      <c r="Z148" s="375">
        <f t="shared" si="868"/>
        <v>0</v>
      </c>
      <c r="AA148" s="375">
        <f t="shared" si="869"/>
        <v>0</v>
      </c>
      <c r="AB148" s="386">
        <f t="shared" si="870"/>
        <v>0</v>
      </c>
      <c r="AC148" s="386">
        <f t="shared" si="871"/>
        <v>0</v>
      </c>
      <c r="AD148" s="386">
        <f t="shared" si="872"/>
        <v>0</v>
      </c>
      <c r="AE148" s="386">
        <f t="shared" si="873"/>
        <v>0</v>
      </c>
      <c r="AF148" s="386">
        <f t="shared" si="874"/>
        <v>0</v>
      </c>
      <c r="AG148" s="375">
        <f t="shared" si="875"/>
        <v>0</v>
      </c>
      <c r="AH148" s="375">
        <f t="shared" si="876"/>
        <v>0</v>
      </c>
      <c r="AI148" s="386">
        <f t="shared" si="877"/>
        <v>0</v>
      </c>
      <c r="AJ148" s="386">
        <f t="shared" si="878"/>
        <v>0</v>
      </c>
      <c r="AK148" s="386">
        <f t="shared" si="879"/>
        <v>0</v>
      </c>
      <c r="AL148" s="377">
        <f t="shared" si="880"/>
        <v>0</v>
      </c>
      <c r="AM148" s="377">
        <f t="shared" si="881"/>
        <v>0</v>
      </c>
      <c r="AN148" s="377">
        <f t="shared" si="882"/>
        <v>0</v>
      </c>
      <c r="AO148" s="283"/>
      <c r="AP148" s="295">
        <f t="shared" si="888"/>
        <v>0</v>
      </c>
      <c r="AQ148" s="183">
        <f t="shared" si="893"/>
        <v>0</v>
      </c>
      <c r="AR148" s="94">
        <f t="shared" si="900"/>
        <v>0</v>
      </c>
      <c r="AS148" s="94">
        <f t="shared" si="901"/>
        <v>0</v>
      </c>
      <c r="AT148" s="94">
        <f t="shared" si="902"/>
        <v>0</v>
      </c>
      <c r="AU148" s="94">
        <f t="shared" si="896"/>
        <v>0</v>
      </c>
      <c r="AV148" s="94">
        <f t="shared" si="903"/>
        <v>0</v>
      </c>
      <c r="AW148" s="94">
        <f t="shared" si="897"/>
        <v>0</v>
      </c>
      <c r="AX148" s="94">
        <f t="shared" si="904"/>
        <v>0</v>
      </c>
      <c r="AY148" s="94">
        <f t="shared" si="898"/>
        <v>0</v>
      </c>
      <c r="AZ148" s="433">
        <f t="shared" si="899"/>
        <v>0</v>
      </c>
      <c r="BA148" s="1008">
        <v>0</v>
      </c>
      <c r="BB148" s="409">
        <v>0</v>
      </c>
      <c r="BC148" s="1025">
        <v>0</v>
      </c>
      <c r="BD148" s="1030">
        <v>-14.328989999999999</v>
      </c>
      <c r="BE148" s="389">
        <v>0</v>
      </c>
      <c r="BF148" s="516">
        <v>0</v>
      </c>
      <c r="BG148" s="207">
        <v>0</v>
      </c>
      <c r="BH148" s="207">
        <v>0</v>
      </c>
      <c r="BI148" s="389">
        <v>0</v>
      </c>
      <c r="BJ148" s="516">
        <v>0</v>
      </c>
      <c r="BK148" s="516">
        <v>0</v>
      </c>
      <c r="BL148" s="516">
        <v>0</v>
      </c>
      <c r="BM148" s="516">
        <v>0</v>
      </c>
      <c r="BN148" s="409">
        <v>0</v>
      </c>
      <c r="BO148" s="207">
        <v>0</v>
      </c>
      <c r="BP148" s="389">
        <v>0</v>
      </c>
      <c r="BQ148" s="389">
        <v>0</v>
      </c>
      <c r="BR148" s="389">
        <v>0</v>
      </c>
      <c r="BS148" s="296">
        <v>0</v>
      </c>
      <c r="BT148" s="296">
        <v>0</v>
      </c>
      <c r="BU148" s="296">
        <v>0</v>
      </c>
      <c r="BV148" s="409">
        <v>0</v>
      </c>
      <c r="BW148" s="1011">
        <f t="shared" si="906"/>
        <v>0</v>
      </c>
      <c r="BX148" s="442" t="s">
        <v>699</v>
      </c>
    </row>
    <row r="149" spans="1:78" s="1" customFormat="1" ht="29.1" hidden="1" customHeight="1" outlineLevel="1" x14ac:dyDescent="0.25">
      <c r="A149" s="678">
        <v>41</v>
      </c>
      <c r="B149" s="702" t="s">
        <v>69</v>
      </c>
      <c r="C149" s="697" t="s">
        <v>701</v>
      </c>
      <c r="D149" s="63">
        <v>44224</v>
      </c>
      <c r="E149" s="463" t="s">
        <v>725</v>
      </c>
      <c r="F149" s="542" t="s">
        <v>701</v>
      </c>
      <c r="G149" s="95" t="s">
        <v>24</v>
      </c>
      <c r="H149" s="311" t="s">
        <v>129</v>
      </c>
      <c r="I149" s="335"/>
      <c r="J149" s="294">
        <f t="shared" si="884"/>
        <v>0</v>
      </c>
      <c r="K149" s="52">
        <f t="shared" si="885"/>
        <v>0</v>
      </c>
      <c r="L149" s="52">
        <f t="shared" si="855"/>
        <v>0</v>
      </c>
      <c r="M149" s="52">
        <f t="shared" si="856"/>
        <v>0</v>
      </c>
      <c r="N149" s="52">
        <f t="shared" si="857"/>
        <v>0</v>
      </c>
      <c r="O149" s="52">
        <f t="shared" si="858"/>
        <v>0</v>
      </c>
      <c r="P149" s="52">
        <f t="shared" si="859"/>
        <v>0</v>
      </c>
      <c r="Q149" s="52">
        <f t="shared" si="860"/>
        <v>0</v>
      </c>
      <c r="R149" s="52">
        <f t="shared" si="861"/>
        <v>0</v>
      </c>
      <c r="S149" s="527">
        <f t="shared" si="886"/>
        <v>0</v>
      </c>
      <c r="T149" s="533">
        <f t="shared" si="863"/>
        <v>0</v>
      </c>
      <c r="U149" s="375">
        <f t="shared" si="905"/>
        <v>0</v>
      </c>
      <c r="V149" s="375">
        <f t="shared" si="864"/>
        <v>0</v>
      </c>
      <c r="W149" s="386">
        <f t="shared" si="865"/>
        <v>-4.639631138540125E-4</v>
      </c>
      <c r="X149" s="386">
        <f t="shared" si="866"/>
        <v>0</v>
      </c>
      <c r="Y149" s="386">
        <f t="shared" si="867"/>
        <v>0</v>
      </c>
      <c r="Z149" s="375">
        <f t="shared" si="868"/>
        <v>0</v>
      </c>
      <c r="AA149" s="375">
        <f t="shared" si="869"/>
        <v>0</v>
      </c>
      <c r="AB149" s="386">
        <f t="shared" si="870"/>
        <v>0</v>
      </c>
      <c r="AC149" s="386">
        <f t="shared" si="871"/>
        <v>0</v>
      </c>
      <c r="AD149" s="386">
        <f t="shared" si="872"/>
        <v>0</v>
      </c>
      <c r="AE149" s="386">
        <f t="shared" si="873"/>
        <v>0</v>
      </c>
      <c r="AF149" s="386">
        <f t="shared" si="874"/>
        <v>0</v>
      </c>
      <c r="AG149" s="375">
        <f t="shared" si="875"/>
        <v>0</v>
      </c>
      <c r="AH149" s="375">
        <f t="shared" si="876"/>
        <v>0</v>
      </c>
      <c r="AI149" s="386">
        <f t="shared" si="877"/>
        <v>0</v>
      </c>
      <c r="AJ149" s="386">
        <f t="shared" si="878"/>
        <v>0</v>
      </c>
      <c r="AK149" s="386">
        <f t="shared" si="879"/>
        <v>0</v>
      </c>
      <c r="AL149" s="377">
        <f t="shared" si="880"/>
        <v>0</v>
      </c>
      <c r="AM149" s="377">
        <f t="shared" si="881"/>
        <v>0</v>
      </c>
      <c r="AN149" s="377">
        <f t="shared" si="882"/>
        <v>0</v>
      </c>
      <c r="AO149" s="283"/>
      <c r="AP149" s="295">
        <f t="shared" si="888"/>
        <v>0</v>
      </c>
      <c r="AQ149" s="183">
        <f t="shared" si="893"/>
        <v>0</v>
      </c>
      <c r="AR149" s="94">
        <f t="shared" si="900"/>
        <v>0</v>
      </c>
      <c r="AS149" s="94">
        <f t="shared" si="901"/>
        <v>0</v>
      </c>
      <c r="AT149" s="94">
        <f t="shared" si="902"/>
        <v>0</v>
      </c>
      <c r="AU149" s="94">
        <f t="shared" si="896"/>
        <v>0</v>
      </c>
      <c r="AV149" s="94">
        <f t="shared" si="903"/>
        <v>0</v>
      </c>
      <c r="AW149" s="94">
        <f t="shared" si="897"/>
        <v>0</v>
      </c>
      <c r="AX149" s="94">
        <f t="shared" si="904"/>
        <v>0</v>
      </c>
      <c r="AY149" s="94">
        <f t="shared" si="898"/>
        <v>0</v>
      </c>
      <c r="AZ149" s="433">
        <f t="shared" si="899"/>
        <v>0</v>
      </c>
      <c r="BA149" s="1008">
        <v>0</v>
      </c>
      <c r="BB149" s="409">
        <v>0</v>
      </c>
      <c r="BC149" s="1025">
        <v>0</v>
      </c>
      <c r="BD149" s="1030">
        <v>-14.210679000000001</v>
      </c>
      <c r="BE149" s="389">
        <v>0</v>
      </c>
      <c r="BF149" s="516">
        <v>0</v>
      </c>
      <c r="BG149" s="207">
        <v>0</v>
      </c>
      <c r="BH149" s="207">
        <v>0</v>
      </c>
      <c r="BI149" s="389">
        <v>0</v>
      </c>
      <c r="BJ149" s="516">
        <v>0</v>
      </c>
      <c r="BK149" s="516">
        <v>0</v>
      </c>
      <c r="BL149" s="516">
        <v>0</v>
      </c>
      <c r="BM149" s="516">
        <v>0</v>
      </c>
      <c r="BN149" s="409">
        <v>0</v>
      </c>
      <c r="BO149" s="207">
        <v>0</v>
      </c>
      <c r="BP149" s="389">
        <v>0</v>
      </c>
      <c r="BQ149" s="389">
        <v>0</v>
      </c>
      <c r="BR149" s="389">
        <v>0</v>
      </c>
      <c r="BS149" s="296">
        <v>0</v>
      </c>
      <c r="BT149" s="296">
        <v>0</v>
      </c>
      <c r="BU149" s="296">
        <v>0</v>
      </c>
      <c r="BV149" s="409">
        <v>0</v>
      </c>
      <c r="BW149" s="1011">
        <f t="shared" si="906"/>
        <v>0</v>
      </c>
      <c r="BX149" s="442" t="s">
        <v>700</v>
      </c>
    </row>
    <row r="150" spans="1:78" s="1" customFormat="1" ht="57.95" hidden="1" customHeight="1" outlineLevel="1" x14ac:dyDescent="0.25">
      <c r="A150" s="678">
        <v>42</v>
      </c>
      <c r="B150" s="702" t="s">
        <v>69</v>
      </c>
      <c r="C150" s="697" t="s">
        <v>1738</v>
      </c>
      <c r="D150" s="63">
        <v>44235</v>
      </c>
      <c r="E150" s="463" t="s">
        <v>726</v>
      </c>
      <c r="F150" s="542" t="s">
        <v>691</v>
      </c>
      <c r="G150" s="95" t="s">
        <v>24</v>
      </c>
      <c r="H150" s="311" t="s">
        <v>129</v>
      </c>
      <c r="I150" s="335"/>
      <c r="J150" s="294">
        <f t="shared" si="884"/>
        <v>0</v>
      </c>
      <c r="K150" s="52">
        <f t="shared" si="885"/>
        <v>0</v>
      </c>
      <c r="L150" s="52">
        <f t="shared" si="855"/>
        <v>4.4390609696376096E-5</v>
      </c>
      <c r="M150" s="52">
        <f t="shared" si="856"/>
        <v>4.6241832660246423E-5</v>
      </c>
      <c r="N150" s="52">
        <f t="shared" si="857"/>
        <v>4.3133117751654566E-5</v>
      </c>
      <c r="O150" s="52">
        <f t="shared" si="858"/>
        <v>0</v>
      </c>
      <c r="P150" s="52">
        <f t="shared" si="859"/>
        <v>0</v>
      </c>
      <c r="Q150" s="52">
        <f t="shared" si="860"/>
        <v>0</v>
      </c>
      <c r="R150" s="52">
        <f t="shared" si="861"/>
        <v>0</v>
      </c>
      <c r="S150" s="527">
        <f t="shared" si="886"/>
        <v>0</v>
      </c>
      <c r="T150" s="533">
        <f t="shared" si="863"/>
        <v>0</v>
      </c>
      <c r="U150" s="375">
        <f t="shared" si="905"/>
        <v>0</v>
      </c>
      <c r="V150" s="375">
        <f t="shared" si="864"/>
        <v>-4.4390609696376096E-5</v>
      </c>
      <c r="W150" s="386">
        <f t="shared" si="865"/>
        <v>-4.7351686919104281E-5</v>
      </c>
      <c r="X150" s="386">
        <f t="shared" si="866"/>
        <v>-4.6241832660246423E-5</v>
      </c>
      <c r="Y150" s="386">
        <f t="shared" si="867"/>
        <v>-4.6241832660246423E-5</v>
      </c>
      <c r="Z150" s="375">
        <f t="shared" si="868"/>
        <v>-4.3133117751654566E-5</v>
      </c>
      <c r="AA150" s="375">
        <f t="shared" si="869"/>
        <v>0</v>
      </c>
      <c r="AB150" s="386">
        <f t="shared" si="870"/>
        <v>0</v>
      </c>
      <c r="AC150" s="386">
        <f t="shared" si="871"/>
        <v>0</v>
      </c>
      <c r="AD150" s="386">
        <f t="shared" si="872"/>
        <v>0</v>
      </c>
      <c r="AE150" s="386">
        <f t="shared" si="873"/>
        <v>0</v>
      </c>
      <c r="AF150" s="386">
        <f t="shared" si="874"/>
        <v>0</v>
      </c>
      <c r="AG150" s="375">
        <f t="shared" si="875"/>
        <v>0</v>
      </c>
      <c r="AH150" s="375">
        <f t="shared" si="876"/>
        <v>0</v>
      </c>
      <c r="AI150" s="386">
        <f t="shared" si="877"/>
        <v>0</v>
      </c>
      <c r="AJ150" s="386">
        <f t="shared" si="878"/>
        <v>0</v>
      </c>
      <c r="AK150" s="386">
        <f t="shared" si="879"/>
        <v>0</v>
      </c>
      <c r="AL150" s="377">
        <f t="shared" si="880"/>
        <v>0</v>
      </c>
      <c r="AM150" s="377">
        <f t="shared" si="881"/>
        <v>0</v>
      </c>
      <c r="AN150" s="377">
        <f t="shared" si="882"/>
        <v>0</v>
      </c>
      <c r="AO150" s="283"/>
      <c r="AP150" s="295">
        <f t="shared" si="888"/>
        <v>1.4487369999999999</v>
      </c>
      <c r="AQ150" s="183">
        <f t="shared" si="893"/>
        <v>0</v>
      </c>
      <c r="AR150" s="94">
        <f t="shared" si="900"/>
        <v>0</v>
      </c>
      <c r="AS150" s="94">
        <f t="shared" si="901"/>
        <v>1.4503299999999999</v>
      </c>
      <c r="AT150" s="94">
        <f t="shared" si="902"/>
        <v>1.4503299999999999</v>
      </c>
      <c r="AU150" s="94">
        <f t="shared" si="896"/>
        <v>1.4487369999999999</v>
      </c>
      <c r="AV150" s="94">
        <f t="shared" si="903"/>
        <v>0</v>
      </c>
      <c r="AW150" s="94">
        <f t="shared" si="897"/>
        <v>0</v>
      </c>
      <c r="AX150" s="94">
        <f t="shared" si="904"/>
        <v>0</v>
      </c>
      <c r="AY150" s="94">
        <f t="shared" si="898"/>
        <v>0</v>
      </c>
      <c r="AZ150" s="433">
        <f t="shared" si="899"/>
        <v>0</v>
      </c>
      <c r="BA150" s="1008">
        <v>0</v>
      </c>
      <c r="BB150" s="409">
        <v>0</v>
      </c>
      <c r="BC150" s="1025">
        <v>-1.4503299999999999</v>
      </c>
      <c r="BD150" s="1030">
        <v>-1.4503299999999999</v>
      </c>
      <c r="BE150" s="389">
        <v>-1.4503299999999999</v>
      </c>
      <c r="BF150" s="516">
        <v>-1.4503299999999999</v>
      </c>
      <c r="BG150" s="207">
        <f>-1.448737</f>
        <v>-1.4487369999999999</v>
      </c>
      <c r="BH150" s="207">
        <v>0</v>
      </c>
      <c r="BI150" s="389">
        <v>0</v>
      </c>
      <c r="BJ150" s="516">
        <v>0</v>
      </c>
      <c r="BK150" s="516">
        <v>0</v>
      </c>
      <c r="BL150" s="516">
        <v>0</v>
      </c>
      <c r="BM150" s="516">
        <v>0</v>
      </c>
      <c r="BN150" s="409">
        <v>0</v>
      </c>
      <c r="BO150" s="207">
        <v>0</v>
      </c>
      <c r="BP150" s="389">
        <v>0</v>
      </c>
      <c r="BQ150" s="389">
        <v>0</v>
      </c>
      <c r="BR150" s="389">
        <v>0</v>
      </c>
      <c r="BS150" s="296">
        <v>0</v>
      </c>
      <c r="BT150" s="296">
        <v>0</v>
      </c>
      <c r="BU150" s="296">
        <v>0</v>
      </c>
      <c r="BV150" s="409">
        <v>0</v>
      </c>
      <c r="BW150" s="1011">
        <f t="shared" si="906"/>
        <v>0</v>
      </c>
      <c r="BX150" s="442" t="s">
        <v>692</v>
      </c>
    </row>
    <row r="151" spans="1:78" s="1" customFormat="1" ht="29.1" hidden="1" customHeight="1" outlineLevel="1" x14ac:dyDescent="0.25">
      <c r="A151" s="678">
        <v>43</v>
      </c>
      <c r="B151" s="702" t="s">
        <v>69</v>
      </c>
      <c r="C151" s="697" t="s">
        <v>701</v>
      </c>
      <c r="D151" s="63">
        <v>44232</v>
      </c>
      <c r="E151" s="463" t="s">
        <v>727</v>
      </c>
      <c r="F151" s="542" t="s">
        <v>701</v>
      </c>
      <c r="G151" s="95" t="s">
        <v>24</v>
      </c>
      <c r="H151" s="311" t="s">
        <v>129</v>
      </c>
      <c r="I151" s="335"/>
      <c r="J151" s="294">
        <f t="shared" si="884"/>
        <v>0</v>
      </c>
      <c r="K151" s="52">
        <f t="shared" si="885"/>
        <v>0</v>
      </c>
      <c r="L151" s="52">
        <f t="shared" si="855"/>
        <v>0</v>
      </c>
      <c r="M151" s="52">
        <f t="shared" si="856"/>
        <v>0</v>
      </c>
      <c r="N151" s="52">
        <f t="shared" si="857"/>
        <v>0</v>
      </c>
      <c r="O151" s="52">
        <f t="shared" si="858"/>
        <v>0</v>
      </c>
      <c r="P151" s="52">
        <f t="shared" si="859"/>
        <v>0</v>
      </c>
      <c r="Q151" s="52">
        <f t="shared" si="860"/>
        <v>0</v>
      </c>
      <c r="R151" s="52">
        <f t="shared" si="861"/>
        <v>0</v>
      </c>
      <c r="S151" s="527">
        <f t="shared" si="886"/>
        <v>0</v>
      </c>
      <c r="T151" s="533">
        <f t="shared" si="863"/>
        <v>0</v>
      </c>
      <c r="U151" s="375">
        <f t="shared" si="905"/>
        <v>0</v>
      </c>
      <c r="V151" s="375">
        <f t="shared" si="864"/>
        <v>0</v>
      </c>
      <c r="W151" s="386">
        <f t="shared" si="865"/>
        <v>-1.3573243698870906E-4</v>
      </c>
      <c r="X151" s="386">
        <f t="shared" si="866"/>
        <v>0</v>
      </c>
      <c r="Y151" s="386">
        <f t="shared" si="867"/>
        <v>0</v>
      </c>
      <c r="Z151" s="375">
        <f t="shared" si="868"/>
        <v>0</v>
      </c>
      <c r="AA151" s="375">
        <f t="shared" si="869"/>
        <v>0</v>
      </c>
      <c r="AB151" s="386">
        <f t="shared" si="870"/>
        <v>0</v>
      </c>
      <c r="AC151" s="386">
        <f t="shared" si="871"/>
        <v>0</v>
      </c>
      <c r="AD151" s="386">
        <f t="shared" si="872"/>
        <v>0</v>
      </c>
      <c r="AE151" s="386">
        <f t="shared" si="873"/>
        <v>0</v>
      </c>
      <c r="AF151" s="386">
        <f t="shared" si="874"/>
        <v>0</v>
      </c>
      <c r="AG151" s="375">
        <f t="shared" si="875"/>
        <v>0</v>
      </c>
      <c r="AH151" s="375">
        <f t="shared" si="876"/>
        <v>0</v>
      </c>
      <c r="AI151" s="386">
        <f t="shared" si="877"/>
        <v>0</v>
      </c>
      <c r="AJ151" s="386">
        <f t="shared" si="878"/>
        <v>0</v>
      </c>
      <c r="AK151" s="386">
        <f t="shared" si="879"/>
        <v>0</v>
      </c>
      <c r="AL151" s="377">
        <f t="shared" si="880"/>
        <v>0</v>
      </c>
      <c r="AM151" s="377">
        <f t="shared" si="881"/>
        <v>0</v>
      </c>
      <c r="AN151" s="377">
        <f t="shared" si="882"/>
        <v>0</v>
      </c>
      <c r="AO151" s="283"/>
      <c r="AP151" s="295">
        <f t="shared" si="888"/>
        <v>0</v>
      </c>
      <c r="AQ151" s="183">
        <f t="shared" si="893"/>
        <v>0</v>
      </c>
      <c r="AR151" s="94">
        <f t="shared" si="900"/>
        <v>0</v>
      </c>
      <c r="AS151" s="94">
        <f t="shared" si="901"/>
        <v>0</v>
      </c>
      <c r="AT151" s="94">
        <f t="shared" si="902"/>
        <v>0</v>
      </c>
      <c r="AU151" s="94">
        <f t="shared" si="896"/>
        <v>0</v>
      </c>
      <c r="AV151" s="94">
        <f t="shared" si="903"/>
        <v>0</v>
      </c>
      <c r="AW151" s="94">
        <f t="shared" si="897"/>
        <v>0</v>
      </c>
      <c r="AX151" s="94">
        <f t="shared" si="904"/>
        <v>0</v>
      </c>
      <c r="AY151" s="94">
        <f t="shared" si="898"/>
        <v>0</v>
      </c>
      <c r="AZ151" s="433">
        <f t="shared" si="899"/>
        <v>0</v>
      </c>
      <c r="BA151" s="1008">
        <v>0</v>
      </c>
      <c r="BB151" s="409">
        <v>0</v>
      </c>
      <c r="BC151" s="1025">
        <v>0</v>
      </c>
      <c r="BD151" s="1030">
        <v>-4.1573349999999998</v>
      </c>
      <c r="BE151" s="389">
        <v>0</v>
      </c>
      <c r="BF151" s="516">
        <v>0</v>
      </c>
      <c r="BG151" s="207">
        <v>0</v>
      </c>
      <c r="BH151" s="207">
        <v>0</v>
      </c>
      <c r="BI151" s="389">
        <v>0</v>
      </c>
      <c r="BJ151" s="516">
        <v>0</v>
      </c>
      <c r="BK151" s="516">
        <v>0</v>
      </c>
      <c r="BL151" s="516">
        <v>0</v>
      </c>
      <c r="BM151" s="516">
        <v>0</v>
      </c>
      <c r="BN151" s="409">
        <v>0</v>
      </c>
      <c r="BO151" s="207">
        <v>0</v>
      </c>
      <c r="BP151" s="389">
        <v>0</v>
      </c>
      <c r="BQ151" s="389">
        <v>0</v>
      </c>
      <c r="BR151" s="389">
        <v>0</v>
      </c>
      <c r="BS151" s="296">
        <v>0</v>
      </c>
      <c r="BT151" s="296">
        <v>0</v>
      </c>
      <c r="BU151" s="296">
        <v>0</v>
      </c>
      <c r="BV151" s="409">
        <v>0</v>
      </c>
      <c r="BW151" s="1011">
        <f t="shared" si="906"/>
        <v>0</v>
      </c>
      <c r="BX151" s="442" t="s">
        <v>702</v>
      </c>
    </row>
    <row r="152" spans="1:78" s="1" customFormat="1" ht="43.5" hidden="1" customHeight="1" outlineLevel="1" x14ac:dyDescent="0.25">
      <c r="A152" s="678">
        <v>44</v>
      </c>
      <c r="B152" s="702" t="s">
        <v>69</v>
      </c>
      <c r="C152" s="697" t="s">
        <v>1737</v>
      </c>
      <c r="D152" s="63">
        <v>44238</v>
      </c>
      <c r="E152" s="463" t="s">
        <v>728</v>
      </c>
      <c r="F152" s="542" t="s">
        <v>696</v>
      </c>
      <c r="G152" s="95" t="s">
        <v>24</v>
      </c>
      <c r="H152" s="311" t="s">
        <v>439</v>
      </c>
      <c r="I152" s="335"/>
      <c r="J152" s="294">
        <f t="shared" si="884"/>
        <v>0</v>
      </c>
      <c r="K152" s="52">
        <f t="shared" si="885"/>
        <v>0</v>
      </c>
      <c r="L152" s="52">
        <f t="shared" si="855"/>
        <v>1.2320896180215476E-3</v>
      </c>
      <c r="M152" s="52">
        <f t="shared" si="856"/>
        <v>1.2834714893233492E-3</v>
      </c>
      <c r="N152" s="52">
        <f t="shared" si="857"/>
        <v>1.0577585541369327E-3</v>
      </c>
      <c r="O152" s="52">
        <f t="shared" si="858"/>
        <v>0</v>
      </c>
      <c r="P152" s="52">
        <f t="shared" si="859"/>
        <v>0</v>
      </c>
      <c r="Q152" s="52">
        <f t="shared" si="860"/>
        <v>0</v>
      </c>
      <c r="R152" s="52">
        <f t="shared" si="861"/>
        <v>0</v>
      </c>
      <c r="S152" s="527">
        <f t="shared" si="886"/>
        <v>0</v>
      </c>
      <c r="T152" s="533">
        <f t="shared" si="863"/>
        <v>0</v>
      </c>
      <c r="U152" s="375">
        <f t="shared" si="905"/>
        <v>0</v>
      </c>
      <c r="V152" s="375">
        <f t="shared" si="864"/>
        <v>-1.2320896180215476E-3</v>
      </c>
      <c r="W152" s="386">
        <f t="shared" si="865"/>
        <v>-1.3142762004820562E-3</v>
      </c>
      <c r="X152" s="386">
        <f t="shared" si="866"/>
        <v>-1.2834714893233492E-3</v>
      </c>
      <c r="Y152" s="386">
        <f t="shared" si="867"/>
        <v>-1.2834714893233492E-3</v>
      </c>
      <c r="Z152" s="375">
        <f t="shared" si="868"/>
        <v>-1.0577585541369327E-3</v>
      </c>
      <c r="AA152" s="375">
        <f t="shared" si="869"/>
        <v>0</v>
      </c>
      <c r="AB152" s="386">
        <f t="shared" si="870"/>
        <v>0</v>
      </c>
      <c r="AC152" s="386">
        <f t="shared" si="871"/>
        <v>0</v>
      </c>
      <c r="AD152" s="386">
        <f t="shared" si="872"/>
        <v>0</v>
      </c>
      <c r="AE152" s="386">
        <f t="shared" si="873"/>
        <v>0</v>
      </c>
      <c r="AF152" s="386">
        <f t="shared" si="874"/>
        <v>0</v>
      </c>
      <c r="AG152" s="375">
        <f t="shared" si="875"/>
        <v>0</v>
      </c>
      <c r="AH152" s="375">
        <f t="shared" si="876"/>
        <v>0</v>
      </c>
      <c r="AI152" s="386">
        <f t="shared" si="877"/>
        <v>0</v>
      </c>
      <c r="AJ152" s="386">
        <f t="shared" si="878"/>
        <v>0</v>
      </c>
      <c r="AK152" s="386">
        <f t="shared" si="879"/>
        <v>0</v>
      </c>
      <c r="AL152" s="377">
        <f t="shared" si="880"/>
        <v>0</v>
      </c>
      <c r="AM152" s="377">
        <f t="shared" si="881"/>
        <v>0</v>
      </c>
      <c r="AN152" s="377">
        <f t="shared" si="882"/>
        <v>0</v>
      </c>
      <c r="AO152" s="283"/>
      <c r="AP152" s="295">
        <f t="shared" si="888"/>
        <v>35.527549</v>
      </c>
      <c r="AQ152" s="183">
        <f t="shared" si="893"/>
        <v>0</v>
      </c>
      <c r="AR152" s="94">
        <f t="shared" si="900"/>
        <v>0</v>
      </c>
      <c r="AS152" s="94">
        <f t="shared" si="901"/>
        <v>40.254832</v>
      </c>
      <c r="AT152" s="94">
        <f t="shared" si="902"/>
        <v>40.254832</v>
      </c>
      <c r="AU152" s="94">
        <f t="shared" si="896"/>
        <v>35.527549</v>
      </c>
      <c r="AV152" s="94">
        <f t="shared" si="903"/>
        <v>0</v>
      </c>
      <c r="AW152" s="94">
        <f t="shared" si="897"/>
        <v>0</v>
      </c>
      <c r="AX152" s="94">
        <f t="shared" si="904"/>
        <v>0</v>
      </c>
      <c r="AY152" s="94">
        <f t="shared" si="898"/>
        <v>0</v>
      </c>
      <c r="AZ152" s="433">
        <f t="shared" si="899"/>
        <v>0</v>
      </c>
      <c r="BA152" s="1008">
        <v>0</v>
      </c>
      <c r="BB152" s="409">
        <v>0</v>
      </c>
      <c r="BC152" s="1025">
        <v>-40.254832</v>
      </c>
      <c r="BD152" s="1030">
        <v>-40.254832</v>
      </c>
      <c r="BE152" s="389">
        <v>-40.254832</v>
      </c>
      <c r="BF152" s="516">
        <v>-40.254832</v>
      </c>
      <c r="BG152" s="207">
        <f>-22.236857-13.290692</f>
        <v>-35.527549</v>
      </c>
      <c r="BH152" s="207">
        <v>0</v>
      </c>
      <c r="BI152" s="389">
        <v>0</v>
      </c>
      <c r="BJ152" s="516">
        <v>0</v>
      </c>
      <c r="BK152" s="516">
        <v>0</v>
      </c>
      <c r="BL152" s="516">
        <v>0</v>
      </c>
      <c r="BM152" s="516">
        <v>0</v>
      </c>
      <c r="BN152" s="409">
        <v>0</v>
      </c>
      <c r="BO152" s="207">
        <v>0</v>
      </c>
      <c r="BP152" s="389">
        <v>0</v>
      </c>
      <c r="BQ152" s="389">
        <v>0</v>
      </c>
      <c r="BR152" s="389">
        <v>0</v>
      </c>
      <c r="BS152" s="296">
        <v>0</v>
      </c>
      <c r="BT152" s="296">
        <v>0</v>
      </c>
      <c r="BU152" s="296">
        <v>0</v>
      </c>
      <c r="BV152" s="409">
        <v>0</v>
      </c>
      <c r="BW152" s="1011">
        <f t="shared" si="906"/>
        <v>0</v>
      </c>
      <c r="BX152" s="442" t="s">
        <v>694</v>
      </c>
      <c r="BZ152" s="649"/>
    </row>
    <row r="153" spans="1:78" s="1" customFormat="1" ht="57.95" hidden="1" customHeight="1" outlineLevel="1" x14ac:dyDescent="0.25">
      <c r="A153" s="678">
        <v>45</v>
      </c>
      <c r="B153" s="702" t="s">
        <v>69</v>
      </c>
      <c r="C153" s="697" t="s">
        <v>1734</v>
      </c>
      <c r="D153" s="63">
        <v>44238</v>
      </c>
      <c r="E153" s="463" t="s">
        <v>729</v>
      </c>
      <c r="F153" s="542" t="s">
        <v>697</v>
      </c>
      <c r="G153" s="95" t="s">
        <v>24</v>
      </c>
      <c r="H153" s="311" t="s">
        <v>171</v>
      </c>
      <c r="I153" s="335"/>
      <c r="J153" s="294">
        <f t="shared" si="884"/>
        <v>0</v>
      </c>
      <c r="K153" s="52">
        <f t="shared" si="885"/>
        <v>0</v>
      </c>
      <c r="L153" s="52">
        <f t="shared" si="855"/>
        <v>8.0826652791380997E-4</v>
      </c>
      <c r="M153" s="52">
        <f t="shared" si="856"/>
        <v>8.4197369183059507E-4</v>
      </c>
      <c r="N153" s="52">
        <f t="shared" si="857"/>
        <v>7.8623362523389971E-4</v>
      </c>
      <c r="O153" s="52">
        <f t="shared" si="858"/>
        <v>0</v>
      </c>
      <c r="P153" s="52">
        <f t="shared" si="859"/>
        <v>0</v>
      </c>
      <c r="Q153" s="52">
        <f t="shared" si="860"/>
        <v>0</v>
      </c>
      <c r="R153" s="52">
        <f t="shared" si="861"/>
        <v>0</v>
      </c>
      <c r="S153" s="527">
        <f t="shared" si="886"/>
        <v>0</v>
      </c>
      <c r="T153" s="533">
        <f t="shared" si="863"/>
        <v>0</v>
      </c>
      <c r="U153" s="375">
        <f t="shared" si="905"/>
        <v>0</v>
      </c>
      <c r="V153" s="375">
        <f t="shared" si="864"/>
        <v>-2.0556984573947109E-4</v>
      </c>
      <c r="W153" s="386">
        <f t="shared" si="865"/>
        <v>-8.6218197584455919E-4</v>
      </c>
      <c r="X153" s="386">
        <f t="shared" si="866"/>
        <v>-2.1414273135007933E-4</v>
      </c>
      <c r="Y153" s="386">
        <f t="shared" si="867"/>
        <v>-2.1414273135007933E-4</v>
      </c>
      <c r="Z153" s="375">
        <f t="shared" si="868"/>
        <v>-1.5798608170002371E-4</v>
      </c>
      <c r="AA153" s="375">
        <f t="shared" si="869"/>
        <v>-1.7902237791194486E-4</v>
      </c>
      <c r="AB153" s="386">
        <f t="shared" si="870"/>
        <v>-5.7878547460429766E-4</v>
      </c>
      <c r="AC153" s="386">
        <f t="shared" si="871"/>
        <v>-5.7878547460429798E-4</v>
      </c>
      <c r="AD153" s="386">
        <f t="shared" si="872"/>
        <v>-6.1333508850412786E-4</v>
      </c>
      <c r="AE153" s="386">
        <f t="shared" si="873"/>
        <v>-1.8404263149694261E-4</v>
      </c>
      <c r="AF153" s="386">
        <f t="shared" si="874"/>
        <v>-1.7902237791194486E-4</v>
      </c>
      <c r="AG153" s="375">
        <f t="shared" si="875"/>
        <v>-9.7811983209219745E-5</v>
      </c>
      <c r="AH153" s="375">
        <f t="shared" si="876"/>
        <v>-3.925176994761364E-4</v>
      </c>
      <c r="AI153" s="386">
        <f t="shared" si="877"/>
        <v>-3.397121494710661E-4</v>
      </c>
      <c r="AJ153" s="386">
        <f t="shared" si="878"/>
        <v>-3.2947028677485023E-4</v>
      </c>
      <c r="AK153" s="386">
        <f t="shared" si="879"/>
        <v>-3.9565311019157504E-4</v>
      </c>
      <c r="AL153" s="377">
        <f t="shared" si="880"/>
        <v>0</v>
      </c>
      <c r="AM153" s="377">
        <f t="shared" si="881"/>
        <v>0</v>
      </c>
      <c r="AN153" s="377">
        <f t="shared" si="882"/>
        <v>0</v>
      </c>
      <c r="AO153" s="283"/>
      <c r="AP153" s="295">
        <f t="shared" si="888"/>
        <v>26.407684</v>
      </c>
      <c r="AQ153" s="183">
        <f t="shared" si="893"/>
        <v>0</v>
      </c>
      <c r="AR153" s="94">
        <v>0</v>
      </c>
      <c r="AS153" s="94">
        <v>26.407684</v>
      </c>
      <c r="AT153" s="94">
        <v>26.407684</v>
      </c>
      <c r="AU153" s="94">
        <v>26.407684</v>
      </c>
      <c r="AV153" s="94">
        <v>0</v>
      </c>
      <c r="AW153" s="94">
        <v>0</v>
      </c>
      <c r="AX153" s="94">
        <v>0</v>
      </c>
      <c r="AY153" s="94">
        <v>0</v>
      </c>
      <c r="AZ153" s="433">
        <v>0</v>
      </c>
      <c r="BA153" s="1008">
        <v>0</v>
      </c>
      <c r="BB153" s="409">
        <v>0</v>
      </c>
      <c r="BC153" s="1025">
        <v>-6.7163779999999997</v>
      </c>
      <c r="BD153" s="1030">
        <v>-26.407684</v>
      </c>
      <c r="BE153" s="389">
        <v>-6.7163779999999997</v>
      </c>
      <c r="BF153" s="516">
        <v>-6.7163779999999997</v>
      </c>
      <c r="BG153" s="207">
        <f>-5.30637</f>
        <v>-5.3063700000000003</v>
      </c>
      <c r="BH153" s="207">
        <v>-7.0604329999999997</v>
      </c>
      <c r="BI153" s="389">
        <v>-19.691306000000001</v>
      </c>
      <c r="BJ153" s="516">
        <v>-19.691306000000001</v>
      </c>
      <c r="BK153" s="516">
        <v>-20.866745000000002</v>
      </c>
      <c r="BL153" s="516">
        <v>-7.0604329999999997</v>
      </c>
      <c r="BM153" s="516">
        <v>-7.0604329999999997</v>
      </c>
      <c r="BN153" s="1054">
        <v>-3.8225639999999999</v>
      </c>
      <c r="BO153" s="207">
        <v>-17.265187999999998</v>
      </c>
      <c r="BP153" s="389">
        <v>-14.04088</v>
      </c>
      <c r="BQ153" s="389">
        <v>-14.04088</v>
      </c>
      <c r="BR153" s="389">
        <v>-17.265187999999998</v>
      </c>
      <c r="BS153" s="296">
        <v>0</v>
      </c>
      <c r="BT153" s="296">
        <v>0</v>
      </c>
      <c r="BU153" s="296">
        <v>0</v>
      </c>
      <c r="BV153" s="1054">
        <v>0</v>
      </c>
      <c r="BW153" s="1011">
        <v>0</v>
      </c>
      <c r="BX153" s="442" t="s">
        <v>695</v>
      </c>
    </row>
    <row r="154" spans="1:78" s="1" customFormat="1" ht="29.1" hidden="1" customHeight="1" outlineLevel="1" x14ac:dyDescent="0.25">
      <c r="A154" s="678">
        <v>46</v>
      </c>
      <c r="B154" s="702" t="s">
        <v>69</v>
      </c>
      <c r="C154" s="697" t="s">
        <v>701</v>
      </c>
      <c r="D154" s="63">
        <v>44242</v>
      </c>
      <c r="E154" s="463" t="s">
        <v>1111</v>
      </c>
      <c r="F154" s="542" t="s">
        <v>1109</v>
      </c>
      <c r="G154" s="95" t="s">
        <v>24</v>
      </c>
      <c r="H154" s="311" t="s">
        <v>129</v>
      </c>
      <c r="I154" s="335"/>
      <c r="J154" s="294">
        <f t="shared" si="884"/>
        <v>0</v>
      </c>
      <c r="K154" s="52">
        <f t="shared" si="885"/>
        <v>0</v>
      </c>
      <c r="L154" s="52">
        <f t="shared" si="855"/>
        <v>0</v>
      </c>
      <c r="M154" s="52">
        <f t="shared" si="856"/>
        <v>0</v>
      </c>
      <c r="N154" s="52">
        <f t="shared" si="857"/>
        <v>0</v>
      </c>
      <c r="O154" s="52">
        <f t="shared" si="858"/>
        <v>0</v>
      </c>
      <c r="P154" s="52">
        <f t="shared" si="859"/>
        <v>0</v>
      </c>
      <c r="Q154" s="52">
        <f t="shared" si="860"/>
        <v>0</v>
      </c>
      <c r="R154" s="52">
        <f t="shared" si="861"/>
        <v>0</v>
      </c>
      <c r="S154" s="527">
        <f t="shared" si="886"/>
        <v>0</v>
      </c>
      <c r="T154" s="533">
        <f t="shared" si="863"/>
        <v>0</v>
      </c>
      <c r="U154" s="375">
        <f t="shared" si="905"/>
        <v>0</v>
      </c>
      <c r="V154" s="375">
        <f t="shared" si="864"/>
        <v>0</v>
      </c>
      <c r="W154" s="386">
        <f t="shared" si="865"/>
        <v>-9.6273459697247361E-6</v>
      </c>
      <c r="X154" s="386">
        <f t="shared" si="866"/>
        <v>0</v>
      </c>
      <c r="Y154" s="386">
        <f t="shared" si="867"/>
        <v>0</v>
      </c>
      <c r="Z154" s="375">
        <f t="shared" si="868"/>
        <v>0</v>
      </c>
      <c r="AA154" s="375">
        <f t="shared" si="869"/>
        <v>0</v>
      </c>
      <c r="AB154" s="386">
        <f t="shared" si="870"/>
        <v>0</v>
      </c>
      <c r="AC154" s="386">
        <f t="shared" si="871"/>
        <v>0</v>
      </c>
      <c r="AD154" s="386">
        <f t="shared" si="872"/>
        <v>0</v>
      </c>
      <c r="AE154" s="386">
        <f t="shared" si="873"/>
        <v>0</v>
      </c>
      <c r="AF154" s="386">
        <f t="shared" si="874"/>
        <v>0</v>
      </c>
      <c r="AG154" s="375">
        <f t="shared" si="875"/>
        <v>0</v>
      </c>
      <c r="AH154" s="375">
        <f t="shared" si="876"/>
        <v>0</v>
      </c>
      <c r="AI154" s="386">
        <f t="shared" si="877"/>
        <v>0</v>
      </c>
      <c r="AJ154" s="386">
        <f t="shared" si="878"/>
        <v>0</v>
      </c>
      <c r="AK154" s="386">
        <f t="shared" si="879"/>
        <v>0</v>
      </c>
      <c r="AL154" s="377">
        <f t="shared" si="880"/>
        <v>0</v>
      </c>
      <c r="AM154" s="377">
        <f t="shared" si="881"/>
        <v>0</v>
      </c>
      <c r="AN154" s="377">
        <f t="shared" si="882"/>
        <v>0</v>
      </c>
      <c r="AO154" s="283"/>
      <c r="AP154" s="295">
        <f t="shared" si="888"/>
        <v>0</v>
      </c>
      <c r="AQ154" s="183">
        <f t="shared" si="893"/>
        <v>0</v>
      </c>
      <c r="AR154" s="94">
        <f t="shared" si="900"/>
        <v>0</v>
      </c>
      <c r="AS154" s="94">
        <f t="shared" ref="AS154:AS165" si="907">-BC154</f>
        <v>0</v>
      </c>
      <c r="AT154" s="94">
        <f t="shared" ref="AT154:AT186" si="908">-BC154</f>
        <v>0</v>
      </c>
      <c r="AU154" s="94">
        <f t="shared" si="896"/>
        <v>0</v>
      </c>
      <c r="AV154" s="94">
        <f>-BH154</f>
        <v>0</v>
      </c>
      <c r="AW154" s="94">
        <f t="shared" si="897"/>
        <v>0</v>
      </c>
      <c r="AX154" s="94">
        <f>-BN154</f>
        <v>0</v>
      </c>
      <c r="AY154" s="94">
        <f t="shared" si="898"/>
        <v>0</v>
      </c>
      <c r="AZ154" s="433">
        <f t="shared" si="899"/>
        <v>0</v>
      </c>
      <c r="BA154" s="1008">
        <v>0</v>
      </c>
      <c r="BB154" s="409">
        <v>0</v>
      </c>
      <c r="BC154" s="1025">
        <v>0</v>
      </c>
      <c r="BD154" s="1030">
        <v>-0.294875</v>
      </c>
      <c r="BE154" s="389">
        <v>0</v>
      </c>
      <c r="BF154" s="516">
        <v>0</v>
      </c>
      <c r="BG154" s="207">
        <v>0</v>
      </c>
      <c r="BH154" s="207">
        <v>0</v>
      </c>
      <c r="BI154" s="389">
        <v>0</v>
      </c>
      <c r="BJ154" s="516">
        <v>0</v>
      </c>
      <c r="BK154" s="516">
        <v>0</v>
      </c>
      <c r="BL154" s="516">
        <v>0</v>
      </c>
      <c r="BM154" s="516">
        <v>0</v>
      </c>
      <c r="BN154" s="409">
        <v>0</v>
      </c>
      <c r="BO154" s="207">
        <v>0</v>
      </c>
      <c r="BP154" s="389">
        <v>0</v>
      </c>
      <c r="BQ154" s="389">
        <v>0</v>
      </c>
      <c r="BR154" s="389">
        <v>0</v>
      </c>
      <c r="BS154" s="296">
        <v>0</v>
      </c>
      <c r="BT154" s="296">
        <v>0</v>
      </c>
      <c r="BU154" s="296">
        <v>0</v>
      </c>
      <c r="BV154" s="409">
        <v>0</v>
      </c>
      <c r="BW154" s="1011">
        <f t="shared" si="906"/>
        <v>0</v>
      </c>
      <c r="BX154" s="442" t="s">
        <v>1110</v>
      </c>
    </row>
    <row r="155" spans="1:78" s="1" customFormat="1" ht="57.95" hidden="1" customHeight="1" outlineLevel="1" x14ac:dyDescent="0.25">
      <c r="A155" s="678">
        <v>47</v>
      </c>
      <c r="B155" s="702" t="s">
        <v>69</v>
      </c>
      <c r="C155" s="697" t="s">
        <v>1738</v>
      </c>
      <c r="D155" s="63">
        <v>44245</v>
      </c>
      <c r="E155" s="463" t="s">
        <v>1096</v>
      </c>
      <c r="F155" s="542" t="s">
        <v>1095</v>
      </c>
      <c r="G155" s="95" t="s">
        <v>24</v>
      </c>
      <c r="H155" s="311" t="s">
        <v>129</v>
      </c>
      <c r="I155" s="335"/>
      <c r="J155" s="294">
        <f t="shared" si="884"/>
        <v>0</v>
      </c>
      <c r="K155" s="52">
        <f t="shared" si="885"/>
        <v>0</v>
      </c>
      <c r="L155" s="52">
        <f t="shared" si="855"/>
        <v>1.4813907933398629E-6</v>
      </c>
      <c r="M155" s="52">
        <f t="shared" si="856"/>
        <v>1.5431692792370887E-6</v>
      </c>
      <c r="N155" s="52">
        <f t="shared" si="857"/>
        <v>6.0522373464309532E-7</v>
      </c>
      <c r="O155" s="52">
        <f t="shared" si="858"/>
        <v>0</v>
      </c>
      <c r="P155" s="52">
        <f t="shared" si="859"/>
        <v>0</v>
      </c>
      <c r="Q155" s="52">
        <f t="shared" si="860"/>
        <v>0</v>
      </c>
      <c r="R155" s="52">
        <f t="shared" si="861"/>
        <v>0</v>
      </c>
      <c r="S155" s="527">
        <f t="shared" si="886"/>
        <v>0</v>
      </c>
      <c r="T155" s="533">
        <f t="shared" si="863"/>
        <v>0</v>
      </c>
      <c r="U155" s="375">
        <f t="shared" si="905"/>
        <v>0</v>
      </c>
      <c r="V155" s="375">
        <f t="shared" si="864"/>
        <v>-1.4813907933398629E-6</v>
      </c>
      <c r="W155" s="386">
        <f t="shared" si="865"/>
        <v>-1.5802070197021694E-6</v>
      </c>
      <c r="X155" s="386">
        <f t="shared" si="866"/>
        <v>-1.5431692792370887E-6</v>
      </c>
      <c r="Y155" s="386">
        <f t="shared" si="867"/>
        <v>-1.5431692792370887E-6</v>
      </c>
      <c r="Z155" s="375">
        <f t="shared" si="868"/>
        <v>-6.0522373464309532E-7</v>
      </c>
      <c r="AA155" s="375">
        <f t="shared" si="869"/>
        <v>0</v>
      </c>
      <c r="AB155" s="386">
        <f t="shared" si="870"/>
        <v>0</v>
      </c>
      <c r="AC155" s="386">
        <f t="shared" si="871"/>
        <v>0</v>
      </c>
      <c r="AD155" s="386">
        <f t="shared" si="872"/>
        <v>0</v>
      </c>
      <c r="AE155" s="386">
        <f t="shared" si="873"/>
        <v>0</v>
      </c>
      <c r="AF155" s="386">
        <f t="shared" si="874"/>
        <v>0</v>
      </c>
      <c r="AG155" s="375">
        <f t="shared" si="875"/>
        <v>0</v>
      </c>
      <c r="AH155" s="375">
        <f t="shared" si="876"/>
        <v>0</v>
      </c>
      <c r="AI155" s="386">
        <f t="shared" si="877"/>
        <v>0</v>
      </c>
      <c r="AJ155" s="386">
        <f t="shared" si="878"/>
        <v>0</v>
      </c>
      <c r="AK155" s="386">
        <f t="shared" si="879"/>
        <v>0</v>
      </c>
      <c r="AL155" s="377">
        <f t="shared" si="880"/>
        <v>0</v>
      </c>
      <c r="AM155" s="377">
        <f t="shared" si="881"/>
        <v>0</v>
      </c>
      <c r="AN155" s="377">
        <f t="shared" si="882"/>
        <v>0</v>
      </c>
      <c r="AO155" s="283"/>
      <c r="AP155" s="295">
        <f t="shared" si="888"/>
        <v>2.0327999999999999E-2</v>
      </c>
      <c r="AQ155" s="183">
        <f t="shared" si="893"/>
        <v>0</v>
      </c>
      <c r="AR155" s="94">
        <f t="shared" si="900"/>
        <v>0</v>
      </c>
      <c r="AS155" s="94">
        <f t="shared" si="907"/>
        <v>4.8399999999999999E-2</v>
      </c>
      <c r="AT155" s="94">
        <f t="shared" si="908"/>
        <v>4.8399999999999999E-2</v>
      </c>
      <c r="AU155" s="94">
        <f t="shared" si="896"/>
        <v>2.0327999999999999E-2</v>
      </c>
      <c r="AV155" s="94">
        <f>-BH155</f>
        <v>0</v>
      </c>
      <c r="AW155" s="94">
        <f t="shared" si="897"/>
        <v>0</v>
      </c>
      <c r="AX155" s="94">
        <f>-BN155</f>
        <v>0</v>
      </c>
      <c r="AY155" s="94">
        <f t="shared" si="898"/>
        <v>0</v>
      </c>
      <c r="AZ155" s="433">
        <f t="shared" si="899"/>
        <v>0</v>
      </c>
      <c r="BA155" s="1008">
        <v>0</v>
      </c>
      <c r="BB155" s="409">
        <v>0</v>
      </c>
      <c r="BC155" s="1025">
        <v>-4.8399999999999999E-2</v>
      </c>
      <c r="BD155" s="1030">
        <v>-4.8399999999999999E-2</v>
      </c>
      <c r="BE155" s="389">
        <v>-4.8399999999999999E-2</v>
      </c>
      <c r="BF155" s="516">
        <v>-4.8399999999999999E-2</v>
      </c>
      <c r="BG155" s="207">
        <f>-0.020328</f>
        <v>-2.0327999999999999E-2</v>
      </c>
      <c r="BH155" s="207">
        <v>0</v>
      </c>
      <c r="BI155" s="389">
        <v>0</v>
      </c>
      <c r="BJ155" s="516">
        <v>0</v>
      </c>
      <c r="BK155" s="516">
        <v>0</v>
      </c>
      <c r="BL155" s="516">
        <v>0</v>
      </c>
      <c r="BM155" s="516">
        <v>0</v>
      </c>
      <c r="BN155" s="409">
        <v>0</v>
      </c>
      <c r="BO155" s="207">
        <v>0</v>
      </c>
      <c r="BP155" s="389">
        <v>0</v>
      </c>
      <c r="BQ155" s="389">
        <v>0</v>
      </c>
      <c r="BR155" s="389">
        <v>0</v>
      </c>
      <c r="BS155" s="296">
        <v>0</v>
      </c>
      <c r="BT155" s="296">
        <v>0</v>
      </c>
      <c r="BU155" s="296">
        <v>0</v>
      </c>
      <c r="BV155" s="409">
        <v>0</v>
      </c>
      <c r="BW155" s="1011">
        <f t="shared" si="906"/>
        <v>0</v>
      </c>
      <c r="BX155" s="442" t="s">
        <v>1097</v>
      </c>
    </row>
    <row r="156" spans="1:78" s="1" customFormat="1" ht="87" hidden="1" customHeight="1" outlineLevel="1" x14ac:dyDescent="0.25">
      <c r="A156" s="678">
        <v>48</v>
      </c>
      <c r="B156" s="702" t="s">
        <v>69</v>
      </c>
      <c r="C156" s="697" t="s">
        <v>1739</v>
      </c>
      <c r="D156" s="63">
        <v>44245</v>
      </c>
      <c r="E156" s="463" t="s">
        <v>1104</v>
      </c>
      <c r="F156" s="542" t="s">
        <v>1103</v>
      </c>
      <c r="G156" s="95" t="s">
        <v>24</v>
      </c>
      <c r="H156" s="311" t="s">
        <v>127</v>
      </c>
      <c r="I156" s="335"/>
      <c r="J156" s="294">
        <f t="shared" si="884"/>
        <v>0</v>
      </c>
      <c r="K156" s="52">
        <f t="shared" si="885"/>
        <v>0</v>
      </c>
      <c r="L156" s="52">
        <f t="shared" si="855"/>
        <v>2.5416387120470126E-3</v>
      </c>
      <c r="M156" s="52">
        <f t="shared" ref="M156:M188" si="909">AT156/Y$8</f>
        <v>2.6476327495649822E-3</v>
      </c>
      <c r="N156" s="52">
        <f t="shared" ref="N156:N188" si="910">AU156/Z$8</f>
        <v>2.4723550333889798E-3</v>
      </c>
      <c r="O156" s="52">
        <f t="shared" ref="O156:O187" si="911">AV156/AA$8</f>
        <v>0</v>
      </c>
      <c r="P156" s="52">
        <f t="shared" ref="P156:P187" si="912">AW156/AE$8</f>
        <v>0</v>
      </c>
      <c r="Q156" s="52">
        <f t="shared" ref="Q156:Q187" si="913">AX156/AF$8</f>
        <v>0</v>
      </c>
      <c r="R156" s="52">
        <f t="shared" ref="R156:R187" si="914">AY156/AH$8</f>
        <v>0</v>
      </c>
      <c r="S156" s="527">
        <f t="shared" si="886"/>
        <v>0</v>
      </c>
      <c r="T156" s="533">
        <f t="shared" ref="T156:T189" si="915">BA156/T$8</f>
        <v>0</v>
      </c>
      <c r="U156" s="375">
        <f t="shared" si="905"/>
        <v>0</v>
      </c>
      <c r="V156" s="375">
        <f t="shared" si="864"/>
        <v>-2.5416387120470126E-3</v>
      </c>
      <c r="W156" s="386">
        <f t="shared" si="865"/>
        <v>-2.7111788141119092E-3</v>
      </c>
      <c r="X156" s="386">
        <f t="shared" si="866"/>
        <v>-2.6476327495649822E-3</v>
      </c>
      <c r="Y156" s="386">
        <f t="shared" si="867"/>
        <v>-2.6476327495649822E-3</v>
      </c>
      <c r="Z156" s="375">
        <f t="shared" si="868"/>
        <v>-2.4723550333889798E-3</v>
      </c>
      <c r="AA156" s="375">
        <f t="shared" si="869"/>
        <v>0</v>
      </c>
      <c r="AB156" s="386">
        <f t="shared" si="870"/>
        <v>0</v>
      </c>
      <c r="AC156" s="386">
        <f t="shared" ref="AC156:AC187" si="916">BJ156/AC$8</f>
        <v>0</v>
      </c>
      <c r="AD156" s="386">
        <f t="shared" ref="AD156:AD187" si="917">BK156/AD$8</f>
        <v>0</v>
      </c>
      <c r="AE156" s="386">
        <f t="shared" ref="AE156:AE187" si="918">BL156/AE$8</f>
        <v>0</v>
      </c>
      <c r="AF156" s="386">
        <f t="shared" ref="AF156:AF187" si="919">BM156/AF$8</f>
        <v>0</v>
      </c>
      <c r="AG156" s="375">
        <f t="shared" ref="AG156:AG187" si="920">BN156/AG$8</f>
        <v>0</v>
      </c>
      <c r="AH156" s="375">
        <f t="shared" ref="AH156:AH187" si="921">BO156/AH$8</f>
        <v>0</v>
      </c>
      <c r="AI156" s="386">
        <f t="shared" ref="AI156:AI187" si="922">BP156/AI$8</f>
        <v>0</v>
      </c>
      <c r="AJ156" s="386">
        <f t="shared" ref="AJ156:AJ187" si="923">BQ156/AJ$8</f>
        <v>0</v>
      </c>
      <c r="AK156" s="386">
        <f t="shared" ref="AK156:AK187" si="924">BR156/AK$8</f>
        <v>0</v>
      </c>
      <c r="AL156" s="377">
        <f t="shared" ref="AL156:AL187" si="925">BS156/AL$8</f>
        <v>0</v>
      </c>
      <c r="AM156" s="377">
        <f t="shared" ref="AM156:AM187" si="926">BT156/AM$8</f>
        <v>0</v>
      </c>
      <c r="AN156" s="377">
        <f t="shared" ref="AN156:AN187" si="927">BU156/AN$8</f>
        <v>0</v>
      </c>
      <c r="AO156" s="283"/>
      <c r="AP156" s="295">
        <f t="shared" si="888"/>
        <v>83.040419999999997</v>
      </c>
      <c r="AQ156" s="183">
        <f t="shared" si="893"/>
        <v>0</v>
      </c>
      <c r="AR156" s="94">
        <f t="shared" si="900"/>
        <v>0</v>
      </c>
      <c r="AS156" s="94">
        <f t="shared" si="907"/>
        <v>83.040419999999997</v>
      </c>
      <c r="AT156" s="94">
        <f t="shared" si="908"/>
        <v>83.040419999999997</v>
      </c>
      <c r="AU156" s="94">
        <f t="shared" si="896"/>
        <v>83.040419999999997</v>
      </c>
      <c r="AV156" s="94">
        <f>-BH156</f>
        <v>0</v>
      </c>
      <c r="AW156" s="94">
        <f t="shared" si="897"/>
        <v>0</v>
      </c>
      <c r="AX156" s="94">
        <f>-BN156</f>
        <v>0</v>
      </c>
      <c r="AY156" s="94">
        <f t="shared" si="898"/>
        <v>0</v>
      </c>
      <c r="AZ156" s="433">
        <f t="shared" si="899"/>
        <v>0</v>
      </c>
      <c r="BA156" s="1008">
        <v>0</v>
      </c>
      <c r="BB156" s="409">
        <v>0</v>
      </c>
      <c r="BC156" s="1025">
        <v>-83.040419999999997</v>
      </c>
      <c r="BD156" s="1030">
        <v>-83.040419999999997</v>
      </c>
      <c r="BE156" s="389">
        <v>-83.040419999999997</v>
      </c>
      <c r="BF156" s="516">
        <v>-83.040419999999997</v>
      </c>
      <c r="BG156" s="207">
        <v>-83.040419999999997</v>
      </c>
      <c r="BH156" s="207">
        <v>0</v>
      </c>
      <c r="BI156" s="389">
        <v>0</v>
      </c>
      <c r="BJ156" s="516">
        <v>0</v>
      </c>
      <c r="BK156" s="516">
        <v>0</v>
      </c>
      <c r="BL156" s="516">
        <v>0</v>
      </c>
      <c r="BM156" s="516">
        <v>0</v>
      </c>
      <c r="BN156" s="409">
        <v>0</v>
      </c>
      <c r="BO156" s="207">
        <v>0</v>
      </c>
      <c r="BP156" s="389">
        <v>0</v>
      </c>
      <c r="BQ156" s="389">
        <v>0</v>
      </c>
      <c r="BR156" s="389">
        <v>0</v>
      </c>
      <c r="BS156" s="296">
        <v>0</v>
      </c>
      <c r="BT156" s="296">
        <v>0</v>
      </c>
      <c r="BU156" s="296">
        <v>0</v>
      </c>
      <c r="BV156" s="409">
        <v>0</v>
      </c>
      <c r="BW156" s="1011">
        <f t="shared" si="906"/>
        <v>0</v>
      </c>
      <c r="BX156" s="442" t="s">
        <v>1105</v>
      </c>
    </row>
    <row r="157" spans="1:78" s="1" customFormat="1" ht="57.95" hidden="1" customHeight="1" outlineLevel="1" x14ac:dyDescent="0.25">
      <c r="A157" s="678">
        <v>48</v>
      </c>
      <c r="B157" s="702" t="s">
        <v>69</v>
      </c>
      <c r="C157" s="697" t="s">
        <v>1739</v>
      </c>
      <c r="D157" s="63">
        <v>44551</v>
      </c>
      <c r="E157" s="463" t="s">
        <v>1936</v>
      </c>
      <c r="F157" s="542" t="s">
        <v>1103</v>
      </c>
      <c r="G157" s="95" t="s">
        <v>24</v>
      </c>
      <c r="H157" s="311" t="s">
        <v>127</v>
      </c>
      <c r="I157" s="335"/>
      <c r="J157" s="294">
        <f t="shared" ref="J157" si="928">AQ157/T$8</f>
        <v>0</v>
      </c>
      <c r="K157" s="52">
        <f t="shared" ref="K157" si="929">AR157/U$8</f>
        <v>0</v>
      </c>
      <c r="L157" s="52">
        <f t="shared" ref="L157" si="930">AS157/V$8</f>
        <v>6.4032639569049944E-4</v>
      </c>
      <c r="M157" s="52">
        <f t="shared" si="909"/>
        <v>6.6702994709883574E-4</v>
      </c>
      <c r="N157" s="52">
        <f t="shared" si="910"/>
        <v>5.4425962049839914E-4</v>
      </c>
      <c r="O157" s="52">
        <f t="shared" si="911"/>
        <v>0</v>
      </c>
      <c r="P157" s="52">
        <f t="shared" si="912"/>
        <v>0</v>
      </c>
      <c r="Q157" s="52">
        <f t="shared" si="913"/>
        <v>0</v>
      </c>
      <c r="R157" s="52">
        <f t="shared" si="914"/>
        <v>0</v>
      </c>
      <c r="S157" s="527">
        <f t="shared" ref="S157" si="931">AZ157/AN$8</f>
        <v>0</v>
      </c>
      <c r="T157" s="533">
        <f t="shared" ref="T157" si="932">BA157/T$8</f>
        <v>0</v>
      </c>
      <c r="U157" s="375">
        <f t="shared" ref="U157" si="933">BB157/U$8</f>
        <v>0</v>
      </c>
      <c r="V157" s="375">
        <f t="shared" ref="V157" si="934">BC157/V$8</f>
        <v>-6.4032639569049944E-4</v>
      </c>
      <c r="W157" s="386">
        <f t="shared" ref="W157" si="935">BD157/W$8</f>
        <v>-2.7111788141119092E-3</v>
      </c>
      <c r="X157" s="386">
        <f t="shared" ref="X157" si="936">BE157/X$8</f>
        <v>-2.6476327495649822E-3</v>
      </c>
      <c r="Y157" s="386">
        <f t="shared" ref="Y157" si="937">BF157/Y$8</f>
        <v>0</v>
      </c>
      <c r="Z157" s="375">
        <f t="shared" ref="Z157:Z188" si="938">BG157/Z$8</f>
        <v>-5.4425962049839914E-4</v>
      </c>
      <c r="AA157" s="375">
        <f t="shared" ref="AA157" si="939">BH157/AA$8</f>
        <v>0</v>
      </c>
      <c r="AB157" s="386">
        <f t="shared" ref="AB157" si="940">BI157/AB$8</f>
        <v>0</v>
      </c>
      <c r="AC157" s="386">
        <f t="shared" si="916"/>
        <v>0</v>
      </c>
      <c r="AD157" s="386">
        <f t="shared" si="917"/>
        <v>0</v>
      </c>
      <c r="AE157" s="386">
        <f t="shared" si="918"/>
        <v>0</v>
      </c>
      <c r="AF157" s="386">
        <f t="shared" si="919"/>
        <v>0</v>
      </c>
      <c r="AG157" s="375">
        <f t="shared" si="920"/>
        <v>0</v>
      </c>
      <c r="AH157" s="375">
        <f t="shared" si="921"/>
        <v>0</v>
      </c>
      <c r="AI157" s="386">
        <f t="shared" si="922"/>
        <v>0</v>
      </c>
      <c r="AJ157" s="386">
        <f t="shared" si="923"/>
        <v>0</v>
      </c>
      <c r="AK157" s="386">
        <f t="shared" si="924"/>
        <v>0</v>
      </c>
      <c r="AL157" s="377">
        <f t="shared" si="925"/>
        <v>0</v>
      </c>
      <c r="AM157" s="377">
        <f t="shared" si="926"/>
        <v>0</v>
      </c>
      <c r="AN157" s="377">
        <f t="shared" si="927"/>
        <v>0</v>
      </c>
      <c r="AO157" s="283"/>
      <c r="AP157" s="295">
        <f t="shared" si="888"/>
        <v>18.280363000000001</v>
      </c>
      <c r="AQ157" s="183">
        <f t="shared" ref="AQ157" si="941">-BA157</f>
        <v>0</v>
      </c>
      <c r="AR157" s="94">
        <f t="shared" ref="AR157" si="942">-BB157</f>
        <v>0</v>
      </c>
      <c r="AS157" s="94">
        <f t="shared" ref="AS157" si="943">-BC157</f>
        <v>20.920743999999999</v>
      </c>
      <c r="AT157" s="94">
        <f t="shared" si="908"/>
        <v>20.920743999999999</v>
      </c>
      <c r="AU157" s="94">
        <f t="shared" si="896"/>
        <v>18.280363000000001</v>
      </c>
      <c r="AV157" s="94">
        <f>-BH157</f>
        <v>0</v>
      </c>
      <c r="AW157" s="94">
        <f t="shared" ref="AW157" si="944">-BH157</f>
        <v>0</v>
      </c>
      <c r="AX157" s="94">
        <f>-BN157</f>
        <v>0</v>
      </c>
      <c r="AY157" s="94">
        <f t="shared" ref="AY157" si="945">-BO157</f>
        <v>0</v>
      </c>
      <c r="AZ157" s="433">
        <f t="shared" ref="AZ157" si="946">-BU157</f>
        <v>0</v>
      </c>
      <c r="BA157" s="1008">
        <v>0</v>
      </c>
      <c r="BB157" s="409">
        <v>0</v>
      </c>
      <c r="BC157" s="1025">
        <v>-20.920743999999999</v>
      </c>
      <c r="BD157" s="1030">
        <v>-83.040419999999997</v>
      </c>
      <c r="BE157" s="389">
        <v>-83.040419999999997</v>
      </c>
      <c r="BF157" s="516">
        <v>0</v>
      </c>
      <c r="BG157" s="207">
        <v>-18.280363000000001</v>
      </c>
      <c r="BH157" s="207">
        <v>0</v>
      </c>
      <c r="BI157" s="389">
        <v>0</v>
      </c>
      <c r="BJ157" s="516">
        <v>0</v>
      </c>
      <c r="BK157" s="516">
        <v>0</v>
      </c>
      <c r="BL157" s="516">
        <v>0</v>
      </c>
      <c r="BM157" s="516">
        <v>0</v>
      </c>
      <c r="BN157" s="409">
        <v>0</v>
      </c>
      <c r="BO157" s="207">
        <v>0</v>
      </c>
      <c r="BP157" s="389">
        <v>0</v>
      </c>
      <c r="BQ157" s="389">
        <v>0</v>
      </c>
      <c r="BR157" s="389">
        <v>0</v>
      </c>
      <c r="BS157" s="296">
        <v>0</v>
      </c>
      <c r="BT157" s="296">
        <v>0</v>
      </c>
      <c r="BU157" s="296">
        <v>0</v>
      </c>
      <c r="BV157" s="409">
        <v>0</v>
      </c>
      <c r="BW157" s="1011">
        <f t="shared" ref="BW157" si="947">-BV157</f>
        <v>0</v>
      </c>
      <c r="BX157" s="442" t="s">
        <v>1937</v>
      </c>
    </row>
    <row r="158" spans="1:78" s="1" customFormat="1" ht="97.5" hidden="1" customHeight="1" outlineLevel="1" x14ac:dyDescent="0.25">
      <c r="A158" s="678">
        <v>49</v>
      </c>
      <c r="B158" s="702" t="s">
        <v>69</v>
      </c>
      <c r="C158" s="697" t="s">
        <v>1734</v>
      </c>
      <c r="D158" s="63">
        <v>44245</v>
      </c>
      <c r="E158" s="463" t="s">
        <v>1106</v>
      </c>
      <c r="F158" s="542" t="s">
        <v>1107</v>
      </c>
      <c r="G158" s="95" t="s">
        <v>24</v>
      </c>
      <c r="H158" s="311" t="s">
        <v>171</v>
      </c>
      <c r="I158" s="335"/>
      <c r="J158" s="294">
        <f t="shared" si="884"/>
        <v>0</v>
      </c>
      <c r="K158" s="52">
        <f t="shared" si="885"/>
        <v>0</v>
      </c>
      <c r="L158" s="52">
        <f t="shared" si="855"/>
        <v>5.8792850146914794E-6</v>
      </c>
      <c r="M158" s="52">
        <f t="shared" si="909"/>
        <v>6.1244690188035933E-6</v>
      </c>
      <c r="N158" s="52">
        <f t="shared" si="910"/>
        <v>5.7190189266097452E-6</v>
      </c>
      <c r="O158" s="52">
        <f t="shared" si="911"/>
        <v>0</v>
      </c>
      <c r="P158" s="52">
        <f t="shared" si="912"/>
        <v>0</v>
      </c>
      <c r="Q158" s="52">
        <f t="shared" si="913"/>
        <v>0</v>
      </c>
      <c r="R158" s="52">
        <f t="shared" si="914"/>
        <v>0</v>
      </c>
      <c r="S158" s="527">
        <f t="shared" si="886"/>
        <v>0</v>
      </c>
      <c r="T158" s="533">
        <f t="shared" si="915"/>
        <v>0</v>
      </c>
      <c r="U158" s="375">
        <f t="shared" si="905"/>
        <v>0</v>
      </c>
      <c r="V158" s="375">
        <f t="shared" si="864"/>
        <v>-5.8792850146914794E-6</v>
      </c>
      <c r="W158" s="386">
        <f t="shared" si="865"/>
        <v>-6.271462933895668E-6</v>
      </c>
      <c r="X158" s="386">
        <f t="shared" si="866"/>
        <v>-6.1244690188035933E-6</v>
      </c>
      <c r="Y158" s="386">
        <f t="shared" ref="Y158:Y191" si="948">BF158/Y$8</f>
        <v>-6.1244690188035933E-6</v>
      </c>
      <c r="Z158" s="375">
        <f t="shared" si="938"/>
        <v>-3.7327489426969422E-6</v>
      </c>
      <c r="AA158" s="375">
        <f t="shared" si="869"/>
        <v>-1.380312270725133E-6</v>
      </c>
      <c r="AB158" s="386">
        <f t="shared" si="870"/>
        <v>0</v>
      </c>
      <c r="AC158" s="386">
        <f t="shared" si="916"/>
        <v>0</v>
      </c>
      <c r="AD158" s="386">
        <f t="shared" si="917"/>
        <v>-1.9609209339772149E-6</v>
      </c>
      <c r="AE158" s="386">
        <f t="shared" si="918"/>
        <v>-1.4190198206211168E-6</v>
      </c>
      <c r="AF158" s="386">
        <f t="shared" si="919"/>
        <v>-1.380312270725133E-6</v>
      </c>
      <c r="AG158" s="375">
        <f t="shared" si="920"/>
        <v>-1.39296005527839E-6</v>
      </c>
      <c r="AH158" s="375">
        <f t="shared" si="921"/>
        <v>-2.7908920846295319E-7</v>
      </c>
      <c r="AI158" s="386">
        <f t="shared" si="922"/>
        <v>-2.9701054074241319E-7</v>
      </c>
      <c r="AJ158" s="386">
        <f t="shared" si="923"/>
        <v>-2.8805607390232826E-7</v>
      </c>
      <c r="AK158" s="386">
        <f t="shared" si="924"/>
        <v>-2.8131855836474334E-7</v>
      </c>
      <c r="AL158" s="377">
        <f t="shared" si="925"/>
        <v>0</v>
      </c>
      <c r="AM158" s="377">
        <f t="shared" si="926"/>
        <v>0</v>
      </c>
      <c r="AN158" s="377">
        <f t="shared" si="927"/>
        <v>0</v>
      </c>
      <c r="AO158" s="283"/>
      <c r="AP158" s="295">
        <f t="shared" si="888"/>
        <v>0.19208800000000001</v>
      </c>
      <c r="AQ158" s="183">
        <f t="shared" si="893"/>
        <v>0</v>
      </c>
      <c r="AR158" s="94">
        <f t="shared" si="900"/>
        <v>0</v>
      </c>
      <c r="AS158" s="94">
        <f t="shared" si="907"/>
        <v>0.19208800000000001</v>
      </c>
      <c r="AT158" s="94">
        <f t="shared" si="908"/>
        <v>0.19208800000000001</v>
      </c>
      <c r="AU158" s="94">
        <v>0.19208800000000001</v>
      </c>
      <c r="AV158" s="94">
        <v>0</v>
      </c>
      <c r="AW158" s="94">
        <v>0</v>
      </c>
      <c r="AX158" s="94">
        <v>0</v>
      </c>
      <c r="AY158" s="94">
        <v>0</v>
      </c>
      <c r="AZ158" s="433">
        <v>0</v>
      </c>
      <c r="BA158" s="1008">
        <v>0</v>
      </c>
      <c r="BB158" s="409">
        <v>0</v>
      </c>
      <c r="BC158" s="1025">
        <v>-0.19208800000000001</v>
      </c>
      <c r="BD158" s="1030">
        <v>-0.19208800000000001</v>
      </c>
      <c r="BE158" s="389">
        <v>-0.19208800000000001</v>
      </c>
      <c r="BF158" s="516">
        <v>-0.19208800000000001</v>
      </c>
      <c r="BG158" s="207">
        <f>-0.125374</f>
        <v>-0.12537400000000001</v>
      </c>
      <c r="BH158" s="207">
        <v>-5.4437899999999997E-2</v>
      </c>
      <c r="BI158" s="389">
        <v>0</v>
      </c>
      <c r="BJ158" s="516">
        <v>0</v>
      </c>
      <c r="BK158" s="516">
        <v>-6.6713999999999996E-2</v>
      </c>
      <c r="BL158" s="516">
        <v>-5.4437899999999997E-2</v>
      </c>
      <c r="BM158" s="516">
        <v>-5.4437899999999997E-2</v>
      </c>
      <c r="BN158" s="1054">
        <v>-5.4437899999999997E-2</v>
      </c>
      <c r="BO158" s="207">
        <v>-1.2275950000000001E-2</v>
      </c>
      <c r="BP158" s="389">
        <v>-1.2275950000000001E-2</v>
      </c>
      <c r="BQ158" s="389">
        <v>-1.2275950000000001E-2</v>
      </c>
      <c r="BR158" s="389">
        <v>-1.2275950000000001E-2</v>
      </c>
      <c r="BS158" s="296">
        <v>0</v>
      </c>
      <c r="BT158" s="296">
        <v>0</v>
      </c>
      <c r="BU158" s="296">
        <v>0</v>
      </c>
      <c r="BV158" s="1054">
        <v>0</v>
      </c>
      <c r="BW158" s="1011">
        <v>0</v>
      </c>
      <c r="BX158" s="442" t="s">
        <v>1108</v>
      </c>
    </row>
    <row r="159" spans="1:78" s="1" customFormat="1" ht="87" hidden="1" customHeight="1" outlineLevel="1" x14ac:dyDescent="0.25">
      <c r="A159" s="678">
        <v>50</v>
      </c>
      <c r="B159" s="702" t="s">
        <v>69</v>
      </c>
      <c r="C159" s="697" t="s">
        <v>701</v>
      </c>
      <c r="D159" s="63">
        <v>44251</v>
      </c>
      <c r="E159" s="463" t="s">
        <v>1150</v>
      </c>
      <c r="F159" s="542" t="s">
        <v>701</v>
      </c>
      <c r="G159" s="95" t="s">
        <v>24</v>
      </c>
      <c r="H159" s="311" t="s">
        <v>129</v>
      </c>
      <c r="I159" s="335"/>
      <c r="J159" s="294">
        <f t="shared" si="884"/>
        <v>0</v>
      </c>
      <c r="K159" s="52">
        <f t="shared" si="885"/>
        <v>0</v>
      </c>
      <c r="L159" s="52">
        <f t="shared" si="855"/>
        <v>9.2921890303623901E-5</v>
      </c>
      <c r="M159" s="52">
        <f t="shared" si="909"/>
        <v>9.6797014757937292E-5</v>
      </c>
      <c r="N159" s="52">
        <f t="shared" si="910"/>
        <v>9.0148682642473275E-5</v>
      </c>
      <c r="O159" s="52">
        <f t="shared" si="911"/>
        <v>0</v>
      </c>
      <c r="P159" s="52">
        <f t="shared" si="912"/>
        <v>0</v>
      </c>
      <c r="Q159" s="52">
        <f t="shared" si="913"/>
        <v>0</v>
      </c>
      <c r="R159" s="52">
        <f t="shared" si="914"/>
        <v>0</v>
      </c>
      <c r="S159" s="527">
        <f t="shared" si="886"/>
        <v>0</v>
      </c>
      <c r="T159" s="533">
        <f t="shared" si="915"/>
        <v>0</v>
      </c>
      <c r="U159" s="375">
        <f t="shared" si="905"/>
        <v>0</v>
      </c>
      <c r="V159" s="375">
        <f t="shared" si="864"/>
        <v>-9.2921890303623901E-5</v>
      </c>
      <c r="W159" s="386">
        <f t="shared" si="865"/>
        <v>-9.9120248351708339E-5</v>
      </c>
      <c r="X159" s="386">
        <f t="shared" si="866"/>
        <v>-9.6797014757937292E-5</v>
      </c>
      <c r="Y159" s="386">
        <f t="shared" si="948"/>
        <v>-9.6797014757937292E-5</v>
      </c>
      <c r="Z159" s="375">
        <f t="shared" si="938"/>
        <v>-9.0148682642473275E-5</v>
      </c>
      <c r="AA159" s="375">
        <f t="shared" si="869"/>
        <v>0</v>
      </c>
      <c r="AB159" s="386">
        <f t="shared" si="870"/>
        <v>0</v>
      </c>
      <c r="AC159" s="386">
        <f t="shared" si="916"/>
        <v>0</v>
      </c>
      <c r="AD159" s="386">
        <f t="shared" si="917"/>
        <v>0</v>
      </c>
      <c r="AE159" s="386">
        <f t="shared" si="918"/>
        <v>0</v>
      </c>
      <c r="AF159" s="386">
        <f t="shared" si="919"/>
        <v>0</v>
      </c>
      <c r="AG159" s="375">
        <f t="shared" si="920"/>
        <v>0</v>
      </c>
      <c r="AH159" s="375">
        <f t="shared" si="921"/>
        <v>0</v>
      </c>
      <c r="AI159" s="386">
        <f t="shared" si="922"/>
        <v>0</v>
      </c>
      <c r="AJ159" s="386">
        <f t="shared" si="923"/>
        <v>0</v>
      </c>
      <c r="AK159" s="386">
        <f t="shared" si="924"/>
        <v>0</v>
      </c>
      <c r="AL159" s="377">
        <f t="shared" si="925"/>
        <v>0</v>
      </c>
      <c r="AM159" s="377">
        <f t="shared" si="926"/>
        <v>0</v>
      </c>
      <c r="AN159" s="377">
        <f t="shared" si="927"/>
        <v>0</v>
      </c>
      <c r="AO159" s="283"/>
      <c r="AP159" s="295">
        <f t="shared" si="888"/>
        <v>3.0278759999999996</v>
      </c>
      <c r="AQ159" s="183">
        <f t="shared" si="893"/>
        <v>0</v>
      </c>
      <c r="AR159" s="94">
        <f t="shared" si="900"/>
        <v>0</v>
      </c>
      <c r="AS159" s="94">
        <f t="shared" si="907"/>
        <v>3.0359440000000002</v>
      </c>
      <c r="AT159" s="94">
        <f t="shared" si="908"/>
        <v>3.0359440000000002</v>
      </c>
      <c r="AU159" s="94">
        <f t="shared" si="896"/>
        <v>3.0278759999999996</v>
      </c>
      <c r="AV159" s="94">
        <f t="shared" ref="AV159:AV180" si="949">-BH159</f>
        <v>0</v>
      </c>
      <c r="AW159" s="94">
        <f t="shared" si="897"/>
        <v>0</v>
      </c>
      <c r="AX159" s="94">
        <f t="shared" ref="AX159:AX198" si="950">-BN159</f>
        <v>0</v>
      </c>
      <c r="AY159" s="94">
        <f t="shared" si="898"/>
        <v>0</v>
      </c>
      <c r="AZ159" s="433">
        <f t="shared" si="899"/>
        <v>0</v>
      </c>
      <c r="BA159" s="1008">
        <v>0</v>
      </c>
      <c r="BB159" s="409">
        <v>0</v>
      </c>
      <c r="BC159" s="1025">
        <v>-3.0359440000000002</v>
      </c>
      <c r="BD159" s="1030">
        <v>-3.0359440000000002</v>
      </c>
      <c r="BE159" s="389">
        <v>-3.0359440000000002</v>
      </c>
      <c r="BF159" s="516">
        <v>-3.0359440000000002</v>
      </c>
      <c r="BG159" s="207">
        <f>-2.662219-0.3627-0.002957</f>
        <v>-3.0278759999999996</v>
      </c>
      <c r="BH159" s="207">
        <v>0</v>
      </c>
      <c r="BI159" s="389">
        <v>0</v>
      </c>
      <c r="BJ159" s="516">
        <v>0</v>
      </c>
      <c r="BK159" s="516">
        <v>0</v>
      </c>
      <c r="BL159" s="516">
        <v>0</v>
      </c>
      <c r="BM159" s="516">
        <v>0</v>
      </c>
      <c r="BN159" s="409">
        <v>0</v>
      </c>
      <c r="BO159" s="207">
        <v>0</v>
      </c>
      <c r="BP159" s="389">
        <v>0</v>
      </c>
      <c r="BQ159" s="389">
        <v>0</v>
      </c>
      <c r="BR159" s="389">
        <v>0</v>
      </c>
      <c r="BS159" s="296">
        <v>0</v>
      </c>
      <c r="BT159" s="296">
        <v>0</v>
      </c>
      <c r="BU159" s="296">
        <v>0</v>
      </c>
      <c r="BV159" s="409">
        <v>0</v>
      </c>
      <c r="BW159" s="1011">
        <f t="shared" si="906"/>
        <v>0</v>
      </c>
      <c r="BX159" s="442" t="s">
        <v>1151</v>
      </c>
    </row>
    <row r="160" spans="1:78" s="1" customFormat="1" ht="159.6" hidden="1" customHeight="1" outlineLevel="1" x14ac:dyDescent="0.25">
      <c r="A160" s="678">
        <v>51</v>
      </c>
      <c r="B160" s="702" t="s">
        <v>69</v>
      </c>
      <c r="C160" s="697" t="s">
        <v>1737</v>
      </c>
      <c r="D160" s="63">
        <v>44273</v>
      </c>
      <c r="E160" s="463" t="s">
        <v>1328</v>
      </c>
      <c r="F160" s="542" t="s">
        <v>408</v>
      </c>
      <c r="G160" s="95" t="s">
        <v>24</v>
      </c>
      <c r="H160" s="311" t="s">
        <v>129</v>
      </c>
      <c r="I160" s="335"/>
      <c r="J160" s="294">
        <f t="shared" si="884"/>
        <v>0</v>
      </c>
      <c r="K160" s="52">
        <f t="shared" si="885"/>
        <v>0</v>
      </c>
      <c r="L160" s="52">
        <f t="shared" si="855"/>
        <v>2.8306758080313418E-4</v>
      </c>
      <c r="M160" s="52">
        <f t="shared" si="909"/>
        <v>2.9487235684685589E-4</v>
      </c>
      <c r="N160" s="52">
        <f t="shared" si="910"/>
        <v>2.753513136507993E-4</v>
      </c>
      <c r="O160" s="52">
        <f t="shared" si="911"/>
        <v>0</v>
      </c>
      <c r="P160" s="52">
        <f t="shared" si="912"/>
        <v>0</v>
      </c>
      <c r="Q160" s="52">
        <f t="shared" si="913"/>
        <v>0</v>
      </c>
      <c r="R160" s="52">
        <f t="shared" si="914"/>
        <v>0</v>
      </c>
      <c r="S160" s="527">
        <f t="shared" si="886"/>
        <v>0</v>
      </c>
      <c r="T160" s="533">
        <f t="shared" si="915"/>
        <v>0</v>
      </c>
      <c r="U160" s="375">
        <f t="shared" si="905"/>
        <v>0</v>
      </c>
      <c r="V160" s="375">
        <f t="shared" si="864"/>
        <v>-2.8306758080313418E-4</v>
      </c>
      <c r="W160" s="386">
        <f t="shared" si="865"/>
        <v>0</v>
      </c>
      <c r="X160" s="386">
        <f t="shared" si="866"/>
        <v>-2.9487235684685589E-4</v>
      </c>
      <c r="Y160" s="386">
        <f t="shared" si="948"/>
        <v>-2.9487235684685589E-4</v>
      </c>
      <c r="Z160" s="375">
        <f t="shared" si="938"/>
        <v>-2.753513136507993E-4</v>
      </c>
      <c r="AA160" s="375">
        <f t="shared" si="869"/>
        <v>0</v>
      </c>
      <c r="AB160" s="386">
        <f t="shared" si="870"/>
        <v>0</v>
      </c>
      <c r="AC160" s="386">
        <f t="shared" si="916"/>
        <v>0</v>
      </c>
      <c r="AD160" s="386">
        <f t="shared" si="917"/>
        <v>0</v>
      </c>
      <c r="AE160" s="386">
        <f t="shared" si="918"/>
        <v>0</v>
      </c>
      <c r="AF160" s="386">
        <f t="shared" si="919"/>
        <v>0</v>
      </c>
      <c r="AG160" s="375">
        <f t="shared" si="920"/>
        <v>0</v>
      </c>
      <c r="AH160" s="375">
        <f t="shared" si="921"/>
        <v>0</v>
      </c>
      <c r="AI160" s="386">
        <f t="shared" si="922"/>
        <v>0</v>
      </c>
      <c r="AJ160" s="386">
        <f t="shared" si="923"/>
        <v>0</v>
      </c>
      <c r="AK160" s="386">
        <f t="shared" si="924"/>
        <v>0</v>
      </c>
      <c r="AL160" s="377">
        <f t="shared" si="925"/>
        <v>0</v>
      </c>
      <c r="AM160" s="377">
        <f t="shared" si="926"/>
        <v>0</v>
      </c>
      <c r="AN160" s="377">
        <f t="shared" si="927"/>
        <v>0</v>
      </c>
      <c r="AO160" s="283"/>
      <c r="AP160" s="295">
        <f t="shared" si="888"/>
        <v>9.2483839999999997</v>
      </c>
      <c r="AQ160" s="183">
        <f t="shared" si="893"/>
        <v>0</v>
      </c>
      <c r="AR160" s="94">
        <f t="shared" si="900"/>
        <v>0</v>
      </c>
      <c r="AS160" s="94">
        <f t="shared" si="907"/>
        <v>9.2483839999999997</v>
      </c>
      <c r="AT160" s="94">
        <f t="shared" si="908"/>
        <v>9.2483839999999997</v>
      </c>
      <c r="AU160" s="94">
        <f t="shared" si="896"/>
        <v>9.2483839999999997</v>
      </c>
      <c r="AV160" s="94">
        <f t="shared" si="949"/>
        <v>0</v>
      </c>
      <c r="AW160" s="94">
        <f t="shared" si="897"/>
        <v>0</v>
      </c>
      <c r="AX160" s="94">
        <f t="shared" si="950"/>
        <v>0</v>
      </c>
      <c r="AY160" s="94">
        <f t="shared" si="898"/>
        <v>0</v>
      </c>
      <c r="AZ160" s="433">
        <f t="shared" si="899"/>
        <v>0</v>
      </c>
      <c r="BA160" s="1008">
        <v>0</v>
      </c>
      <c r="BB160" s="409">
        <v>0</v>
      </c>
      <c r="BC160" s="1025">
        <v>-9.2483839999999997</v>
      </c>
      <c r="BD160" s="1030">
        <v>0</v>
      </c>
      <c r="BE160" s="389">
        <v>-9.2483839999999997</v>
      </c>
      <c r="BF160" s="516">
        <v>-9.2483839999999997</v>
      </c>
      <c r="BG160" s="207">
        <f>-9.066388-0.181996</f>
        <v>-9.2483839999999997</v>
      </c>
      <c r="BH160" s="207">
        <v>0</v>
      </c>
      <c r="BI160" s="389">
        <v>0</v>
      </c>
      <c r="BJ160" s="516">
        <v>0</v>
      </c>
      <c r="BK160" s="516">
        <v>0</v>
      </c>
      <c r="BL160" s="516">
        <v>0</v>
      </c>
      <c r="BM160" s="516">
        <v>0</v>
      </c>
      <c r="BN160" s="409">
        <v>0</v>
      </c>
      <c r="BO160" s="207">
        <v>0</v>
      </c>
      <c r="BP160" s="389">
        <v>0</v>
      </c>
      <c r="BQ160" s="389">
        <v>0</v>
      </c>
      <c r="BR160" s="389">
        <v>0</v>
      </c>
      <c r="BS160" s="296">
        <v>0</v>
      </c>
      <c r="BT160" s="296">
        <v>0</v>
      </c>
      <c r="BU160" s="296">
        <v>0</v>
      </c>
      <c r="BV160" s="409">
        <v>0</v>
      </c>
      <c r="BW160" s="1011">
        <f t="shared" si="906"/>
        <v>0</v>
      </c>
      <c r="BX160" s="442" t="s">
        <v>1213</v>
      </c>
      <c r="BZ160" s="650"/>
    </row>
    <row r="161" spans="1:78" s="1" customFormat="1" ht="57.95" hidden="1" customHeight="1" outlineLevel="1" x14ac:dyDescent="0.25">
      <c r="A161" s="678">
        <v>52</v>
      </c>
      <c r="B161" s="702" t="s">
        <v>69</v>
      </c>
      <c r="C161" s="697" t="s">
        <v>1738</v>
      </c>
      <c r="D161" s="63" t="s">
        <v>1796</v>
      </c>
      <c r="E161" s="463" t="s">
        <v>1329</v>
      </c>
      <c r="F161" s="542" t="s">
        <v>1221</v>
      </c>
      <c r="G161" s="95" t="s">
        <v>24</v>
      </c>
      <c r="H161" s="311" t="s">
        <v>129</v>
      </c>
      <c r="I161" s="335"/>
      <c r="J161" s="294">
        <f t="shared" si="884"/>
        <v>0</v>
      </c>
      <c r="K161" s="52">
        <f t="shared" si="885"/>
        <v>0</v>
      </c>
      <c r="L161" s="52">
        <f t="shared" si="855"/>
        <v>3.9942672624877574E-5</v>
      </c>
      <c r="M161" s="52">
        <f t="shared" si="909"/>
        <v>4.1608403132011482E-5</v>
      </c>
      <c r="N161" s="52">
        <f t="shared" si="910"/>
        <v>3.8141123538555734E-5</v>
      </c>
      <c r="O161" s="52">
        <f t="shared" si="911"/>
        <v>0</v>
      </c>
      <c r="P161" s="52">
        <f t="shared" si="912"/>
        <v>0</v>
      </c>
      <c r="Q161" s="52">
        <f t="shared" si="913"/>
        <v>0</v>
      </c>
      <c r="R161" s="52">
        <f t="shared" si="914"/>
        <v>0</v>
      </c>
      <c r="S161" s="527">
        <f t="shared" si="886"/>
        <v>0</v>
      </c>
      <c r="T161" s="533">
        <f t="shared" si="915"/>
        <v>0</v>
      </c>
      <c r="U161" s="375">
        <f t="shared" si="905"/>
        <v>0</v>
      </c>
      <c r="V161" s="375">
        <f t="shared" si="864"/>
        <v>-3.9942672624877574E-5</v>
      </c>
      <c r="W161" s="386">
        <f t="shared" si="865"/>
        <v>0</v>
      </c>
      <c r="X161" s="386">
        <f t="shared" si="866"/>
        <v>-3.8357736175496227E-5</v>
      </c>
      <c r="Y161" s="386">
        <f t="shared" si="948"/>
        <v>-3.8357736175496227E-5</v>
      </c>
      <c r="Z161" s="375">
        <f t="shared" si="938"/>
        <v>-3.8141123538555734E-5</v>
      </c>
      <c r="AA161" s="375">
        <f t="shared" si="869"/>
        <v>0</v>
      </c>
      <c r="AB161" s="386">
        <f t="shared" si="870"/>
        <v>0</v>
      </c>
      <c r="AC161" s="386">
        <f t="shared" si="916"/>
        <v>0</v>
      </c>
      <c r="AD161" s="386">
        <f t="shared" si="917"/>
        <v>0</v>
      </c>
      <c r="AE161" s="386">
        <f t="shared" si="918"/>
        <v>0</v>
      </c>
      <c r="AF161" s="386">
        <f t="shared" si="919"/>
        <v>0</v>
      </c>
      <c r="AG161" s="375">
        <f t="shared" si="920"/>
        <v>0</v>
      </c>
      <c r="AH161" s="375">
        <f t="shared" si="921"/>
        <v>0</v>
      </c>
      <c r="AI161" s="386">
        <f t="shared" si="922"/>
        <v>0</v>
      </c>
      <c r="AJ161" s="386">
        <f t="shared" si="923"/>
        <v>0</v>
      </c>
      <c r="AK161" s="386">
        <f t="shared" si="924"/>
        <v>0</v>
      </c>
      <c r="AL161" s="377">
        <f t="shared" si="925"/>
        <v>0</v>
      </c>
      <c r="AM161" s="377">
        <f t="shared" si="926"/>
        <v>0</v>
      </c>
      <c r="AN161" s="377">
        <f t="shared" si="927"/>
        <v>0</v>
      </c>
      <c r="AO161" s="283"/>
      <c r="AP161" s="295">
        <f t="shared" ref="AP161:AP193" si="951">AR161+AU161+AZ161+AW161+AY161</f>
        <v>1.2810680000000001</v>
      </c>
      <c r="AQ161" s="183">
        <f t="shared" si="893"/>
        <v>0</v>
      </c>
      <c r="AR161" s="94">
        <f t="shared" si="900"/>
        <v>0</v>
      </c>
      <c r="AS161" s="94">
        <f t="shared" si="907"/>
        <v>1.305007</v>
      </c>
      <c r="AT161" s="94">
        <f t="shared" si="908"/>
        <v>1.305007</v>
      </c>
      <c r="AU161" s="94">
        <f t="shared" si="896"/>
        <v>1.2810680000000001</v>
      </c>
      <c r="AV161" s="94">
        <f t="shared" si="949"/>
        <v>0</v>
      </c>
      <c r="AW161" s="94">
        <f t="shared" si="897"/>
        <v>0</v>
      </c>
      <c r="AX161" s="94">
        <f t="shared" si="950"/>
        <v>0</v>
      </c>
      <c r="AY161" s="94">
        <f t="shared" si="898"/>
        <v>0</v>
      </c>
      <c r="AZ161" s="433">
        <f t="shared" si="899"/>
        <v>0</v>
      </c>
      <c r="BA161" s="1008">
        <v>0</v>
      </c>
      <c r="BB161" s="409">
        <v>0</v>
      </c>
      <c r="BC161" s="1033">
        <f>-1.203053-0.101954</f>
        <v>-1.305007</v>
      </c>
      <c r="BD161" s="1030">
        <v>0</v>
      </c>
      <c r="BE161" s="389">
        <v>-1.2030529999999999</v>
      </c>
      <c r="BF161" s="516">
        <v>-1.2030529999999999</v>
      </c>
      <c r="BG161" s="207">
        <f>-1.281068</f>
        <v>-1.2810680000000001</v>
      </c>
      <c r="BH161" s="207">
        <v>0</v>
      </c>
      <c r="BI161" s="389">
        <v>0</v>
      </c>
      <c r="BJ161" s="516">
        <v>0</v>
      </c>
      <c r="BK161" s="516">
        <v>0</v>
      </c>
      <c r="BL161" s="516">
        <v>0</v>
      </c>
      <c r="BM161" s="516">
        <v>0</v>
      </c>
      <c r="BN161" s="409">
        <v>0</v>
      </c>
      <c r="BO161" s="207">
        <v>0</v>
      </c>
      <c r="BP161" s="389">
        <v>0</v>
      </c>
      <c r="BQ161" s="389">
        <v>0</v>
      </c>
      <c r="BR161" s="389">
        <v>0</v>
      </c>
      <c r="BS161" s="296">
        <v>0</v>
      </c>
      <c r="BT161" s="296">
        <v>0</v>
      </c>
      <c r="BU161" s="296">
        <v>0</v>
      </c>
      <c r="BV161" s="409">
        <v>0</v>
      </c>
      <c r="BW161" s="1011">
        <f t="shared" si="906"/>
        <v>0</v>
      </c>
      <c r="BX161" s="442" t="s">
        <v>1797</v>
      </c>
    </row>
    <row r="162" spans="1:78" s="1" customFormat="1" ht="43.5" hidden="1" customHeight="1" outlineLevel="1" x14ac:dyDescent="0.25">
      <c r="A162" s="678">
        <v>53</v>
      </c>
      <c r="B162" s="702" t="s">
        <v>69</v>
      </c>
      <c r="C162" s="697" t="s">
        <v>1738</v>
      </c>
      <c r="D162" s="63" t="s">
        <v>1794</v>
      </c>
      <c r="E162" s="1222" t="s">
        <v>1348</v>
      </c>
      <c r="F162" s="542" t="s">
        <v>1286</v>
      </c>
      <c r="G162" s="95" t="s">
        <v>24</v>
      </c>
      <c r="H162" s="311" t="s">
        <v>129</v>
      </c>
      <c r="I162" s="335"/>
      <c r="J162" s="294">
        <f t="shared" si="884"/>
        <v>0</v>
      </c>
      <c r="K162" s="52">
        <f t="shared" si="885"/>
        <v>0</v>
      </c>
      <c r="L162" s="52">
        <f t="shared" si="855"/>
        <v>3.7093596963761015E-5</v>
      </c>
      <c r="M162" s="52">
        <f t="shared" si="909"/>
        <v>3.8640512380817587E-5</v>
      </c>
      <c r="N162" s="52">
        <f t="shared" si="910"/>
        <v>3.4302025757795769E-5</v>
      </c>
      <c r="O162" s="52">
        <f t="shared" si="911"/>
        <v>0</v>
      </c>
      <c r="P162" s="52">
        <f t="shared" si="912"/>
        <v>0</v>
      </c>
      <c r="Q162" s="52">
        <f t="shared" si="913"/>
        <v>0</v>
      </c>
      <c r="R162" s="52">
        <f t="shared" si="914"/>
        <v>0</v>
      </c>
      <c r="S162" s="527">
        <f t="shared" si="886"/>
        <v>0</v>
      </c>
      <c r="T162" s="533">
        <f t="shared" si="915"/>
        <v>0</v>
      </c>
      <c r="U162" s="375">
        <f t="shared" si="905"/>
        <v>0</v>
      </c>
      <c r="V162" s="375">
        <f t="shared" si="864"/>
        <v>-3.7093596963761015E-5</v>
      </c>
      <c r="W162" s="386">
        <f t="shared" si="865"/>
        <v>0</v>
      </c>
      <c r="X162" s="386">
        <f t="shared" si="866"/>
        <v>-3.3060584438875359E-5</v>
      </c>
      <c r="Y162" s="386">
        <f t="shared" si="948"/>
        <v>-3.3060584438875359E-5</v>
      </c>
      <c r="Z162" s="375">
        <f t="shared" si="938"/>
        <v>-3.4302025757795769E-5</v>
      </c>
      <c r="AA162" s="375">
        <f t="shared" si="869"/>
        <v>0</v>
      </c>
      <c r="AB162" s="386">
        <f t="shared" si="870"/>
        <v>0</v>
      </c>
      <c r="AC162" s="386">
        <f t="shared" si="916"/>
        <v>0</v>
      </c>
      <c r="AD162" s="386">
        <f t="shared" si="917"/>
        <v>0</v>
      </c>
      <c r="AE162" s="386">
        <f t="shared" si="918"/>
        <v>0</v>
      </c>
      <c r="AF162" s="386">
        <f t="shared" si="919"/>
        <v>0</v>
      </c>
      <c r="AG162" s="375">
        <f t="shared" si="920"/>
        <v>0</v>
      </c>
      <c r="AH162" s="375">
        <f t="shared" si="921"/>
        <v>0</v>
      </c>
      <c r="AI162" s="386">
        <f t="shared" si="922"/>
        <v>0</v>
      </c>
      <c r="AJ162" s="386">
        <f t="shared" si="923"/>
        <v>0</v>
      </c>
      <c r="AK162" s="386">
        <f t="shared" si="924"/>
        <v>0</v>
      </c>
      <c r="AL162" s="377">
        <f t="shared" si="925"/>
        <v>0</v>
      </c>
      <c r="AM162" s="377">
        <f t="shared" si="926"/>
        <v>0</v>
      </c>
      <c r="AN162" s="377">
        <f t="shared" si="927"/>
        <v>0</v>
      </c>
      <c r="AO162" s="283"/>
      <c r="AP162" s="295">
        <f t="shared" si="951"/>
        <v>1.1521220000000001</v>
      </c>
      <c r="AQ162" s="183">
        <f t="shared" si="893"/>
        <v>0</v>
      </c>
      <c r="AR162" s="94">
        <f t="shared" si="900"/>
        <v>0</v>
      </c>
      <c r="AS162" s="94">
        <f>-BC162</f>
        <v>1.2119219999999999</v>
      </c>
      <c r="AT162" s="94">
        <f t="shared" si="908"/>
        <v>1.2119219999999999</v>
      </c>
      <c r="AU162" s="94">
        <f t="shared" si="896"/>
        <v>1.1521220000000001</v>
      </c>
      <c r="AV162" s="94">
        <f t="shared" si="949"/>
        <v>0</v>
      </c>
      <c r="AW162" s="94">
        <f t="shared" si="897"/>
        <v>0</v>
      </c>
      <c r="AX162" s="94">
        <f t="shared" si="950"/>
        <v>0</v>
      </c>
      <c r="AY162" s="94">
        <f t="shared" si="898"/>
        <v>0</v>
      </c>
      <c r="AZ162" s="433">
        <f t="shared" si="899"/>
        <v>0</v>
      </c>
      <c r="BA162" s="1008">
        <v>0</v>
      </c>
      <c r="BB162" s="409">
        <v>0</v>
      </c>
      <c r="BC162" s="1033">
        <f>-1.036913-0.175009</f>
        <v>-1.2119219999999999</v>
      </c>
      <c r="BD162" s="1030">
        <v>0</v>
      </c>
      <c r="BE162" s="389">
        <v>-1.036913</v>
      </c>
      <c r="BF162" s="516">
        <v>-1.036913</v>
      </c>
      <c r="BG162" s="207">
        <f>-1.152122</f>
        <v>-1.1521220000000001</v>
      </c>
      <c r="BH162" s="207">
        <v>0</v>
      </c>
      <c r="BI162" s="389">
        <v>0</v>
      </c>
      <c r="BJ162" s="516">
        <v>0</v>
      </c>
      <c r="BK162" s="516">
        <v>0</v>
      </c>
      <c r="BL162" s="516">
        <v>0</v>
      </c>
      <c r="BM162" s="516">
        <v>0</v>
      </c>
      <c r="BN162" s="409">
        <v>0</v>
      </c>
      <c r="BO162" s="207">
        <v>0</v>
      </c>
      <c r="BP162" s="389">
        <v>0</v>
      </c>
      <c r="BQ162" s="389">
        <v>0</v>
      </c>
      <c r="BR162" s="389">
        <v>0</v>
      </c>
      <c r="BS162" s="296">
        <v>0</v>
      </c>
      <c r="BT162" s="296">
        <v>0</v>
      </c>
      <c r="BU162" s="296">
        <v>0</v>
      </c>
      <c r="BV162" s="409">
        <v>0</v>
      </c>
      <c r="BW162" s="1011">
        <f t="shared" si="906"/>
        <v>0</v>
      </c>
      <c r="BX162" s="442" t="s">
        <v>1793</v>
      </c>
    </row>
    <row r="163" spans="1:78" s="1" customFormat="1" ht="57.95" hidden="1" customHeight="1" outlineLevel="1" x14ac:dyDescent="0.25">
      <c r="A163" s="678">
        <v>54</v>
      </c>
      <c r="B163" s="702" t="s">
        <v>69</v>
      </c>
      <c r="C163" s="697" t="s">
        <v>1738</v>
      </c>
      <c r="D163" s="63" t="s">
        <v>1795</v>
      </c>
      <c r="E163" s="1223"/>
      <c r="F163" s="542" t="s">
        <v>1287</v>
      </c>
      <c r="G163" s="95" t="s">
        <v>709</v>
      </c>
      <c r="H163" s="311" t="s">
        <v>129</v>
      </c>
      <c r="I163" s="335"/>
      <c r="J163" s="294">
        <f t="shared" si="884"/>
        <v>0</v>
      </c>
      <c r="K163" s="52">
        <f t="shared" si="885"/>
        <v>0</v>
      </c>
      <c r="L163" s="52">
        <f t="shared" si="855"/>
        <v>3.4774700048971587E-5</v>
      </c>
      <c r="M163" s="52">
        <f t="shared" si="909"/>
        <v>3.622491043654403E-5</v>
      </c>
      <c r="N163" s="52">
        <f t="shared" si="910"/>
        <v>3.2788132779680255E-5</v>
      </c>
      <c r="O163" s="52">
        <f t="shared" si="911"/>
        <v>0</v>
      </c>
      <c r="P163" s="52">
        <f t="shared" si="912"/>
        <v>0</v>
      </c>
      <c r="Q163" s="52">
        <f t="shared" si="913"/>
        <v>0</v>
      </c>
      <c r="R163" s="52">
        <f t="shared" si="914"/>
        <v>0</v>
      </c>
      <c r="S163" s="527">
        <f t="shared" si="886"/>
        <v>0</v>
      </c>
      <c r="T163" s="533">
        <f t="shared" si="915"/>
        <v>0</v>
      </c>
      <c r="U163" s="375">
        <f t="shared" si="905"/>
        <v>0</v>
      </c>
      <c r="V163" s="375">
        <f t="shared" si="864"/>
        <v>-3.4774700048971587E-5</v>
      </c>
      <c r="W163" s="386">
        <f t="shared" si="865"/>
        <v>0</v>
      </c>
      <c r="X163" s="386">
        <f t="shared" si="866"/>
        <v>-1.450903060496852E-4</v>
      </c>
      <c r="Y163" s="386">
        <f t="shared" si="948"/>
        <v>-1.450903060496852E-4</v>
      </c>
      <c r="Z163" s="375">
        <f t="shared" si="938"/>
        <v>-3.2788132779680255E-5</v>
      </c>
      <c r="AA163" s="375">
        <f t="shared" si="869"/>
        <v>0</v>
      </c>
      <c r="AB163" s="386">
        <f t="shared" si="870"/>
        <v>0</v>
      </c>
      <c r="AC163" s="386">
        <f t="shared" si="916"/>
        <v>0</v>
      </c>
      <c r="AD163" s="386">
        <f t="shared" si="917"/>
        <v>0</v>
      </c>
      <c r="AE163" s="386">
        <f t="shared" si="918"/>
        <v>0</v>
      </c>
      <c r="AF163" s="386">
        <f t="shared" si="919"/>
        <v>0</v>
      </c>
      <c r="AG163" s="375">
        <f t="shared" si="920"/>
        <v>0</v>
      </c>
      <c r="AH163" s="375">
        <f t="shared" si="921"/>
        <v>0</v>
      </c>
      <c r="AI163" s="386">
        <f t="shared" si="922"/>
        <v>0</v>
      </c>
      <c r="AJ163" s="386">
        <f t="shared" si="923"/>
        <v>0</v>
      </c>
      <c r="AK163" s="386">
        <f t="shared" si="924"/>
        <v>0</v>
      </c>
      <c r="AL163" s="377">
        <f t="shared" si="925"/>
        <v>0</v>
      </c>
      <c r="AM163" s="377">
        <f t="shared" si="926"/>
        <v>0</v>
      </c>
      <c r="AN163" s="377">
        <f t="shared" si="927"/>
        <v>0</v>
      </c>
      <c r="AO163" s="283"/>
      <c r="AP163" s="295">
        <f t="shared" si="951"/>
        <v>1.1012740000000001</v>
      </c>
      <c r="AQ163" s="183">
        <f t="shared" si="893"/>
        <v>0</v>
      </c>
      <c r="AR163" s="94">
        <f t="shared" si="900"/>
        <v>0</v>
      </c>
      <c r="AS163" s="94">
        <f t="shared" si="907"/>
        <v>1.1361589999999997</v>
      </c>
      <c r="AT163" s="94">
        <f t="shared" si="908"/>
        <v>1.1361589999999997</v>
      </c>
      <c r="AU163" s="94">
        <f t="shared" si="896"/>
        <v>1.1012740000000001</v>
      </c>
      <c r="AV163" s="94">
        <f t="shared" si="949"/>
        <v>0</v>
      </c>
      <c r="AW163" s="94">
        <f t="shared" si="897"/>
        <v>0</v>
      </c>
      <c r="AX163" s="94">
        <f t="shared" si="950"/>
        <v>0</v>
      </c>
      <c r="AY163" s="94">
        <f t="shared" si="898"/>
        <v>0</v>
      </c>
      <c r="AZ163" s="433">
        <f t="shared" si="899"/>
        <v>0</v>
      </c>
      <c r="BA163" s="1008">
        <v>0</v>
      </c>
      <c r="BB163" s="409">
        <v>0</v>
      </c>
      <c r="BC163" s="1033">
        <f>-4.550616+3.414457</f>
        <v>-1.1361589999999997</v>
      </c>
      <c r="BD163" s="1030">
        <v>0</v>
      </c>
      <c r="BE163" s="389">
        <v>-4.5506159999999998</v>
      </c>
      <c r="BF163" s="516">
        <v>-4.5506159999999998</v>
      </c>
      <c r="BG163" s="207">
        <v>-1.1012740000000001</v>
      </c>
      <c r="BH163" s="207">
        <v>0</v>
      </c>
      <c r="BI163" s="389">
        <v>0</v>
      </c>
      <c r="BJ163" s="516">
        <v>0</v>
      </c>
      <c r="BK163" s="516">
        <v>0</v>
      </c>
      <c r="BL163" s="516">
        <v>0</v>
      </c>
      <c r="BM163" s="516">
        <v>0</v>
      </c>
      <c r="BN163" s="409">
        <v>0</v>
      </c>
      <c r="BO163" s="207">
        <v>0</v>
      </c>
      <c r="BP163" s="389">
        <v>0</v>
      </c>
      <c r="BQ163" s="389">
        <v>0</v>
      </c>
      <c r="BR163" s="389">
        <v>0</v>
      </c>
      <c r="BS163" s="296">
        <v>0</v>
      </c>
      <c r="BT163" s="296">
        <v>0</v>
      </c>
      <c r="BU163" s="296">
        <v>0</v>
      </c>
      <c r="BV163" s="409">
        <v>0</v>
      </c>
      <c r="BW163" s="1011">
        <f t="shared" si="906"/>
        <v>0</v>
      </c>
      <c r="BX163" s="442" t="s">
        <v>1792</v>
      </c>
    </row>
    <row r="164" spans="1:78" s="1" customFormat="1" ht="191.1" hidden="1" customHeight="1" outlineLevel="1" x14ac:dyDescent="0.25">
      <c r="A164" s="678">
        <v>55</v>
      </c>
      <c r="B164" s="702" t="s">
        <v>69</v>
      </c>
      <c r="C164" s="697" t="s">
        <v>701</v>
      </c>
      <c r="D164" s="63" t="s">
        <v>1834</v>
      </c>
      <c r="E164" s="463" t="s">
        <v>1325</v>
      </c>
      <c r="F164" s="542" t="s">
        <v>1324</v>
      </c>
      <c r="G164" s="95" t="s">
        <v>24</v>
      </c>
      <c r="H164" s="311" t="s">
        <v>129</v>
      </c>
      <c r="I164" s="335"/>
      <c r="J164" s="294">
        <f t="shared" si="884"/>
        <v>0</v>
      </c>
      <c r="K164" s="52">
        <f t="shared" si="885"/>
        <v>0</v>
      </c>
      <c r="L164" s="52">
        <f t="shared" si="855"/>
        <v>1.6423783667972576E-3</v>
      </c>
      <c r="M164" s="52">
        <f t="shared" si="909"/>
        <v>1.7108705224305049E-3</v>
      </c>
      <c r="N164" s="52">
        <f t="shared" si="910"/>
        <v>1.5894345347129664E-3</v>
      </c>
      <c r="O164" s="52">
        <f t="shared" si="911"/>
        <v>0</v>
      </c>
      <c r="P164" s="52">
        <f t="shared" si="912"/>
        <v>0</v>
      </c>
      <c r="Q164" s="52">
        <f t="shared" si="913"/>
        <v>0</v>
      </c>
      <c r="R164" s="52">
        <f t="shared" si="914"/>
        <v>0</v>
      </c>
      <c r="S164" s="527">
        <f t="shared" si="886"/>
        <v>0</v>
      </c>
      <c r="T164" s="533">
        <f t="shared" si="915"/>
        <v>0</v>
      </c>
      <c r="U164" s="375">
        <f t="shared" si="905"/>
        <v>0</v>
      </c>
      <c r="V164" s="375">
        <f t="shared" si="864"/>
        <v>-1.6423783667972576E-3</v>
      </c>
      <c r="W164" s="386">
        <f t="shared" si="865"/>
        <v>0</v>
      </c>
      <c r="X164" s="386">
        <f t="shared" si="866"/>
        <v>-1.6658481442211465E-3</v>
      </c>
      <c r="Y164" s="386">
        <f t="shared" si="948"/>
        <v>-1.6658481442211465E-3</v>
      </c>
      <c r="Z164" s="375">
        <f t="shared" si="938"/>
        <v>-1.5894345347129664E-3</v>
      </c>
      <c r="AA164" s="375">
        <f t="shared" si="869"/>
        <v>0</v>
      </c>
      <c r="AB164" s="386">
        <f t="shared" si="870"/>
        <v>0</v>
      </c>
      <c r="AC164" s="386">
        <f t="shared" si="916"/>
        <v>0</v>
      </c>
      <c r="AD164" s="386">
        <f t="shared" si="917"/>
        <v>0</v>
      </c>
      <c r="AE164" s="386">
        <f t="shared" si="918"/>
        <v>0</v>
      </c>
      <c r="AF164" s="386">
        <f t="shared" si="919"/>
        <v>0</v>
      </c>
      <c r="AG164" s="375">
        <f t="shared" si="920"/>
        <v>0</v>
      </c>
      <c r="AH164" s="375">
        <f t="shared" si="921"/>
        <v>0</v>
      </c>
      <c r="AI164" s="386">
        <f t="shared" si="922"/>
        <v>0</v>
      </c>
      <c r="AJ164" s="386">
        <f t="shared" si="923"/>
        <v>0</v>
      </c>
      <c r="AK164" s="386">
        <f t="shared" si="924"/>
        <v>0</v>
      </c>
      <c r="AL164" s="377">
        <f t="shared" si="925"/>
        <v>0</v>
      </c>
      <c r="AM164" s="377">
        <f t="shared" si="926"/>
        <v>0</v>
      </c>
      <c r="AN164" s="377">
        <f t="shared" si="927"/>
        <v>0</v>
      </c>
      <c r="AO164" s="283"/>
      <c r="AP164" s="295">
        <f t="shared" si="951"/>
        <v>53.385258</v>
      </c>
      <c r="AQ164" s="183">
        <f t="shared" si="893"/>
        <v>0</v>
      </c>
      <c r="AR164" s="94">
        <f t="shared" si="900"/>
        <v>0</v>
      </c>
      <c r="AS164" s="94">
        <f t="shared" si="907"/>
        <v>53.659786000000004</v>
      </c>
      <c r="AT164" s="94">
        <f t="shared" si="908"/>
        <v>53.659786000000004</v>
      </c>
      <c r="AU164" s="94">
        <f t="shared" si="896"/>
        <v>53.385258</v>
      </c>
      <c r="AV164" s="94">
        <f t="shared" si="949"/>
        <v>0</v>
      </c>
      <c r="AW164" s="94">
        <f t="shared" si="897"/>
        <v>0</v>
      </c>
      <c r="AX164" s="94">
        <f t="shared" si="950"/>
        <v>0</v>
      </c>
      <c r="AY164" s="94">
        <f t="shared" si="898"/>
        <v>0</v>
      </c>
      <c r="AZ164" s="433">
        <f t="shared" si="899"/>
        <v>0</v>
      </c>
      <c r="BA164" s="1008">
        <v>0</v>
      </c>
      <c r="BB164" s="409">
        <v>0</v>
      </c>
      <c r="BC164" s="1025">
        <f>-52.247703-1.412083</f>
        <v>-53.659786000000004</v>
      </c>
      <c r="BD164" s="1030">
        <v>0</v>
      </c>
      <c r="BE164" s="389">
        <v>-52.247703000000001</v>
      </c>
      <c r="BF164" s="516">
        <v>-52.247703000000001</v>
      </c>
      <c r="BG164" s="207">
        <f>-0.065842-0.319416-53</f>
        <v>-53.385258</v>
      </c>
      <c r="BH164" s="207">
        <v>0</v>
      </c>
      <c r="BI164" s="389">
        <v>0</v>
      </c>
      <c r="BJ164" s="516">
        <v>0</v>
      </c>
      <c r="BK164" s="516">
        <v>0</v>
      </c>
      <c r="BL164" s="516">
        <v>0</v>
      </c>
      <c r="BM164" s="516">
        <v>0</v>
      </c>
      <c r="BN164" s="409">
        <v>0</v>
      </c>
      <c r="BO164" s="207">
        <v>0</v>
      </c>
      <c r="BP164" s="389">
        <v>0</v>
      </c>
      <c r="BQ164" s="389">
        <v>0</v>
      </c>
      <c r="BR164" s="389">
        <v>0</v>
      </c>
      <c r="BS164" s="296">
        <v>0</v>
      </c>
      <c r="BT164" s="296">
        <v>0</v>
      </c>
      <c r="BU164" s="296">
        <v>0</v>
      </c>
      <c r="BV164" s="409">
        <v>0</v>
      </c>
      <c r="BW164" s="1011">
        <f t="shared" si="906"/>
        <v>0</v>
      </c>
      <c r="BX164" s="442" t="s">
        <v>1835</v>
      </c>
    </row>
    <row r="165" spans="1:78" s="1" customFormat="1" ht="43.5" hidden="1" customHeight="1" outlineLevel="1" x14ac:dyDescent="0.25">
      <c r="A165" s="678">
        <v>56</v>
      </c>
      <c r="B165" s="702" t="s">
        <v>69</v>
      </c>
      <c r="C165" s="697" t="s">
        <v>701</v>
      </c>
      <c r="D165" s="63">
        <v>44306</v>
      </c>
      <c r="E165" s="463" t="s">
        <v>1325</v>
      </c>
      <c r="F165" s="542" t="s">
        <v>1324</v>
      </c>
      <c r="G165" s="95" t="s">
        <v>24</v>
      </c>
      <c r="H165" s="311" t="s">
        <v>129</v>
      </c>
      <c r="I165" s="335"/>
      <c r="J165" s="294">
        <f t="shared" si="884"/>
        <v>0</v>
      </c>
      <c r="K165" s="52">
        <f t="shared" si="885"/>
        <v>0</v>
      </c>
      <c r="L165" s="52">
        <f t="shared" si="855"/>
        <v>2.1302644466209596E-3</v>
      </c>
      <c r="M165" s="52">
        <f t="shared" si="909"/>
        <v>2.2191029304731687E-3</v>
      </c>
      <c r="N165" s="52">
        <f t="shared" si="910"/>
        <v>3.4759608604121184E-4</v>
      </c>
      <c r="O165" s="52">
        <f t="shared" si="911"/>
        <v>0</v>
      </c>
      <c r="P165" s="52">
        <f t="shared" si="912"/>
        <v>0</v>
      </c>
      <c r="Q165" s="52">
        <f t="shared" si="913"/>
        <v>0</v>
      </c>
      <c r="R165" s="52">
        <f t="shared" si="914"/>
        <v>0</v>
      </c>
      <c r="S165" s="527">
        <f t="shared" si="886"/>
        <v>0</v>
      </c>
      <c r="T165" s="533">
        <f t="shared" si="915"/>
        <v>0</v>
      </c>
      <c r="U165" s="375">
        <f t="shared" si="905"/>
        <v>0</v>
      </c>
      <c r="V165" s="375">
        <f t="shared" si="864"/>
        <v>-2.1302644466209596E-3</v>
      </c>
      <c r="W165" s="386">
        <f t="shared" si="865"/>
        <v>0</v>
      </c>
      <c r="X165" s="386">
        <f t="shared" si="866"/>
        <v>0</v>
      </c>
      <c r="Y165" s="386">
        <f t="shared" si="948"/>
        <v>0</v>
      </c>
      <c r="Z165" s="375">
        <f t="shared" si="938"/>
        <v>-3.4759608604121184E-4</v>
      </c>
      <c r="AA165" s="375">
        <f t="shared" si="869"/>
        <v>0</v>
      </c>
      <c r="AB165" s="386">
        <f t="shared" si="870"/>
        <v>0</v>
      </c>
      <c r="AC165" s="386">
        <f t="shared" si="916"/>
        <v>0</v>
      </c>
      <c r="AD165" s="386">
        <f t="shared" si="917"/>
        <v>0</v>
      </c>
      <c r="AE165" s="386">
        <f t="shared" si="918"/>
        <v>0</v>
      </c>
      <c r="AF165" s="386">
        <f t="shared" si="919"/>
        <v>0</v>
      </c>
      <c r="AG165" s="375">
        <f t="shared" si="920"/>
        <v>0</v>
      </c>
      <c r="AH165" s="375">
        <f t="shared" si="921"/>
        <v>0</v>
      </c>
      <c r="AI165" s="386">
        <f t="shared" si="922"/>
        <v>0</v>
      </c>
      <c r="AJ165" s="386">
        <f t="shared" si="923"/>
        <v>0</v>
      </c>
      <c r="AK165" s="386">
        <f t="shared" si="924"/>
        <v>0</v>
      </c>
      <c r="AL165" s="377">
        <f t="shared" si="925"/>
        <v>0</v>
      </c>
      <c r="AM165" s="377">
        <f t="shared" si="926"/>
        <v>0</v>
      </c>
      <c r="AN165" s="377">
        <f t="shared" si="927"/>
        <v>0</v>
      </c>
      <c r="AO165" s="283"/>
      <c r="AP165" s="295">
        <f t="shared" si="951"/>
        <v>11.674911</v>
      </c>
      <c r="AQ165" s="183">
        <f t="shared" si="893"/>
        <v>0</v>
      </c>
      <c r="AR165" s="94">
        <f t="shared" si="900"/>
        <v>0</v>
      </c>
      <c r="AS165" s="94">
        <f t="shared" si="907"/>
        <v>69.599999999999994</v>
      </c>
      <c r="AT165" s="94">
        <f t="shared" si="908"/>
        <v>69.599999999999994</v>
      </c>
      <c r="AU165" s="94">
        <f t="shared" si="896"/>
        <v>11.674911</v>
      </c>
      <c r="AV165" s="94">
        <f t="shared" si="949"/>
        <v>0</v>
      </c>
      <c r="AW165" s="94">
        <f t="shared" si="897"/>
        <v>0</v>
      </c>
      <c r="AX165" s="94">
        <f t="shared" si="950"/>
        <v>0</v>
      </c>
      <c r="AY165" s="94">
        <f t="shared" si="898"/>
        <v>0</v>
      </c>
      <c r="AZ165" s="433">
        <f t="shared" si="899"/>
        <v>0</v>
      </c>
      <c r="BA165" s="1008">
        <v>0</v>
      </c>
      <c r="BB165" s="409">
        <v>0</v>
      </c>
      <c r="BC165" s="1025">
        <v>-69.599999999999994</v>
      </c>
      <c r="BD165" s="1030">
        <v>0</v>
      </c>
      <c r="BE165" s="389">
        <v>0</v>
      </c>
      <c r="BF165" s="516">
        <v>0</v>
      </c>
      <c r="BG165" s="207">
        <f>-11.674911</f>
        <v>-11.674911</v>
      </c>
      <c r="BH165" s="207">
        <v>0</v>
      </c>
      <c r="BI165" s="389">
        <v>0</v>
      </c>
      <c r="BJ165" s="516">
        <v>0</v>
      </c>
      <c r="BK165" s="516">
        <v>0</v>
      </c>
      <c r="BL165" s="516">
        <v>0</v>
      </c>
      <c r="BM165" s="516">
        <v>0</v>
      </c>
      <c r="BN165" s="409">
        <v>0</v>
      </c>
      <c r="BO165" s="207">
        <v>0</v>
      </c>
      <c r="BP165" s="389">
        <v>0</v>
      </c>
      <c r="BQ165" s="389">
        <v>0</v>
      </c>
      <c r="BR165" s="389">
        <v>0</v>
      </c>
      <c r="BS165" s="296">
        <v>0</v>
      </c>
      <c r="BT165" s="296">
        <v>0</v>
      </c>
      <c r="BU165" s="296">
        <v>0</v>
      </c>
      <c r="BV165" s="409">
        <v>0</v>
      </c>
      <c r="BW165" s="1011">
        <f t="shared" si="906"/>
        <v>0</v>
      </c>
      <c r="BX165" s="442" t="s">
        <v>1650</v>
      </c>
    </row>
    <row r="166" spans="1:78" s="1" customFormat="1" ht="87" hidden="1" customHeight="1" outlineLevel="1" x14ac:dyDescent="0.25">
      <c r="A166" s="678">
        <v>57</v>
      </c>
      <c r="B166" s="702" t="s">
        <v>69</v>
      </c>
      <c r="C166" s="697" t="s">
        <v>1736</v>
      </c>
      <c r="D166" s="63" t="s">
        <v>1502</v>
      </c>
      <c r="E166" s="463" t="s">
        <v>1452</v>
      </c>
      <c r="F166" s="542" t="s">
        <v>1503</v>
      </c>
      <c r="G166" s="95" t="s">
        <v>24</v>
      </c>
      <c r="H166" s="311" t="s">
        <v>130</v>
      </c>
      <c r="I166" s="335"/>
      <c r="J166" s="294">
        <f t="shared" si="884"/>
        <v>0</v>
      </c>
      <c r="K166" s="52">
        <f t="shared" si="885"/>
        <v>0</v>
      </c>
      <c r="L166" s="52">
        <f t="shared" si="855"/>
        <v>1.538811153281097E-3</v>
      </c>
      <c r="M166" s="52">
        <f t="shared" si="909"/>
        <v>1.6029842422181093E-3</v>
      </c>
      <c r="N166" s="52">
        <f t="shared" si="910"/>
        <v>1.496864004398769E-3</v>
      </c>
      <c r="O166" s="52">
        <f t="shared" si="911"/>
        <v>0</v>
      </c>
      <c r="P166" s="52">
        <f t="shared" si="912"/>
        <v>0</v>
      </c>
      <c r="Q166" s="52">
        <f t="shared" si="913"/>
        <v>0</v>
      </c>
      <c r="R166" s="52">
        <f t="shared" si="914"/>
        <v>0</v>
      </c>
      <c r="S166" s="527">
        <f t="shared" si="886"/>
        <v>0</v>
      </c>
      <c r="T166" s="533">
        <f t="shared" si="915"/>
        <v>0</v>
      </c>
      <c r="U166" s="375">
        <f t="shared" si="905"/>
        <v>0</v>
      </c>
      <c r="V166" s="375">
        <f t="shared" si="864"/>
        <v>-1.538811153281097E-3</v>
      </c>
      <c r="W166" s="386">
        <f t="shared" si="865"/>
        <v>0</v>
      </c>
      <c r="X166" s="386">
        <f t="shared" si="866"/>
        <v>-1.6029842422181093E-3</v>
      </c>
      <c r="Y166" s="386">
        <f t="shared" si="948"/>
        <v>-1.6029842422181093E-3</v>
      </c>
      <c r="Z166" s="375">
        <f t="shared" si="938"/>
        <v>-1.496864004398769E-3</v>
      </c>
      <c r="AA166" s="375">
        <f t="shared" si="869"/>
        <v>0</v>
      </c>
      <c r="AB166" s="386">
        <f t="shared" si="870"/>
        <v>0</v>
      </c>
      <c r="AC166" s="386">
        <f t="shared" si="916"/>
        <v>0</v>
      </c>
      <c r="AD166" s="386">
        <f t="shared" si="917"/>
        <v>0</v>
      </c>
      <c r="AE166" s="386">
        <f t="shared" si="918"/>
        <v>0</v>
      </c>
      <c r="AF166" s="386">
        <f t="shared" si="919"/>
        <v>0</v>
      </c>
      <c r="AG166" s="375">
        <f t="shared" si="920"/>
        <v>0</v>
      </c>
      <c r="AH166" s="375">
        <f t="shared" si="921"/>
        <v>0</v>
      </c>
      <c r="AI166" s="386">
        <f t="shared" si="922"/>
        <v>0</v>
      </c>
      <c r="AJ166" s="386">
        <f t="shared" si="923"/>
        <v>0</v>
      </c>
      <c r="AK166" s="386">
        <f t="shared" si="924"/>
        <v>0</v>
      </c>
      <c r="AL166" s="377">
        <f t="shared" si="925"/>
        <v>0</v>
      </c>
      <c r="AM166" s="377">
        <f t="shared" si="926"/>
        <v>0</v>
      </c>
      <c r="AN166" s="377">
        <f t="shared" si="927"/>
        <v>0</v>
      </c>
      <c r="AO166" s="283"/>
      <c r="AP166" s="295">
        <f t="shared" si="951"/>
        <v>50.276038</v>
      </c>
      <c r="AQ166" s="183">
        <f t="shared" ref="AQ166:AQ198" si="952">-BA166</f>
        <v>0</v>
      </c>
      <c r="AR166" s="94">
        <f t="shared" ref="AR166:AR198" si="953">-BB166</f>
        <v>0</v>
      </c>
      <c r="AS166" s="94">
        <f t="shared" ref="AS166:AS176" si="954">-BC166</f>
        <v>50.276038</v>
      </c>
      <c r="AT166" s="94">
        <f t="shared" si="908"/>
        <v>50.276038</v>
      </c>
      <c r="AU166" s="94">
        <f t="shared" ref="AU166:AU198" si="955">-BG166</f>
        <v>50.276038</v>
      </c>
      <c r="AV166" s="94">
        <f t="shared" si="949"/>
        <v>0</v>
      </c>
      <c r="AW166" s="94">
        <f t="shared" si="897"/>
        <v>0</v>
      </c>
      <c r="AX166" s="94">
        <f t="shared" si="950"/>
        <v>0</v>
      </c>
      <c r="AY166" s="94">
        <f t="shared" si="898"/>
        <v>0</v>
      </c>
      <c r="AZ166" s="433">
        <f t="shared" si="899"/>
        <v>0</v>
      </c>
      <c r="BA166" s="1008">
        <v>0</v>
      </c>
      <c r="BB166" s="409">
        <v>0</v>
      </c>
      <c r="BC166" s="1025">
        <f>-54.650795+4.374757</f>
        <v>-50.276038</v>
      </c>
      <c r="BD166" s="1030">
        <v>0</v>
      </c>
      <c r="BE166" s="389">
        <v>-50.276038</v>
      </c>
      <c r="BF166" s="516">
        <v>-50.276038</v>
      </c>
      <c r="BG166" s="207">
        <v>-50.276038</v>
      </c>
      <c r="BH166" s="207">
        <v>0</v>
      </c>
      <c r="BI166" s="389">
        <v>0</v>
      </c>
      <c r="BJ166" s="516">
        <v>0</v>
      </c>
      <c r="BK166" s="516">
        <v>0</v>
      </c>
      <c r="BL166" s="516">
        <v>0</v>
      </c>
      <c r="BM166" s="516">
        <v>0</v>
      </c>
      <c r="BN166" s="409">
        <v>0</v>
      </c>
      <c r="BO166" s="207">
        <v>0</v>
      </c>
      <c r="BP166" s="389">
        <v>0</v>
      </c>
      <c r="BQ166" s="389">
        <v>0</v>
      </c>
      <c r="BR166" s="389">
        <v>0</v>
      </c>
      <c r="BS166" s="296">
        <v>0</v>
      </c>
      <c r="BT166" s="296">
        <v>0</v>
      </c>
      <c r="BU166" s="296">
        <v>0</v>
      </c>
      <c r="BV166" s="409">
        <v>0</v>
      </c>
      <c r="BW166" s="1011">
        <f t="shared" si="906"/>
        <v>0</v>
      </c>
      <c r="BX166" s="442" t="s">
        <v>1504</v>
      </c>
    </row>
    <row r="167" spans="1:78" s="1" customFormat="1" ht="29.1" hidden="1" customHeight="1" outlineLevel="1" x14ac:dyDescent="0.25">
      <c r="A167" s="678">
        <v>58</v>
      </c>
      <c r="B167" s="702" t="s">
        <v>69</v>
      </c>
      <c r="C167" s="697" t="s">
        <v>701</v>
      </c>
      <c r="D167" s="63">
        <v>44329</v>
      </c>
      <c r="E167" s="463" t="s">
        <v>1417</v>
      </c>
      <c r="F167" s="542" t="s">
        <v>701</v>
      </c>
      <c r="G167" s="95" t="s">
        <v>24</v>
      </c>
      <c r="H167" s="311" t="s">
        <v>129</v>
      </c>
      <c r="I167" s="335"/>
      <c r="J167" s="294">
        <f t="shared" si="884"/>
        <v>0</v>
      </c>
      <c r="K167" s="52">
        <f t="shared" si="885"/>
        <v>0</v>
      </c>
      <c r="L167" s="52">
        <f t="shared" si="855"/>
        <v>0</v>
      </c>
      <c r="M167" s="52">
        <f t="shared" si="909"/>
        <v>0</v>
      </c>
      <c r="N167" s="52">
        <f t="shared" si="910"/>
        <v>0</v>
      </c>
      <c r="O167" s="52">
        <f t="shared" si="911"/>
        <v>0</v>
      </c>
      <c r="P167" s="52">
        <f t="shared" si="912"/>
        <v>0</v>
      </c>
      <c r="Q167" s="52">
        <f t="shared" si="913"/>
        <v>0</v>
      </c>
      <c r="R167" s="52">
        <f t="shared" si="914"/>
        <v>0</v>
      </c>
      <c r="S167" s="527">
        <f t="shared" si="886"/>
        <v>0</v>
      </c>
      <c r="T167" s="533">
        <f t="shared" si="915"/>
        <v>0</v>
      </c>
      <c r="U167" s="375">
        <f t="shared" si="905"/>
        <v>0</v>
      </c>
      <c r="V167" s="375">
        <f t="shared" si="864"/>
        <v>0</v>
      </c>
      <c r="W167" s="386">
        <f t="shared" si="865"/>
        <v>0</v>
      </c>
      <c r="X167" s="386">
        <f t="shared" si="866"/>
        <v>0</v>
      </c>
      <c r="Y167" s="386">
        <f t="shared" si="948"/>
        <v>0</v>
      </c>
      <c r="Z167" s="375">
        <f t="shared" si="938"/>
        <v>0</v>
      </c>
      <c r="AA167" s="375">
        <f t="shared" si="869"/>
        <v>0</v>
      </c>
      <c r="AB167" s="386">
        <f t="shared" si="870"/>
        <v>-1.4868294554113801E-3</v>
      </c>
      <c r="AC167" s="386">
        <f t="shared" si="916"/>
        <v>0</v>
      </c>
      <c r="AD167" s="386">
        <f t="shared" si="917"/>
        <v>0</v>
      </c>
      <c r="AE167" s="386">
        <f t="shared" si="918"/>
        <v>0</v>
      </c>
      <c r="AF167" s="386">
        <f t="shared" si="919"/>
        <v>0</v>
      </c>
      <c r="AG167" s="375">
        <f t="shared" si="920"/>
        <v>0</v>
      </c>
      <c r="AH167" s="375">
        <f t="shared" si="921"/>
        <v>0</v>
      </c>
      <c r="AI167" s="386">
        <f t="shared" si="922"/>
        <v>0</v>
      </c>
      <c r="AJ167" s="386">
        <f t="shared" si="923"/>
        <v>0</v>
      </c>
      <c r="AK167" s="386">
        <f t="shared" si="924"/>
        <v>0</v>
      </c>
      <c r="AL167" s="377">
        <f t="shared" si="925"/>
        <v>0</v>
      </c>
      <c r="AM167" s="377">
        <f t="shared" si="926"/>
        <v>0</v>
      </c>
      <c r="AN167" s="377">
        <f t="shared" si="927"/>
        <v>0</v>
      </c>
      <c r="AO167" s="283"/>
      <c r="AP167" s="295">
        <f t="shared" si="951"/>
        <v>0</v>
      </c>
      <c r="AQ167" s="183">
        <f t="shared" si="952"/>
        <v>0</v>
      </c>
      <c r="AR167" s="94">
        <f t="shared" si="953"/>
        <v>0</v>
      </c>
      <c r="AS167" s="94">
        <f t="shared" si="954"/>
        <v>0</v>
      </c>
      <c r="AT167" s="94">
        <f t="shared" si="908"/>
        <v>0</v>
      </c>
      <c r="AU167" s="94">
        <f t="shared" si="955"/>
        <v>0</v>
      </c>
      <c r="AV167" s="94">
        <f t="shared" si="949"/>
        <v>0</v>
      </c>
      <c r="AW167" s="94">
        <f t="shared" ref="AW167:AW177" si="956">-BH167</f>
        <v>0</v>
      </c>
      <c r="AX167" s="94">
        <f t="shared" si="950"/>
        <v>0</v>
      </c>
      <c r="AY167" s="94">
        <f t="shared" ref="AY167:AY177" si="957">-BO167</f>
        <v>0</v>
      </c>
      <c r="AZ167" s="433">
        <f t="shared" ref="AZ167:AZ177" si="958">-BU167</f>
        <v>0</v>
      </c>
      <c r="BA167" s="1008">
        <v>0</v>
      </c>
      <c r="BB167" s="409">
        <v>0</v>
      </c>
      <c r="BC167" s="1025">
        <v>0</v>
      </c>
      <c r="BD167" s="1030">
        <v>0</v>
      </c>
      <c r="BE167" s="389">
        <v>0</v>
      </c>
      <c r="BF167" s="516">
        <v>0</v>
      </c>
      <c r="BG167" s="207">
        <v>0</v>
      </c>
      <c r="BH167" s="207">
        <v>0</v>
      </c>
      <c r="BI167" s="389">
        <v>-50.584569000000002</v>
      </c>
      <c r="BJ167" s="516">
        <v>0</v>
      </c>
      <c r="BK167" s="516">
        <v>0</v>
      </c>
      <c r="BL167" s="516">
        <v>0</v>
      </c>
      <c r="BM167" s="516">
        <v>0</v>
      </c>
      <c r="BN167" s="409">
        <v>0</v>
      </c>
      <c r="BO167" s="207">
        <v>0</v>
      </c>
      <c r="BP167" s="389">
        <v>0</v>
      </c>
      <c r="BQ167" s="389">
        <v>0</v>
      </c>
      <c r="BR167" s="389">
        <v>0</v>
      </c>
      <c r="BS167" s="296">
        <v>0</v>
      </c>
      <c r="BT167" s="296">
        <v>0</v>
      </c>
      <c r="BU167" s="296">
        <v>0</v>
      </c>
      <c r="BV167" s="409">
        <v>0</v>
      </c>
      <c r="BW167" s="1011">
        <f t="shared" ref="BW167:BW198" si="959">-BV167</f>
        <v>0</v>
      </c>
      <c r="BX167" s="442" t="s">
        <v>1651</v>
      </c>
    </row>
    <row r="168" spans="1:78" s="1" customFormat="1" ht="93.95" hidden="1" customHeight="1" outlineLevel="1" x14ac:dyDescent="0.25">
      <c r="A168" s="678">
        <v>59</v>
      </c>
      <c r="B168" s="702" t="s">
        <v>69</v>
      </c>
      <c r="C168" s="697" t="s">
        <v>701</v>
      </c>
      <c r="D168" s="63" t="s">
        <v>1636</v>
      </c>
      <c r="E168" s="463" t="s">
        <v>1637</v>
      </c>
      <c r="F168" s="542" t="s">
        <v>701</v>
      </c>
      <c r="G168" s="95" t="s">
        <v>24</v>
      </c>
      <c r="H168" s="311" t="s">
        <v>129</v>
      </c>
      <c r="I168" s="335"/>
      <c r="J168" s="294">
        <f t="shared" si="884"/>
        <v>0</v>
      </c>
      <c r="K168" s="52">
        <f t="shared" si="885"/>
        <v>0</v>
      </c>
      <c r="L168" s="52">
        <f t="shared" si="855"/>
        <v>0</v>
      </c>
      <c r="M168" s="52">
        <f t="shared" si="909"/>
        <v>0</v>
      </c>
      <c r="N168" s="52">
        <f t="shared" si="910"/>
        <v>0</v>
      </c>
      <c r="O168" s="52">
        <f t="shared" si="911"/>
        <v>2.0947244506365118E-4</v>
      </c>
      <c r="P168" s="52">
        <f t="shared" si="912"/>
        <v>2.1534659781234438E-4</v>
      </c>
      <c r="Q168" s="52">
        <f t="shared" si="913"/>
        <v>0</v>
      </c>
      <c r="R168" s="52">
        <f t="shared" si="914"/>
        <v>0</v>
      </c>
      <c r="S168" s="527">
        <f t="shared" si="886"/>
        <v>0</v>
      </c>
      <c r="T168" s="533">
        <f t="shared" si="915"/>
        <v>0</v>
      </c>
      <c r="U168" s="375">
        <f t="shared" si="905"/>
        <v>0</v>
      </c>
      <c r="V168" s="375">
        <f t="shared" si="864"/>
        <v>0</v>
      </c>
      <c r="W168" s="386">
        <f t="shared" si="865"/>
        <v>0</v>
      </c>
      <c r="X168" s="386">
        <f t="shared" si="866"/>
        <v>0</v>
      </c>
      <c r="Y168" s="386">
        <f t="shared" si="948"/>
        <v>0</v>
      </c>
      <c r="Z168" s="375">
        <f t="shared" si="938"/>
        <v>0</v>
      </c>
      <c r="AA168" s="375">
        <f t="shared" si="869"/>
        <v>-2.0947244506365118E-4</v>
      </c>
      <c r="AB168" s="386">
        <f t="shared" si="870"/>
        <v>-4.8565072448155571E-4</v>
      </c>
      <c r="AC168" s="386">
        <f t="shared" si="916"/>
        <v>-2.4282534754430549E-4</v>
      </c>
      <c r="AD168" s="386">
        <f t="shared" si="917"/>
        <v>-2.4282534754430549E-4</v>
      </c>
      <c r="AE168" s="386">
        <f t="shared" si="918"/>
        <v>-2.1534659781234438E-4</v>
      </c>
      <c r="AF168" s="386">
        <f t="shared" si="919"/>
        <v>-2.0947244506365118E-4</v>
      </c>
      <c r="AG168" s="375">
        <f t="shared" si="920"/>
        <v>0</v>
      </c>
      <c r="AH168" s="375">
        <f t="shared" si="921"/>
        <v>0</v>
      </c>
      <c r="AI168" s="386">
        <f t="shared" si="922"/>
        <v>0</v>
      </c>
      <c r="AJ168" s="386">
        <f t="shared" si="923"/>
        <v>0</v>
      </c>
      <c r="AK168" s="386">
        <f t="shared" si="924"/>
        <v>0</v>
      </c>
      <c r="AL168" s="377">
        <f t="shared" si="925"/>
        <v>0</v>
      </c>
      <c r="AM168" s="377">
        <f t="shared" si="926"/>
        <v>0</v>
      </c>
      <c r="AN168" s="377">
        <f t="shared" si="927"/>
        <v>0</v>
      </c>
      <c r="AO168" s="283"/>
      <c r="AP168" s="295">
        <f t="shared" si="951"/>
        <v>8.2613479999999999</v>
      </c>
      <c r="AQ168" s="183">
        <f t="shared" si="952"/>
        <v>0</v>
      </c>
      <c r="AR168" s="94">
        <f t="shared" si="953"/>
        <v>0</v>
      </c>
      <c r="AS168" s="94">
        <f t="shared" si="954"/>
        <v>0</v>
      </c>
      <c r="AT168" s="94">
        <f t="shared" si="908"/>
        <v>0</v>
      </c>
      <c r="AU168" s="94">
        <f t="shared" si="955"/>
        <v>0</v>
      </c>
      <c r="AV168" s="94">
        <f t="shared" si="949"/>
        <v>8.2613479999999999</v>
      </c>
      <c r="AW168" s="94">
        <f t="shared" si="956"/>
        <v>8.2613479999999999</v>
      </c>
      <c r="AX168" s="94">
        <f t="shared" si="950"/>
        <v>0</v>
      </c>
      <c r="AY168" s="94">
        <f t="shared" si="957"/>
        <v>0</v>
      </c>
      <c r="AZ168" s="433">
        <f t="shared" si="958"/>
        <v>0</v>
      </c>
      <c r="BA168" s="1008">
        <v>0</v>
      </c>
      <c r="BB168" s="409">
        <v>0</v>
      </c>
      <c r="BC168" s="1025">
        <v>0</v>
      </c>
      <c r="BD168" s="1030">
        <v>0</v>
      </c>
      <c r="BE168" s="389">
        <v>0</v>
      </c>
      <c r="BF168" s="516">
        <v>0</v>
      </c>
      <c r="BG168" s="207">
        <v>0</v>
      </c>
      <c r="BH168" s="207">
        <v>-8.2613479999999999</v>
      </c>
      <c r="BI168" s="389">
        <v>-16.522697000000001</v>
      </c>
      <c r="BJ168" s="516">
        <v>-8.2613479999999999</v>
      </c>
      <c r="BK168" s="516">
        <v>-8.2613479999999999</v>
      </c>
      <c r="BL168" s="516">
        <v>-8.2613479999999999</v>
      </c>
      <c r="BM168" s="516">
        <v>-8.2613479999999999</v>
      </c>
      <c r="BN168" s="409">
        <v>0</v>
      </c>
      <c r="BO168" s="207">
        <v>0</v>
      </c>
      <c r="BP168" s="389">
        <v>0</v>
      </c>
      <c r="BQ168" s="389">
        <v>0</v>
      </c>
      <c r="BR168" s="389">
        <v>0</v>
      </c>
      <c r="BS168" s="296">
        <v>0</v>
      </c>
      <c r="BT168" s="296">
        <v>0</v>
      </c>
      <c r="BU168" s="296">
        <v>0</v>
      </c>
      <c r="BV168" s="409">
        <v>0</v>
      </c>
      <c r="BW168" s="1011">
        <f t="shared" si="959"/>
        <v>0</v>
      </c>
      <c r="BX168" s="442" t="s">
        <v>1416</v>
      </c>
    </row>
    <row r="169" spans="1:78" s="1" customFormat="1" ht="116.1" hidden="1" customHeight="1" outlineLevel="1" x14ac:dyDescent="0.25">
      <c r="A169" s="678">
        <v>60</v>
      </c>
      <c r="B169" s="702" t="s">
        <v>69</v>
      </c>
      <c r="C169" s="697" t="s">
        <v>1736</v>
      </c>
      <c r="D169" s="63">
        <v>44334</v>
      </c>
      <c r="E169" s="463" t="s">
        <v>1453</v>
      </c>
      <c r="F169" s="542" t="s">
        <v>1372</v>
      </c>
      <c r="G169" s="95" t="s">
        <v>24</v>
      </c>
      <c r="H169" s="311" t="s">
        <v>130</v>
      </c>
      <c r="I169" s="335"/>
      <c r="J169" s="294">
        <f t="shared" si="884"/>
        <v>0</v>
      </c>
      <c r="K169" s="52">
        <f t="shared" si="885"/>
        <v>0</v>
      </c>
      <c r="L169" s="52">
        <f t="shared" si="855"/>
        <v>1.1213026444662096E-4</v>
      </c>
      <c r="M169" s="52">
        <f t="shared" si="909"/>
        <v>1.1680643631964173E-4</v>
      </c>
      <c r="N169" s="52">
        <f t="shared" si="910"/>
        <v>1.0907365487700082E-4</v>
      </c>
      <c r="O169" s="52">
        <f t="shared" si="911"/>
        <v>0</v>
      </c>
      <c r="P169" s="52">
        <f t="shared" si="912"/>
        <v>0</v>
      </c>
      <c r="Q169" s="52">
        <f t="shared" si="913"/>
        <v>0</v>
      </c>
      <c r="R169" s="52">
        <f t="shared" si="914"/>
        <v>0</v>
      </c>
      <c r="S169" s="527">
        <f t="shared" si="886"/>
        <v>0</v>
      </c>
      <c r="T169" s="533">
        <f t="shared" si="915"/>
        <v>0</v>
      </c>
      <c r="U169" s="375">
        <f t="shared" si="905"/>
        <v>0</v>
      </c>
      <c r="V169" s="375">
        <f t="shared" si="864"/>
        <v>-1.1213026444662096E-4</v>
      </c>
      <c r="W169" s="386">
        <f t="shared" si="865"/>
        <v>0</v>
      </c>
      <c r="X169" s="386">
        <f t="shared" si="866"/>
        <v>-1.1680643631964173E-4</v>
      </c>
      <c r="Y169" s="386">
        <f t="shared" si="948"/>
        <v>-1.1680643631964173E-4</v>
      </c>
      <c r="Z169" s="375">
        <f t="shared" si="938"/>
        <v>-1.0907365487700082E-4</v>
      </c>
      <c r="AA169" s="375">
        <f t="shared" si="869"/>
        <v>0</v>
      </c>
      <c r="AB169" s="386">
        <f t="shared" si="870"/>
        <v>0</v>
      </c>
      <c r="AC169" s="386">
        <f t="shared" si="916"/>
        <v>0</v>
      </c>
      <c r="AD169" s="386">
        <f t="shared" si="917"/>
        <v>0</v>
      </c>
      <c r="AE169" s="386">
        <f t="shared" si="918"/>
        <v>0</v>
      </c>
      <c r="AF169" s="386">
        <f t="shared" si="919"/>
        <v>0</v>
      </c>
      <c r="AG169" s="375">
        <f t="shared" si="920"/>
        <v>0</v>
      </c>
      <c r="AH169" s="375">
        <f t="shared" si="921"/>
        <v>0</v>
      </c>
      <c r="AI169" s="386">
        <f t="shared" si="922"/>
        <v>0</v>
      </c>
      <c r="AJ169" s="386">
        <f t="shared" si="923"/>
        <v>0</v>
      </c>
      <c r="AK169" s="386">
        <f t="shared" si="924"/>
        <v>0</v>
      </c>
      <c r="AL169" s="377">
        <f t="shared" si="925"/>
        <v>0</v>
      </c>
      <c r="AM169" s="377">
        <f t="shared" si="926"/>
        <v>0</v>
      </c>
      <c r="AN169" s="377">
        <f t="shared" si="927"/>
        <v>0</v>
      </c>
      <c r="AO169" s="283"/>
      <c r="AP169" s="295">
        <f t="shared" si="951"/>
        <v>3.6635200000000001</v>
      </c>
      <c r="AQ169" s="183">
        <f t="shared" si="952"/>
        <v>0</v>
      </c>
      <c r="AR169" s="94">
        <f t="shared" si="953"/>
        <v>0</v>
      </c>
      <c r="AS169" s="94">
        <f t="shared" si="954"/>
        <v>3.6635200000000001</v>
      </c>
      <c r="AT169" s="94">
        <f t="shared" si="908"/>
        <v>3.6635200000000001</v>
      </c>
      <c r="AU169" s="94">
        <f t="shared" si="955"/>
        <v>3.6635200000000001</v>
      </c>
      <c r="AV169" s="94">
        <f t="shared" si="949"/>
        <v>0</v>
      </c>
      <c r="AW169" s="94">
        <f t="shared" si="956"/>
        <v>0</v>
      </c>
      <c r="AX169" s="94">
        <f t="shared" si="950"/>
        <v>0</v>
      </c>
      <c r="AY169" s="94">
        <f t="shared" si="957"/>
        <v>0</v>
      </c>
      <c r="AZ169" s="433">
        <f t="shared" si="958"/>
        <v>0</v>
      </c>
      <c r="BA169" s="1008">
        <v>0</v>
      </c>
      <c r="BB169" s="409">
        <v>0</v>
      </c>
      <c r="BC169" s="1025">
        <v>-3.6635200000000001</v>
      </c>
      <c r="BD169" s="1030">
        <v>0</v>
      </c>
      <c r="BE169" s="389">
        <v>-3.6635200000000001</v>
      </c>
      <c r="BF169" s="516">
        <v>-3.6635200000000001</v>
      </c>
      <c r="BG169" s="207">
        <v>-3.6635200000000001</v>
      </c>
      <c r="BH169" s="207">
        <v>0</v>
      </c>
      <c r="BI169" s="389">
        <v>0</v>
      </c>
      <c r="BJ169" s="516">
        <v>0</v>
      </c>
      <c r="BK169" s="516">
        <v>0</v>
      </c>
      <c r="BL169" s="516">
        <v>0</v>
      </c>
      <c r="BM169" s="516">
        <v>0</v>
      </c>
      <c r="BN169" s="409">
        <v>0</v>
      </c>
      <c r="BO169" s="207">
        <v>0</v>
      </c>
      <c r="BP169" s="389">
        <v>0</v>
      </c>
      <c r="BQ169" s="389">
        <v>0</v>
      </c>
      <c r="BR169" s="389">
        <v>0</v>
      </c>
      <c r="BS169" s="296">
        <v>0</v>
      </c>
      <c r="BT169" s="296">
        <v>0</v>
      </c>
      <c r="BU169" s="296">
        <v>0</v>
      </c>
      <c r="BV169" s="409">
        <v>0</v>
      </c>
      <c r="BW169" s="1011">
        <f t="shared" si="959"/>
        <v>0</v>
      </c>
      <c r="BX169" s="442" t="s">
        <v>1373</v>
      </c>
    </row>
    <row r="170" spans="1:78" s="1" customFormat="1" ht="116.1" hidden="1" customHeight="1" outlineLevel="1" x14ac:dyDescent="0.25">
      <c r="A170" s="678">
        <v>61</v>
      </c>
      <c r="B170" s="702" t="s">
        <v>69</v>
      </c>
      <c r="C170" s="697" t="s">
        <v>1737</v>
      </c>
      <c r="D170" s="63">
        <v>44343</v>
      </c>
      <c r="E170" s="463" t="s">
        <v>1454</v>
      </c>
      <c r="F170" s="542" t="s">
        <v>1427</v>
      </c>
      <c r="G170" s="95" t="s">
        <v>24</v>
      </c>
      <c r="H170" s="311" t="s">
        <v>129</v>
      </c>
      <c r="I170" s="335"/>
      <c r="J170" s="294">
        <f t="shared" si="884"/>
        <v>0</v>
      </c>
      <c r="K170" s="52">
        <f t="shared" si="885"/>
        <v>0</v>
      </c>
      <c r="L170" s="52">
        <f t="shared" si="855"/>
        <v>2.4196422012732615E-4</v>
      </c>
      <c r="M170" s="52">
        <f t="shared" si="909"/>
        <v>2.5205486145436448E-4</v>
      </c>
      <c r="N170" s="52">
        <f t="shared" si="910"/>
        <v>2.3536840806537442E-4</v>
      </c>
      <c r="O170" s="52">
        <f t="shared" si="911"/>
        <v>0</v>
      </c>
      <c r="P170" s="52">
        <f t="shared" si="912"/>
        <v>0</v>
      </c>
      <c r="Q170" s="52">
        <f t="shared" si="913"/>
        <v>0</v>
      </c>
      <c r="R170" s="52">
        <f t="shared" si="914"/>
        <v>0</v>
      </c>
      <c r="S170" s="527">
        <f t="shared" si="886"/>
        <v>0</v>
      </c>
      <c r="T170" s="533">
        <f t="shared" si="915"/>
        <v>0</v>
      </c>
      <c r="U170" s="375">
        <f t="shared" si="905"/>
        <v>0</v>
      </c>
      <c r="V170" s="375">
        <f t="shared" si="864"/>
        <v>-2.4196422012732615E-4</v>
      </c>
      <c r="W170" s="386">
        <f t="shared" si="865"/>
        <v>0</v>
      </c>
      <c r="X170" s="386">
        <f t="shared" si="866"/>
        <v>-2.5205486145436448E-4</v>
      </c>
      <c r="Y170" s="386">
        <f t="shared" si="948"/>
        <v>-2.5205486145436448E-4</v>
      </c>
      <c r="Z170" s="375">
        <f t="shared" si="938"/>
        <v>-2.3536840806537442E-4</v>
      </c>
      <c r="AA170" s="375">
        <f t="shared" si="869"/>
        <v>0</v>
      </c>
      <c r="AB170" s="386">
        <f t="shared" si="870"/>
        <v>0</v>
      </c>
      <c r="AC170" s="386">
        <f t="shared" si="916"/>
        <v>0</v>
      </c>
      <c r="AD170" s="386">
        <f t="shared" si="917"/>
        <v>0</v>
      </c>
      <c r="AE170" s="386">
        <f t="shared" si="918"/>
        <v>0</v>
      </c>
      <c r="AF170" s="386">
        <f t="shared" si="919"/>
        <v>0</v>
      </c>
      <c r="AG170" s="375">
        <f t="shared" si="920"/>
        <v>0</v>
      </c>
      <c r="AH170" s="375">
        <f t="shared" si="921"/>
        <v>0</v>
      </c>
      <c r="AI170" s="386">
        <f t="shared" si="922"/>
        <v>0</v>
      </c>
      <c r="AJ170" s="386">
        <f t="shared" si="923"/>
        <v>0</v>
      </c>
      <c r="AK170" s="386">
        <f t="shared" si="924"/>
        <v>0</v>
      </c>
      <c r="AL170" s="377">
        <f t="shared" si="925"/>
        <v>0</v>
      </c>
      <c r="AM170" s="377">
        <f t="shared" si="926"/>
        <v>0</v>
      </c>
      <c r="AN170" s="377">
        <f t="shared" si="927"/>
        <v>0</v>
      </c>
      <c r="AO170" s="283"/>
      <c r="AP170" s="295">
        <f t="shared" si="951"/>
        <v>7.9054549999999999</v>
      </c>
      <c r="AQ170" s="183">
        <f t="shared" si="952"/>
        <v>0</v>
      </c>
      <c r="AR170" s="94">
        <f t="shared" si="953"/>
        <v>0</v>
      </c>
      <c r="AS170" s="94">
        <f t="shared" si="954"/>
        <v>7.9054549999999999</v>
      </c>
      <c r="AT170" s="94">
        <f t="shared" si="908"/>
        <v>7.9054549999999999</v>
      </c>
      <c r="AU170" s="94">
        <f t="shared" si="955"/>
        <v>7.9054549999999999</v>
      </c>
      <c r="AV170" s="94">
        <f t="shared" si="949"/>
        <v>0</v>
      </c>
      <c r="AW170" s="94">
        <f t="shared" si="956"/>
        <v>0</v>
      </c>
      <c r="AX170" s="94">
        <f t="shared" si="950"/>
        <v>0</v>
      </c>
      <c r="AY170" s="94">
        <f t="shared" si="957"/>
        <v>0</v>
      </c>
      <c r="AZ170" s="433">
        <f t="shared" si="958"/>
        <v>0</v>
      </c>
      <c r="BA170" s="1008">
        <v>0</v>
      </c>
      <c r="BB170" s="409">
        <v>0</v>
      </c>
      <c r="BC170" s="1025">
        <v>-7.9054549999999999</v>
      </c>
      <c r="BD170" s="1030">
        <v>0</v>
      </c>
      <c r="BE170" s="389">
        <v>-7.9054549999999999</v>
      </c>
      <c r="BF170" s="516">
        <v>-7.9054549999999999</v>
      </c>
      <c r="BG170" s="207">
        <f>-0.105625-7.79983</f>
        <v>-7.9054549999999999</v>
      </c>
      <c r="BH170" s="207">
        <v>0</v>
      </c>
      <c r="BI170" s="389">
        <v>0</v>
      </c>
      <c r="BJ170" s="516">
        <v>0</v>
      </c>
      <c r="BK170" s="516">
        <v>0</v>
      </c>
      <c r="BL170" s="516">
        <v>0</v>
      </c>
      <c r="BM170" s="516">
        <v>0</v>
      </c>
      <c r="BN170" s="409">
        <v>0</v>
      </c>
      <c r="BO170" s="207">
        <v>0</v>
      </c>
      <c r="BP170" s="389">
        <v>0</v>
      </c>
      <c r="BQ170" s="389">
        <v>0</v>
      </c>
      <c r="BR170" s="389">
        <v>0</v>
      </c>
      <c r="BS170" s="296">
        <v>0</v>
      </c>
      <c r="BT170" s="296">
        <v>0</v>
      </c>
      <c r="BU170" s="296">
        <v>0</v>
      </c>
      <c r="BV170" s="409">
        <v>0</v>
      </c>
      <c r="BW170" s="1011">
        <f t="shared" si="959"/>
        <v>0</v>
      </c>
      <c r="BX170" s="442" t="s">
        <v>1424</v>
      </c>
      <c r="BZ170" s="650"/>
    </row>
    <row r="171" spans="1:78" s="1" customFormat="1" ht="57.95" hidden="1" customHeight="1" outlineLevel="1" x14ac:dyDescent="0.25">
      <c r="A171" s="678">
        <v>62</v>
      </c>
      <c r="B171" s="702" t="s">
        <v>69</v>
      </c>
      <c r="C171" s="697" t="s">
        <v>1737</v>
      </c>
      <c r="D171" s="63">
        <v>44347</v>
      </c>
      <c r="E171" s="463" t="s">
        <v>1455</v>
      </c>
      <c r="F171" s="542" t="s">
        <v>1426</v>
      </c>
      <c r="G171" s="95" t="s">
        <v>24</v>
      </c>
      <c r="H171" s="311" t="s">
        <v>129</v>
      </c>
      <c r="I171" s="335"/>
      <c r="J171" s="294">
        <f t="shared" si="884"/>
        <v>0</v>
      </c>
      <c r="K171" s="52">
        <f t="shared" si="885"/>
        <v>0</v>
      </c>
      <c r="L171" s="52">
        <f t="shared" si="855"/>
        <v>5.9565744368266403E-5</v>
      </c>
      <c r="M171" s="52">
        <f t="shared" si="909"/>
        <v>6.2049816440913928E-5</v>
      </c>
      <c r="N171" s="52">
        <f t="shared" si="910"/>
        <v>3.5455428329621499E-5</v>
      </c>
      <c r="O171" s="52">
        <f t="shared" si="911"/>
        <v>0</v>
      </c>
      <c r="P171" s="52">
        <f t="shared" si="912"/>
        <v>0</v>
      </c>
      <c r="Q171" s="52">
        <f t="shared" si="913"/>
        <v>0</v>
      </c>
      <c r="R171" s="52">
        <f t="shared" si="914"/>
        <v>0</v>
      </c>
      <c r="S171" s="527">
        <f t="shared" si="886"/>
        <v>0</v>
      </c>
      <c r="T171" s="533">
        <f t="shared" si="915"/>
        <v>0</v>
      </c>
      <c r="U171" s="375">
        <f t="shared" si="905"/>
        <v>0</v>
      </c>
      <c r="V171" s="375">
        <f t="shared" si="864"/>
        <v>-5.9565744368266403E-5</v>
      </c>
      <c r="W171" s="386">
        <f t="shared" si="865"/>
        <v>0</v>
      </c>
      <c r="X171" s="386">
        <f t="shared" si="866"/>
        <v>-6.2049816440913928E-5</v>
      </c>
      <c r="Y171" s="386">
        <f t="shared" si="948"/>
        <v>-6.2049816440913928E-5</v>
      </c>
      <c r="Z171" s="375">
        <f t="shared" si="938"/>
        <v>-3.5455428329621499E-5</v>
      </c>
      <c r="AA171" s="375">
        <f t="shared" si="869"/>
        <v>0</v>
      </c>
      <c r="AB171" s="386">
        <f t="shared" si="870"/>
        <v>0</v>
      </c>
      <c r="AC171" s="386">
        <f t="shared" si="916"/>
        <v>0</v>
      </c>
      <c r="AD171" s="386">
        <f t="shared" si="917"/>
        <v>0</v>
      </c>
      <c r="AE171" s="386">
        <f t="shared" si="918"/>
        <v>0</v>
      </c>
      <c r="AF171" s="386">
        <f t="shared" si="919"/>
        <v>0</v>
      </c>
      <c r="AG171" s="375">
        <f t="shared" si="920"/>
        <v>0</v>
      </c>
      <c r="AH171" s="375">
        <f t="shared" si="921"/>
        <v>0</v>
      </c>
      <c r="AI171" s="386">
        <f t="shared" si="922"/>
        <v>0</v>
      </c>
      <c r="AJ171" s="386">
        <f t="shared" si="923"/>
        <v>0</v>
      </c>
      <c r="AK171" s="386">
        <f t="shared" si="924"/>
        <v>0</v>
      </c>
      <c r="AL171" s="377">
        <f t="shared" si="925"/>
        <v>0</v>
      </c>
      <c r="AM171" s="377">
        <f t="shared" si="926"/>
        <v>0</v>
      </c>
      <c r="AN171" s="377">
        <f t="shared" si="927"/>
        <v>0</v>
      </c>
      <c r="AO171" s="283"/>
      <c r="AP171" s="295">
        <f t="shared" si="951"/>
        <v>1.1908620000000001</v>
      </c>
      <c r="AQ171" s="183">
        <f t="shared" si="952"/>
        <v>0</v>
      </c>
      <c r="AR171" s="94">
        <f t="shared" si="953"/>
        <v>0</v>
      </c>
      <c r="AS171" s="94">
        <f t="shared" si="954"/>
        <v>1.946132</v>
      </c>
      <c r="AT171" s="94">
        <f t="shared" si="908"/>
        <v>1.946132</v>
      </c>
      <c r="AU171" s="94">
        <f t="shared" si="955"/>
        <v>1.1908620000000001</v>
      </c>
      <c r="AV171" s="94">
        <f t="shared" si="949"/>
        <v>0</v>
      </c>
      <c r="AW171" s="94">
        <f t="shared" si="956"/>
        <v>0</v>
      </c>
      <c r="AX171" s="94">
        <f t="shared" si="950"/>
        <v>0</v>
      </c>
      <c r="AY171" s="94">
        <f t="shared" si="957"/>
        <v>0</v>
      </c>
      <c r="AZ171" s="433">
        <f t="shared" si="958"/>
        <v>0</v>
      </c>
      <c r="BA171" s="1008">
        <v>0</v>
      </c>
      <c r="BB171" s="409">
        <v>0</v>
      </c>
      <c r="BC171" s="1025">
        <v>-1.946132</v>
      </c>
      <c r="BD171" s="1030">
        <v>0</v>
      </c>
      <c r="BE171" s="389">
        <v>-1.946132</v>
      </c>
      <c r="BF171" s="516">
        <v>-1.946132</v>
      </c>
      <c r="BG171" s="207">
        <f>-1.190862</f>
        <v>-1.1908620000000001</v>
      </c>
      <c r="BH171" s="207">
        <v>0</v>
      </c>
      <c r="BI171" s="389">
        <v>0</v>
      </c>
      <c r="BJ171" s="516">
        <v>0</v>
      </c>
      <c r="BK171" s="516">
        <v>0</v>
      </c>
      <c r="BL171" s="516">
        <v>0</v>
      </c>
      <c r="BM171" s="516">
        <v>0</v>
      </c>
      <c r="BN171" s="409">
        <v>0</v>
      </c>
      <c r="BO171" s="207">
        <v>0</v>
      </c>
      <c r="BP171" s="389">
        <v>0</v>
      </c>
      <c r="BQ171" s="389">
        <v>0</v>
      </c>
      <c r="BR171" s="389">
        <v>0</v>
      </c>
      <c r="BS171" s="296">
        <v>0</v>
      </c>
      <c r="BT171" s="296">
        <v>0</v>
      </c>
      <c r="BU171" s="296">
        <v>0</v>
      </c>
      <c r="BV171" s="409">
        <v>0</v>
      </c>
      <c r="BW171" s="1011">
        <f t="shared" si="959"/>
        <v>0</v>
      </c>
      <c r="BX171" s="442" t="s">
        <v>1425</v>
      </c>
    </row>
    <row r="172" spans="1:78" s="1" customFormat="1" ht="104.25" hidden="1" customHeight="1" outlineLevel="1" x14ac:dyDescent="0.25">
      <c r="A172" s="678">
        <v>63</v>
      </c>
      <c r="B172" s="702" t="s">
        <v>69</v>
      </c>
      <c r="C172" s="697" t="s">
        <v>701</v>
      </c>
      <c r="D172" s="63" t="s">
        <v>1522</v>
      </c>
      <c r="E172" s="463" t="s">
        <v>1541</v>
      </c>
      <c r="F172" s="542" t="s">
        <v>1543</v>
      </c>
      <c r="G172" s="95" t="s">
        <v>24</v>
      </c>
      <c r="H172" s="311" t="s">
        <v>129</v>
      </c>
      <c r="I172" s="335"/>
      <c r="J172" s="294">
        <f t="shared" si="884"/>
        <v>0</v>
      </c>
      <c r="K172" s="52">
        <f t="shared" si="885"/>
        <v>0</v>
      </c>
      <c r="L172" s="52">
        <f t="shared" si="855"/>
        <v>0</v>
      </c>
      <c r="M172" s="52">
        <f t="shared" si="909"/>
        <v>0</v>
      </c>
      <c r="N172" s="52">
        <f t="shared" si="910"/>
        <v>0</v>
      </c>
      <c r="O172" s="52">
        <f t="shared" si="911"/>
        <v>5.8171617713011529E-4</v>
      </c>
      <c r="P172" s="52">
        <f t="shared" si="912"/>
        <v>5.9802901331155111E-4</v>
      </c>
      <c r="Q172" s="52">
        <f t="shared" si="913"/>
        <v>1.1354141037153498E-3</v>
      </c>
      <c r="R172" s="52">
        <f t="shared" si="914"/>
        <v>0</v>
      </c>
      <c r="S172" s="527">
        <f t="shared" si="886"/>
        <v>0</v>
      </c>
      <c r="T172" s="533">
        <f t="shared" si="915"/>
        <v>0</v>
      </c>
      <c r="U172" s="375">
        <f t="shared" si="905"/>
        <v>0</v>
      </c>
      <c r="V172" s="375">
        <f t="shared" si="864"/>
        <v>0</v>
      </c>
      <c r="W172" s="386">
        <f t="shared" si="865"/>
        <v>0</v>
      </c>
      <c r="X172" s="386">
        <f t="shared" si="866"/>
        <v>0</v>
      </c>
      <c r="Y172" s="386">
        <f t="shared" si="948"/>
        <v>0</v>
      </c>
      <c r="Z172" s="375">
        <f t="shared" si="938"/>
        <v>0</v>
      </c>
      <c r="AA172" s="375">
        <f t="shared" si="869"/>
        <v>-5.8171617713011529E-4</v>
      </c>
      <c r="AB172" s="386">
        <f t="shared" si="870"/>
        <v>-6.7433897017262802E-4</v>
      </c>
      <c r="AC172" s="386">
        <f t="shared" si="916"/>
        <v>-6.7433897017262845E-4</v>
      </c>
      <c r="AD172" s="386">
        <f t="shared" si="917"/>
        <v>-6.7433897017262845E-4</v>
      </c>
      <c r="AE172" s="386">
        <f t="shared" si="918"/>
        <v>-5.9802901331155111E-4</v>
      </c>
      <c r="AF172" s="386">
        <f t="shared" si="919"/>
        <v>-5.8171617713011529E-4</v>
      </c>
      <c r="AG172" s="375">
        <f t="shared" si="920"/>
        <v>-1.1458178893420448E-3</v>
      </c>
      <c r="AH172" s="375">
        <f t="shared" si="921"/>
        <v>0</v>
      </c>
      <c r="AI172" s="386">
        <f t="shared" si="922"/>
        <v>0</v>
      </c>
      <c r="AJ172" s="386">
        <f t="shared" si="923"/>
        <v>0</v>
      </c>
      <c r="AK172" s="386">
        <f t="shared" si="924"/>
        <v>0</v>
      </c>
      <c r="AL172" s="377">
        <f t="shared" si="925"/>
        <v>0</v>
      </c>
      <c r="AM172" s="377">
        <f t="shared" si="926"/>
        <v>0</v>
      </c>
      <c r="AN172" s="377">
        <f t="shared" si="927"/>
        <v>0</v>
      </c>
      <c r="AO172" s="283"/>
      <c r="AP172" s="295">
        <f t="shared" si="951"/>
        <v>22.942205000000001</v>
      </c>
      <c r="AQ172" s="183">
        <f t="shared" si="952"/>
        <v>0</v>
      </c>
      <c r="AR172" s="94">
        <f>-BB172</f>
        <v>0</v>
      </c>
      <c r="AS172" s="94">
        <f t="shared" si="954"/>
        <v>0</v>
      </c>
      <c r="AT172" s="94">
        <f t="shared" si="908"/>
        <v>0</v>
      </c>
      <c r="AU172" s="94">
        <f t="shared" si="955"/>
        <v>0</v>
      </c>
      <c r="AV172" s="94">
        <f t="shared" si="949"/>
        <v>22.942205000000001</v>
      </c>
      <c r="AW172" s="94">
        <f t="shared" si="956"/>
        <v>22.942205000000001</v>
      </c>
      <c r="AX172" s="94">
        <f t="shared" si="950"/>
        <v>44.779403000000002</v>
      </c>
      <c r="AY172" s="94">
        <f t="shared" si="957"/>
        <v>0</v>
      </c>
      <c r="AZ172" s="433">
        <f t="shared" si="958"/>
        <v>0</v>
      </c>
      <c r="BA172" s="1008">
        <v>0</v>
      </c>
      <c r="BB172" s="409">
        <v>0</v>
      </c>
      <c r="BC172" s="1025">
        <v>0</v>
      </c>
      <c r="BD172" s="1030">
        <v>0</v>
      </c>
      <c r="BE172" s="389">
        <v>0</v>
      </c>
      <c r="BF172" s="516">
        <v>0</v>
      </c>
      <c r="BG172" s="207">
        <v>0</v>
      </c>
      <c r="BH172" s="207">
        <f t="shared" ref="BH172:BM172" si="960">-20.559973-2.382232</f>
        <v>-22.942205000000001</v>
      </c>
      <c r="BI172" s="389">
        <f t="shared" si="960"/>
        <v>-22.942205000000001</v>
      </c>
      <c r="BJ172" s="516">
        <f t="shared" si="960"/>
        <v>-22.942205000000001</v>
      </c>
      <c r="BK172" s="516">
        <f t="shared" si="960"/>
        <v>-22.942205000000001</v>
      </c>
      <c r="BL172" s="516">
        <f t="shared" si="960"/>
        <v>-22.942205000000001</v>
      </c>
      <c r="BM172" s="516">
        <f t="shared" si="960"/>
        <v>-22.942205000000001</v>
      </c>
      <c r="BN172" s="713">
        <f>-44.779403</f>
        <v>-44.779403000000002</v>
      </c>
      <c r="BO172" s="207">
        <v>0</v>
      </c>
      <c r="BP172" s="389">
        <v>0</v>
      </c>
      <c r="BQ172" s="389">
        <v>0</v>
      </c>
      <c r="BR172" s="389">
        <v>0</v>
      </c>
      <c r="BS172" s="296">
        <v>0</v>
      </c>
      <c r="BT172" s="296">
        <v>0</v>
      </c>
      <c r="BU172" s="296">
        <v>0</v>
      </c>
      <c r="BV172" s="713">
        <v>0</v>
      </c>
      <c r="BW172" s="1011">
        <f t="shared" si="959"/>
        <v>0</v>
      </c>
      <c r="BX172" s="442" t="s">
        <v>1523</v>
      </c>
    </row>
    <row r="173" spans="1:78" s="1" customFormat="1" ht="107.25" hidden="1" customHeight="1" outlineLevel="1" x14ac:dyDescent="0.25">
      <c r="A173" s="678">
        <v>64</v>
      </c>
      <c r="B173" s="702" t="s">
        <v>69</v>
      </c>
      <c r="C173" s="697" t="s">
        <v>1736</v>
      </c>
      <c r="D173" s="63">
        <v>44384</v>
      </c>
      <c r="E173" s="463" t="s">
        <v>1505</v>
      </c>
      <c r="F173" s="542" t="s">
        <v>1506</v>
      </c>
      <c r="G173" s="95" t="s">
        <v>24</v>
      </c>
      <c r="H173" s="311" t="s">
        <v>130</v>
      </c>
      <c r="I173" s="335"/>
      <c r="J173" s="294">
        <f t="shared" si="884"/>
        <v>0</v>
      </c>
      <c r="K173" s="52">
        <f t="shared" si="885"/>
        <v>0</v>
      </c>
      <c r="L173" s="52">
        <f t="shared" si="855"/>
        <v>5.622539177277179E-4</v>
      </c>
      <c r="M173" s="52">
        <f t="shared" si="909"/>
        <v>5.8570161018211056E-4</v>
      </c>
      <c r="N173" s="52">
        <f t="shared" si="910"/>
        <v>5.4692718400453926E-4</v>
      </c>
      <c r="O173" s="52">
        <f t="shared" si="911"/>
        <v>0</v>
      </c>
      <c r="P173" s="52">
        <f t="shared" si="912"/>
        <v>0</v>
      </c>
      <c r="Q173" s="52">
        <f t="shared" si="913"/>
        <v>0</v>
      </c>
      <c r="R173" s="52">
        <f t="shared" si="914"/>
        <v>0</v>
      </c>
      <c r="S173" s="527">
        <f t="shared" si="886"/>
        <v>0</v>
      </c>
      <c r="T173" s="533">
        <f t="shared" si="915"/>
        <v>0</v>
      </c>
      <c r="U173" s="375">
        <f t="shared" si="905"/>
        <v>0</v>
      </c>
      <c r="V173" s="375">
        <f t="shared" si="864"/>
        <v>-5.622539177277179E-4</v>
      </c>
      <c r="W173" s="386">
        <f t="shared" si="865"/>
        <v>0</v>
      </c>
      <c r="X173" s="386">
        <f t="shared" si="866"/>
        <v>-5.8570161018211056E-4</v>
      </c>
      <c r="Y173" s="386">
        <f t="shared" si="948"/>
        <v>-5.8570161018211056E-4</v>
      </c>
      <c r="Z173" s="375">
        <f t="shared" si="938"/>
        <v>-5.4692718400453926E-4</v>
      </c>
      <c r="AA173" s="375">
        <f t="shared" si="869"/>
        <v>0</v>
      </c>
      <c r="AB173" s="386">
        <f t="shared" si="870"/>
        <v>0</v>
      </c>
      <c r="AC173" s="386">
        <f t="shared" si="916"/>
        <v>0</v>
      </c>
      <c r="AD173" s="386">
        <f t="shared" si="917"/>
        <v>0</v>
      </c>
      <c r="AE173" s="386">
        <f t="shared" si="918"/>
        <v>0</v>
      </c>
      <c r="AF173" s="386">
        <f t="shared" si="919"/>
        <v>0</v>
      </c>
      <c r="AG173" s="375">
        <f t="shared" si="920"/>
        <v>0</v>
      </c>
      <c r="AH173" s="375">
        <f t="shared" si="921"/>
        <v>0</v>
      </c>
      <c r="AI173" s="386">
        <f t="shared" si="922"/>
        <v>0</v>
      </c>
      <c r="AJ173" s="386">
        <f t="shared" si="923"/>
        <v>0</v>
      </c>
      <c r="AK173" s="386">
        <f t="shared" si="924"/>
        <v>0</v>
      </c>
      <c r="AL173" s="377">
        <f t="shared" si="925"/>
        <v>0</v>
      </c>
      <c r="AM173" s="377">
        <f t="shared" si="926"/>
        <v>0</v>
      </c>
      <c r="AN173" s="377">
        <f t="shared" si="927"/>
        <v>0</v>
      </c>
      <c r="AO173" s="283"/>
      <c r="AP173" s="295">
        <f t="shared" si="951"/>
        <v>18.369959999999999</v>
      </c>
      <c r="AQ173" s="183">
        <f t="shared" si="952"/>
        <v>0</v>
      </c>
      <c r="AR173" s="94">
        <f t="shared" si="953"/>
        <v>0</v>
      </c>
      <c r="AS173" s="94">
        <f t="shared" si="954"/>
        <v>18.369959999999999</v>
      </c>
      <c r="AT173" s="94">
        <f t="shared" si="908"/>
        <v>18.369959999999999</v>
      </c>
      <c r="AU173" s="94">
        <f t="shared" si="955"/>
        <v>18.369959999999999</v>
      </c>
      <c r="AV173" s="94">
        <f t="shared" si="949"/>
        <v>0</v>
      </c>
      <c r="AW173" s="94">
        <f t="shared" si="956"/>
        <v>0</v>
      </c>
      <c r="AX173" s="94">
        <f t="shared" si="950"/>
        <v>0</v>
      </c>
      <c r="AY173" s="94">
        <f t="shared" si="957"/>
        <v>0</v>
      </c>
      <c r="AZ173" s="433">
        <f t="shared" si="958"/>
        <v>0</v>
      </c>
      <c r="BA173" s="1008">
        <v>0</v>
      </c>
      <c r="BB173" s="409">
        <v>0</v>
      </c>
      <c r="BC173" s="1025">
        <f>-18.36996</f>
        <v>-18.369959999999999</v>
      </c>
      <c r="BD173" s="1030">
        <v>0</v>
      </c>
      <c r="BE173" s="389">
        <v>-18.369959999999999</v>
      </c>
      <c r="BF173" s="516">
        <v>-18.369959999999999</v>
      </c>
      <c r="BG173" s="207">
        <v>-18.369959999999999</v>
      </c>
      <c r="BH173" s="207">
        <f>0</f>
        <v>0</v>
      </c>
      <c r="BI173" s="389">
        <f>0</f>
        <v>0</v>
      </c>
      <c r="BJ173" s="516">
        <f>0</f>
        <v>0</v>
      </c>
      <c r="BK173" s="516">
        <f>0</f>
        <v>0</v>
      </c>
      <c r="BL173" s="516">
        <f>0</f>
        <v>0</v>
      </c>
      <c r="BM173" s="516">
        <f>0</f>
        <v>0</v>
      </c>
      <c r="BN173" s="409">
        <v>0</v>
      </c>
      <c r="BO173" s="207">
        <v>0</v>
      </c>
      <c r="BP173" s="389">
        <v>0</v>
      </c>
      <c r="BQ173" s="389">
        <v>0</v>
      </c>
      <c r="BR173" s="389">
        <v>0</v>
      </c>
      <c r="BS173" s="296">
        <v>0</v>
      </c>
      <c r="BT173" s="296">
        <v>0</v>
      </c>
      <c r="BU173" s="296">
        <v>0</v>
      </c>
      <c r="BV173" s="409">
        <v>0</v>
      </c>
      <c r="BW173" s="1011">
        <f t="shared" si="959"/>
        <v>0</v>
      </c>
      <c r="BX173" s="448" t="s">
        <v>1507</v>
      </c>
    </row>
    <row r="174" spans="1:78" s="1" customFormat="1" ht="72.95" hidden="1" customHeight="1" outlineLevel="1" x14ac:dyDescent="0.25">
      <c r="A174" s="678">
        <v>65</v>
      </c>
      <c r="B174" s="702" t="s">
        <v>69</v>
      </c>
      <c r="C174" s="697" t="s">
        <v>1740</v>
      </c>
      <c r="D174" s="63" t="s">
        <v>1790</v>
      </c>
      <c r="E174" s="463" t="s">
        <v>1515</v>
      </c>
      <c r="F174" s="542" t="s">
        <v>1516</v>
      </c>
      <c r="G174" s="95" t="s">
        <v>24</v>
      </c>
      <c r="H174" s="311" t="s">
        <v>129</v>
      </c>
      <c r="I174" s="335"/>
      <c r="J174" s="294">
        <f t="shared" si="884"/>
        <v>0</v>
      </c>
      <c r="K174" s="52">
        <f t="shared" si="885"/>
        <v>0</v>
      </c>
      <c r="L174" s="52">
        <f t="shared" si="855"/>
        <v>1.8702344515181196E-5</v>
      </c>
      <c r="M174" s="52">
        <f t="shared" si="909"/>
        <v>1.9482288964728689E-5</v>
      </c>
      <c r="N174" s="52">
        <f t="shared" si="910"/>
        <v>1.5991387768674846E-5</v>
      </c>
      <c r="O174" s="52">
        <f t="shared" si="911"/>
        <v>0</v>
      </c>
      <c r="P174" s="52">
        <f t="shared" si="912"/>
        <v>0</v>
      </c>
      <c r="Q174" s="52">
        <f t="shared" si="913"/>
        <v>0</v>
      </c>
      <c r="R174" s="52">
        <f t="shared" si="914"/>
        <v>0</v>
      </c>
      <c r="S174" s="527">
        <f t="shared" si="886"/>
        <v>0</v>
      </c>
      <c r="T174" s="533">
        <f t="shared" si="915"/>
        <v>0</v>
      </c>
      <c r="U174" s="375">
        <f t="shared" si="905"/>
        <v>0</v>
      </c>
      <c r="V174" s="375">
        <f t="shared" si="864"/>
        <v>-1.8702344515181196E-5</v>
      </c>
      <c r="W174" s="386">
        <f t="shared" si="865"/>
        <v>0</v>
      </c>
      <c r="X174" s="386">
        <f t="shared" si="866"/>
        <v>-6.5839763669929513E-6</v>
      </c>
      <c r="Y174" s="386">
        <f t="shared" si="948"/>
        <v>-6.5839763669929513E-6</v>
      </c>
      <c r="Z174" s="375">
        <f t="shared" si="938"/>
        <v>-1.5991387768674846E-5</v>
      </c>
      <c r="AA174" s="375">
        <f t="shared" si="869"/>
        <v>0</v>
      </c>
      <c r="AB174" s="386">
        <f t="shared" si="870"/>
        <v>0</v>
      </c>
      <c r="AC174" s="386">
        <f t="shared" si="916"/>
        <v>0</v>
      </c>
      <c r="AD174" s="386">
        <f t="shared" si="917"/>
        <v>0</v>
      </c>
      <c r="AE174" s="386">
        <f t="shared" si="918"/>
        <v>0</v>
      </c>
      <c r="AF174" s="386">
        <f t="shared" si="919"/>
        <v>0</v>
      </c>
      <c r="AG174" s="375">
        <f t="shared" si="920"/>
        <v>0</v>
      </c>
      <c r="AH174" s="375">
        <f t="shared" si="921"/>
        <v>0</v>
      </c>
      <c r="AI174" s="386">
        <f t="shared" si="922"/>
        <v>0</v>
      </c>
      <c r="AJ174" s="386">
        <f t="shared" si="923"/>
        <v>0</v>
      </c>
      <c r="AK174" s="386">
        <f t="shared" si="924"/>
        <v>0</v>
      </c>
      <c r="AL174" s="377">
        <f t="shared" si="925"/>
        <v>0</v>
      </c>
      <c r="AM174" s="377">
        <f t="shared" si="926"/>
        <v>0</v>
      </c>
      <c r="AN174" s="377">
        <f t="shared" si="927"/>
        <v>0</v>
      </c>
      <c r="AO174" s="283"/>
      <c r="AP174" s="295">
        <f t="shared" si="951"/>
        <v>0.53711200000000003</v>
      </c>
      <c r="AQ174" s="183">
        <f t="shared" si="952"/>
        <v>0</v>
      </c>
      <c r="AR174" s="94">
        <f t="shared" si="953"/>
        <v>0</v>
      </c>
      <c r="AS174" s="94">
        <f t="shared" si="954"/>
        <v>0.611043</v>
      </c>
      <c r="AT174" s="94">
        <f t="shared" si="908"/>
        <v>0.611043</v>
      </c>
      <c r="AU174" s="94">
        <f t="shared" si="955"/>
        <v>0.53711200000000003</v>
      </c>
      <c r="AV174" s="94">
        <f t="shared" si="949"/>
        <v>0</v>
      </c>
      <c r="AW174" s="94">
        <f t="shared" si="956"/>
        <v>0</v>
      </c>
      <c r="AX174" s="94">
        <f t="shared" si="950"/>
        <v>0</v>
      </c>
      <c r="AY174" s="94">
        <f t="shared" si="957"/>
        <v>0</v>
      </c>
      <c r="AZ174" s="433">
        <f t="shared" si="958"/>
        <v>0</v>
      </c>
      <c r="BA174" s="1008">
        <v>0</v>
      </c>
      <c r="BB174" s="409">
        <v>0</v>
      </c>
      <c r="BC174" s="1025">
        <f>-0.2065-0.404543</f>
        <v>-0.611043</v>
      </c>
      <c r="BD174" s="1030">
        <v>0</v>
      </c>
      <c r="BE174" s="389">
        <v>-0.20649999999999999</v>
      </c>
      <c r="BF174" s="516">
        <v>-0.20649999999999999</v>
      </c>
      <c r="BG174" s="207">
        <f>-0.537112</f>
        <v>-0.53711200000000003</v>
      </c>
      <c r="BH174" s="207">
        <f>0</f>
        <v>0</v>
      </c>
      <c r="BI174" s="389">
        <f>0</f>
        <v>0</v>
      </c>
      <c r="BJ174" s="516">
        <f>0</f>
        <v>0</v>
      </c>
      <c r="BK174" s="516">
        <f>0</f>
        <v>0</v>
      </c>
      <c r="BL174" s="516">
        <f>0</f>
        <v>0</v>
      </c>
      <c r="BM174" s="516">
        <f>0</f>
        <v>0</v>
      </c>
      <c r="BN174" s="409">
        <v>0</v>
      </c>
      <c r="BO174" s="207">
        <v>0</v>
      </c>
      <c r="BP174" s="389">
        <v>0</v>
      </c>
      <c r="BQ174" s="389">
        <v>0</v>
      </c>
      <c r="BR174" s="389">
        <v>0</v>
      </c>
      <c r="BS174" s="296">
        <v>0</v>
      </c>
      <c r="BT174" s="296">
        <v>0</v>
      </c>
      <c r="BU174" s="296">
        <v>0</v>
      </c>
      <c r="BV174" s="409">
        <v>0</v>
      </c>
      <c r="BW174" s="1011">
        <f t="shared" si="959"/>
        <v>0</v>
      </c>
      <c r="BX174" s="448" t="s">
        <v>1791</v>
      </c>
    </row>
    <row r="175" spans="1:78" s="1" customFormat="1" ht="56.25" hidden="1" customHeight="1" outlineLevel="1" x14ac:dyDescent="0.25">
      <c r="A175" s="678">
        <v>66</v>
      </c>
      <c r="B175" s="702" t="s">
        <v>69</v>
      </c>
      <c r="C175" s="697" t="s">
        <v>1738</v>
      </c>
      <c r="D175" s="63">
        <v>44391</v>
      </c>
      <c r="E175" s="463" t="s">
        <v>1645</v>
      </c>
      <c r="F175" s="542" t="s">
        <v>1521</v>
      </c>
      <c r="G175" s="95" t="s">
        <v>24</v>
      </c>
      <c r="H175" s="311" t="s">
        <v>129</v>
      </c>
      <c r="I175" s="335"/>
      <c r="J175" s="294">
        <f t="shared" si="884"/>
        <v>0</v>
      </c>
      <c r="K175" s="52">
        <f t="shared" si="885"/>
        <v>0</v>
      </c>
      <c r="L175" s="52">
        <f t="shared" si="855"/>
        <v>6.3052154750244857E-6</v>
      </c>
      <c r="M175" s="52">
        <f t="shared" si="909"/>
        <v>6.5681620702470506E-6</v>
      </c>
      <c r="N175" s="52">
        <f t="shared" si="910"/>
        <v>1.9010003668320366E-6</v>
      </c>
      <c r="O175" s="52">
        <f t="shared" si="911"/>
        <v>0</v>
      </c>
      <c r="P175" s="52">
        <f t="shared" si="912"/>
        <v>0</v>
      </c>
      <c r="Q175" s="52">
        <f t="shared" si="913"/>
        <v>0</v>
      </c>
      <c r="R175" s="52">
        <f t="shared" si="914"/>
        <v>0</v>
      </c>
      <c r="S175" s="527">
        <f t="shared" si="886"/>
        <v>0</v>
      </c>
      <c r="T175" s="533">
        <f t="shared" si="915"/>
        <v>0</v>
      </c>
      <c r="U175" s="375">
        <f t="shared" si="905"/>
        <v>0</v>
      </c>
      <c r="V175" s="375">
        <f t="shared" si="864"/>
        <v>-6.3052154750244857E-6</v>
      </c>
      <c r="W175" s="386">
        <f t="shared" si="865"/>
        <v>0</v>
      </c>
      <c r="X175" s="386">
        <f t="shared" si="866"/>
        <v>-6.5681620702470506E-6</v>
      </c>
      <c r="Y175" s="386">
        <f t="shared" si="948"/>
        <v>-6.5681620702470506E-6</v>
      </c>
      <c r="Z175" s="375">
        <f t="shared" si="938"/>
        <v>-1.9010003668320366E-6</v>
      </c>
      <c r="AA175" s="375">
        <f t="shared" si="869"/>
        <v>0</v>
      </c>
      <c r="AB175" s="386">
        <f t="shared" si="870"/>
        <v>0</v>
      </c>
      <c r="AC175" s="386">
        <f t="shared" si="916"/>
        <v>0</v>
      </c>
      <c r="AD175" s="386">
        <f t="shared" si="917"/>
        <v>0</v>
      </c>
      <c r="AE175" s="386">
        <f t="shared" si="918"/>
        <v>0</v>
      </c>
      <c r="AF175" s="386">
        <f t="shared" si="919"/>
        <v>0</v>
      </c>
      <c r="AG175" s="375">
        <f t="shared" si="920"/>
        <v>0</v>
      </c>
      <c r="AH175" s="375">
        <f t="shared" si="921"/>
        <v>0</v>
      </c>
      <c r="AI175" s="386">
        <f t="shared" si="922"/>
        <v>0</v>
      </c>
      <c r="AJ175" s="386">
        <f t="shared" si="923"/>
        <v>0</v>
      </c>
      <c r="AK175" s="386">
        <f t="shared" si="924"/>
        <v>0</v>
      </c>
      <c r="AL175" s="377">
        <f t="shared" si="925"/>
        <v>0</v>
      </c>
      <c r="AM175" s="377">
        <f t="shared" si="926"/>
        <v>0</v>
      </c>
      <c r="AN175" s="377">
        <f t="shared" si="927"/>
        <v>0</v>
      </c>
      <c r="AO175" s="283"/>
      <c r="AP175" s="295">
        <f t="shared" si="951"/>
        <v>6.3850000000000004E-2</v>
      </c>
      <c r="AQ175" s="183">
        <f t="shared" si="952"/>
        <v>0</v>
      </c>
      <c r="AR175" s="94">
        <f t="shared" si="953"/>
        <v>0</v>
      </c>
      <c r="AS175" s="94">
        <f t="shared" si="954"/>
        <v>0.20600399999999999</v>
      </c>
      <c r="AT175" s="94">
        <f t="shared" si="908"/>
        <v>0.20600399999999999</v>
      </c>
      <c r="AU175" s="94">
        <f t="shared" si="955"/>
        <v>6.3850000000000004E-2</v>
      </c>
      <c r="AV175" s="94">
        <f t="shared" si="949"/>
        <v>0</v>
      </c>
      <c r="AW175" s="94">
        <f t="shared" si="956"/>
        <v>0</v>
      </c>
      <c r="AX175" s="94">
        <f t="shared" si="950"/>
        <v>0</v>
      </c>
      <c r="AY175" s="94">
        <f t="shared" si="957"/>
        <v>0</v>
      </c>
      <c r="AZ175" s="433">
        <f t="shared" si="958"/>
        <v>0</v>
      </c>
      <c r="BA175" s="1008">
        <v>0</v>
      </c>
      <c r="BB175" s="409">
        <v>0</v>
      </c>
      <c r="BC175" s="1025">
        <f>-0.206004</f>
        <v>-0.20600399999999999</v>
      </c>
      <c r="BD175" s="1030">
        <v>0</v>
      </c>
      <c r="BE175" s="389">
        <v>-0.20600399999999999</v>
      </c>
      <c r="BF175" s="516">
        <v>-0.20600399999999999</v>
      </c>
      <c r="BG175" s="207">
        <f>-0.06385</f>
        <v>-6.3850000000000004E-2</v>
      </c>
      <c r="BH175" s="207">
        <f>0</f>
        <v>0</v>
      </c>
      <c r="BI175" s="389">
        <f>0</f>
        <v>0</v>
      </c>
      <c r="BJ175" s="516">
        <f>0</f>
        <v>0</v>
      </c>
      <c r="BK175" s="516">
        <f>0</f>
        <v>0</v>
      </c>
      <c r="BL175" s="516">
        <f>0</f>
        <v>0</v>
      </c>
      <c r="BM175" s="516">
        <f>0</f>
        <v>0</v>
      </c>
      <c r="BN175" s="409">
        <v>0</v>
      </c>
      <c r="BO175" s="207">
        <v>0</v>
      </c>
      <c r="BP175" s="389">
        <v>0</v>
      </c>
      <c r="BQ175" s="389">
        <v>0</v>
      </c>
      <c r="BR175" s="389">
        <v>0</v>
      </c>
      <c r="BS175" s="296">
        <v>0</v>
      </c>
      <c r="BT175" s="296">
        <v>0</v>
      </c>
      <c r="BU175" s="296">
        <v>0</v>
      </c>
      <c r="BV175" s="409">
        <v>0</v>
      </c>
      <c r="BW175" s="1011">
        <f t="shared" si="959"/>
        <v>0</v>
      </c>
      <c r="BX175" s="448" t="s">
        <v>1519</v>
      </c>
    </row>
    <row r="176" spans="1:78" s="1" customFormat="1" ht="62.25" hidden="1" customHeight="1" outlineLevel="1" x14ac:dyDescent="0.25">
      <c r="A176" s="678">
        <v>67</v>
      </c>
      <c r="B176" s="702" t="s">
        <v>69</v>
      </c>
      <c r="C176" s="697" t="s">
        <v>701</v>
      </c>
      <c r="D176" s="275">
        <v>44391</v>
      </c>
      <c r="E176" s="474" t="s">
        <v>1544</v>
      </c>
      <c r="F176" s="542" t="s">
        <v>1524</v>
      </c>
      <c r="G176" s="95" t="s">
        <v>24</v>
      </c>
      <c r="H176" s="311" t="s">
        <v>129</v>
      </c>
      <c r="I176" s="335"/>
      <c r="J176" s="294">
        <f t="shared" si="884"/>
        <v>0</v>
      </c>
      <c r="K176" s="52">
        <f t="shared" si="885"/>
        <v>0</v>
      </c>
      <c r="L176" s="52">
        <f t="shared" si="855"/>
        <v>0</v>
      </c>
      <c r="M176" s="52">
        <f t="shared" si="909"/>
        <v>0</v>
      </c>
      <c r="N176" s="52">
        <f t="shared" si="910"/>
        <v>0</v>
      </c>
      <c r="O176" s="52">
        <f t="shared" si="911"/>
        <v>7.2266546749449699E-5</v>
      </c>
      <c r="P176" s="52">
        <f t="shared" si="912"/>
        <v>7.4293088875779744E-5</v>
      </c>
      <c r="Q176" s="52">
        <f t="shared" si="913"/>
        <v>0</v>
      </c>
      <c r="R176" s="52">
        <f t="shared" si="914"/>
        <v>0</v>
      </c>
      <c r="S176" s="527">
        <f t="shared" si="886"/>
        <v>0</v>
      </c>
      <c r="T176" s="533">
        <f t="shared" si="915"/>
        <v>0</v>
      </c>
      <c r="U176" s="375">
        <f t="shared" si="905"/>
        <v>0</v>
      </c>
      <c r="V176" s="375">
        <f t="shared" si="864"/>
        <v>0</v>
      </c>
      <c r="W176" s="386">
        <f t="shared" si="865"/>
        <v>0</v>
      </c>
      <c r="X176" s="386">
        <f t="shared" si="866"/>
        <v>0</v>
      </c>
      <c r="Y176" s="386">
        <f t="shared" si="948"/>
        <v>0</v>
      </c>
      <c r="Z176" s="375">
        <f t="shared" si="938"/>
        <v>0</v>
      </c>
      <c r="AA176" s="375">
        <f t="shared" si="869"/>
        <v>-7.2266546749449699E-5</v>
      </c>
      <c r="AB176" s="386">
        <f t="shared" si="870"/>
        <v>-8.3773067741342577E-5</v>
      </c>
      <c r="AC176" s="386">
        <f t="shared" si="916"/>
        <v>-8.3773067741342631E-5</v>
      </c>
      <c r="AD176" s="386">
        <f t="shared" si="917"/>
        <v>-8.3773067741342631E-5</v>
      </c>
      <c r="AE176" s="386">
        <f t="shared" si="918"/>
        <v>-7.4293088875779744E-5</v>
      </c>
      <c r="AF176" s="386">
        <f t="shared" si="919"/>
        <v>-7.2266546749449699E-5</v>
      </c>
      <c r="AG176" s="375">
        <f t="shared" si="920"/>
        <v>0</v>
      </c>
      <c r="AH176" s="375">
        <f t="shared" si="921"/>
        <v>0</v>
      </c>
      <c r="AI176" s="386">
        <f t="shared" si="922"/>
        <v>0</v>
      </c>
      <c r="AJ176" s="386">
        <f t="shared" si="923"/>
        <v>0</v>
      </c>
      <c r="AK176" s="386">
        <f t="shared" si="924"/>
        <v>0</v>
      </c>
      <c r="AL176" s="377">
        <f t="shared" si="925"/>
        <v>0</v>
      </c>
      <c r="AM176" s="377">
        <f t="shared" si="926"/>
        <v>0</v>
      </c>
      <c r="AN176" s="377">
        <f t="shared" si="927"/>
        <v>0</v>
      </c>
      <c r="AO176" s="283"/>
      <c r="AP176" s="295">
        <f t="shared" si="951"/>
        <v>2.8501080000000001</v>
      </c>
      <c r="AQ176" s="183">
        <f t="shared" si="952"/>
        <v>0</v>
      </c>
      <c r="AR176" s="94">
        <f t="shared" si="953"/>
        <v>0</v>
      </c>
      <c r="AS176" s="94">
        <f t="shared" si="954"/>
        <v>0</v>
      </c>
      <c r="AT176" s="94">
        <f t="shared" si="908"/>
        <v>0</v>
      </c>
      <c r="AU176" s="94">
        <f t="shared" si="955"/>
        <v>0</v>
      </c>
      <c r="AV176" s="94">
        <f t="shared" si="949"/>
        <v>2.8501080000000001</v>
      </c>
      <c r="AW176" s="94">
        <f t="shared" si="956"/>
        <v>2.8501080000000001</v>
      </c>
      <c r="AX176" s="94">
        <f t="shared" si="950"/>
        <v>0</v>
      </c>
      <c r="AY176" s="94">
        <f t="shared" si="957"/>
        <v>0</v>
      </c>
      <c r="AZ176" s="433">
        <f t="shared" si="958"/>
        <v>0</v>
      </c>
      <c r="BA176" s="1008">
        <v>0</v>
      </c>
      <c r="BB176" s="409">
        <v>0</v>
      </c>
      <c r="BC176" s="1025">
        <f>0</f>
        <v>0</v>
      </c>
      <c r="BD176" s="1030">
        <v>0</v>
      </c>
      <c r="BE176" s="389">
        <v>0</v>
      </c>
      <c r="BF176" s="516">
        <v>0</v>
      </c>
      <c r="BG176" s="207">
        <v>0</v>
      </c>
      <c r="BH176" s="207">
        <f t="shared" ref="BH176:BM176" si="961">-2.850108</f>
        <v>-2.8501080000000001</v>
      </c>
      <c r="BI176" s="389">
        <f t="shared" si="961"/>
        <v>-2.8501080000000001</v>
      </c>
      <c r="BJ176" s="516">
        <f t="shared" si="961"/>
        <v>-2.8501080000000001</v>
      </c>
      <c r="BK176" s="516">
        <f t="shared" si="961"/>
        <v>-2.8501080000000001</v>
      </c>
      <c r="BL176" s="516">
        <f t="shared" si="961"/>
        <v>-2.8501080000000001</v>
      </c>
      <c r="BM176" s="516">
        <f t="shared" si="961"/>
        <v>-2.8501080000000001</v>
      </c>
      <c r="BN176" s="409">
        <v>0</v>
      </c>
      <c r="BO176" s="207">
        <v>0</v>
      </c>
      <c r="BP176" s="389">
        <v>0</v>
      </c>
      <c r="BQ176" s="389">
        <v>0</v>
      </c>
      <c r="BR176" s="389">
        <v>0</v>
      </c>
      <c r="BS176" s="296">
        <v>0</v>
      </c>
      <c r="BT176" s="296">
        <v>0</v>
      </c>
      <c r="BU176" s="296">
        <v>0</v>
      </c>
      <c r="BV176" s="409">
        <v>0</v>
      </c>
      <c r="BW176" s="1011">
        <f t="shared" si="959"/>
        <v>0</v>
      </c>
      <c r="BX176" s="448" t="s">
        <v>1542</v>
      </c>
    </row>
    <row r="177" spans="1:78" s="1" customFormat="1" ht="56.25" hidden="1" customHeight="1" outlineLevel="1" x14ac:dyDescent="0.25">
      <c r="A177" s="678">
        <v>68</v>
      </c>
      <c r="B177" s="702" t="s">
        <v>69</v>
      </c>
      <c r="C177" s="697" t="s">
        <v>1737</v>
      </c>
      <c r="D177" s="63">
        <v>44383</v>
      </c>
      <c r="E177" s="463" t="s">
        <v>1528</v>
      </c>
      <c r="F177" s="542" t="s">
        <v>1527</v>
      </c>
      <c r="G177" s="95" t="s">
        <v>24</v>
      </c>
      <c r="H177" s="311" t="s">
        <v>129</v>
      </c>
      <c r="I177" s="335"/>
      <c r="J177" s="294">
        <f t="shared" si="884"/>
        <v>0</v>
      </c>
      <c r="K177" s="52">
        <f t="shared" si="885"/>
        <v>0</v>
      </c>
      <c r="L177" s="52">
        <f t="shared" si="855"/>
        <v>1.1244558031341822E-4</v>
      </c>
      <c r="M177" s="52">
        <f t="shared" si="909"/>
        <v>1.1713490181374711E-4</v>
      </c>
      <c r="N177" s="52">
        <f t="shared" si="910"/>
        <v>1.0938037540603926E-4</v>
      </c>
      <c r="O177" s="52">
        <f t="shared" si="911"/>
        <v>0</v>
      </c>
      <c r="P177" s="52">
        <f t="shared" si="912"/>
        <v>0</v>
      </c>
      <c r="Q177" s="52">
        <f t="shared" si="913"/>
        <v>0</v>
      </c>
      <c r="R177" s="52">
        <f t="shared" si="914"/>
        <v>0</v>
      </c>
      <c r="S177" s="527">
        <f t="shared" si="886"/>
        <v>0</v>
      </c>
      <c r="T177" s="533">
        <f t="shared" si="915"/>
        <v>0</v>
      </c>
      <c r="U177" s="375">
        <f t="shared" si="905"/>
        <v>0</v>
      </c>
      <c r="V177" s="375">
        <f t="shared" si="864"/>
        <v>-1.1244558031341822E-4</v>
      </c>
      <c r="W177" s="386">
        <f t="shared" si="865"/>
        <v>0</v>
      </c>
      <c r="X177" s="386">
        <f t="shared" si="866"/>
        <v>-1.1713490181374711E-4</v>
      </c>
      <c r="Y177" s="386">
        <f t="shared" si="948"/>
        <v>-1.1713490181374711E-4</v>
      </c>
      <c r="Z177" s="375">
        <f t="shared" si="938"/>
        <v>-1.0938037540603926E-4</v>
      </c>
      <c r="AA177" s="375">
        <f t="shared" si="869"/>
        <v>0</v>
      </c>
      <c r="AB177" s="386">
        <f t="shared" si="870"/>
        <v>0</v>
      </c>
      <c r="AC177" s="386">
        <f t="shared" si="916"/>
        <v>0</v>
      </c>
      <c r="AD177" s="386">
        <f t="shared" si="917"/>
        <v>0</v>
      </c>
      <c r="AE177" s="386">
        <f t="shared" si="918"/>
        <v>0</v>
      </c>
      <c r="AF177" s="386">
        <f t="shared" si="919"/>
        <v>0</v>
      </c>
      <c r="AG177" s="375">
        <f t="shared" si="920"/>
        <v>0</v>
      </c>
      <c r="AH177" s="375">
        <f t="shared" si="921"/>
        <v>0</v>
      </c>
      <c r="AI177" s="386">
        <f t="shared" si="922"/>
        <v>0</v>
      </c>
      <c r="AJ177" s="386">
        <f t="shared" si="923"/>
        <v>0</v>
      </c>
      <c r="AK177" s="386">
        <f t="shared" si="924"/>
        <v>0</v>
      </c>
      <c r="AL177" s="377">
        <f t="shared" si="925"/>
        <v>0</v>
      </c>
      <c r="AM177" s="377">
        <f t="shared" si="926"/>
        <v>0</v>
      </c>
      <c r="AN177" s="377">
        <f t="shared" si="927"/>
        <v>0</v>
      </c>
      <c r="AO177" s="283"/>
      <c r="AP177" s="295">
        <f t="shared" si="951"/>
        <v>3.6738220000000004</v>
      </c>
      <c r="AQ177" s="183">
        <f t="shared" si="952"/>
        <v>0</v>
      </c>
      <c r="AR177" s="94">
        <f t="shared" si="953"/>
        <v>0</v>
      </c>
      <c r="AS177" s="94">
        <f>-BC177</f>
        <v>3.6738219999999999</v>
      </c>
      <c r="AT177" s="94">
        <f t="shared" si="908"/>
        <v>3.6738219999999999</v>
      </c>
      <c r="AU177" s="94">
        <f t="shared" si="955"/>
        <v>3.6738220000000004</v>
      </c>
      <c r="AV177" s="94">
        <f t="shared" si="949"/>
        <v>0</v>
      </c>
      <c r="AW177" s="94">
        <f t="shared" si="956"/>
        <v>0</v>
      </c>
      <c r="AX177" s="94">
        <f t="shared" si="950"/>
        <v>0</v>
      </c>
      <c r="AY177" s="94">
        <f t="shared" si="957"/>
        <v>0</v>
      </c>
      <c r="AZ177" s="433">
        <f t="shared" si="958"/>
        <v>0</v>
      </c>
      <c r="BA177" s="1008">
        <v>0</v>
      </c>
      <c r="BB177" s="409">
        <v>0</v>
      </c>
      <c r="BC177" s="1025">
        <f>-3.673822</f>
        <v>-3.6738219999999999</v>
      </c>
      <c r="BD177" s="1030">
        <v>0</v>
      </c>
      <c r="BE177" s="389">
        <v>-3.6738219999999999</v>
      </c>
      <c r="BF177" s="516">
        <v>-3.6738219999999999</v>
      </c>
      <c r="BG177" s="207">
        <f>-0.153589-3.520233</f>
        <v>-3.6738220000000004</v>
      </c>
      <c r="BH177" s="207">
        <f>0</f>
        <v>0</v>
      </c>
      <c r="BI177" s="389">
        <f>0</f>
        <v>0</v>
      </c>
      <c r="BJ177" s="516">
        <f>0</f>
        <v>0</v>
      </c>
      <c r="BK177" s="516">
        <f>0</f>
        <v>0</v>
      </c>
      <c r="BL177" s="516">
        <f>0</f>
        <v>0</v>
      </c>
      <c r="BM177" s="516">
        <f>0</f>
        <v>0</v>
      </c>
      <c r="BN177" s="409">
        <v>0</v>
      </c>
      <c r="BO177" s="207">
        <v>0</v>
      </c>
      <c r="BP177" s="389">
        <v>0</v>
      </c>
      <c r="BQ177" s="389">
        <v>0</v>
      </c>
      <c r="BR177" s="389">
        <v>0</v>
      </c>
      <c r="BS177" s="296">
        <v>0</v>
      </c>
      <c r="BT177" s="296">
        <v>0</v>
      </c>
      <c r="BU177" s="296">
        <v>0</v>
      </c>
      <c r="BV177" s="409">
        <v>0</v>
      </c>
      <c r="BW177" s="1011">
        <f t="shared" si="959"/>
        <v>0</v>
      </c>
      <c r="BX177" s="448" t="s">
        <v>1526</v>
      </c>
      <c r="BZ177" s="650"/>
    </row>
    <row r="178" spans="1:78" s="1" customFormat="1" ht="56.25" hidden="1" customHeight="1" outlineLevel="1" x14ac:dyDescent="0.25">
      <c r="A178" s="678">
        <v>69</v>
      </c>
      <c r="B178" s="702" t="s">
        <v>69</v>
      </c>
      <c r="C178" s="697" t="s">
        <v>1737</v>
      </c>
      <c r="D178" s="63">
        <v>44382</v>
      </c>
      <c r="E178" s="463" t="s">
        <v>1529</v>
      </c>
      <c r="F178" s="542" t="s">
        <v>1527</v>
      </c>
      <c r="G178" s="95" t="s">
        <v>24</v>
      </c>
      <c r="H178" s="311" t="s">
        <v>129</v>
      </c>
      <c r="I178" s="335"/>
      <c r="J178" s="294">
        <f t="shared" si="884"/>
        <v>0</v>
      </c>
      <c r="K178" s="52">
        <f t="shared" si="885"/>
        <v>0</v>
      </c>
      <c r="L178" s="52">
        <f t="shared" si="855"/>
        <v>9.5611196131243885E-5</v>
      </c>
      <c r="M178" s="52">
        <f t="shared" si="909"/>
        <v>9.9598472789345682E-5</v>
      </c>
      <c r="N178" s="52">
        <f t="shared" si="910"/>
        <v>9.3004887312658061E-5</v>
      </c>
      <c r="O178" s="52">
        <f t="shared" si="911"/>
        <v>0</v>
      </c>
      <c r="P178" s="52">
        <f t="shared" si="912"/>
        <v>0</v>
      </c>
      <c r="Q178" s="52">
        <f t="shared" si="913"/>
        <v>0</v>
      </c>
      <c r="R178" s="52">
        <f t="shared" si="914"/>
        <v>0</v>
      </c>
      <c r="S178" s="527">
        <f t="shared" si="886"/>
        <v>0</v>
      </c>
      <c r="T178" s="533">
        <f t="shared" si="915"/>
        <v>0</v>
      </c>
      <c r="U178" s="375">
        <f t="shared" si="905"/>
        <v>0</v>
      </c>
      <c r="V178" s="375">
        <f t="shared" si="864"/>
        <v>-9.5611196131243885E-5</v>
      </c>
      <c r="W178" s="386">
        <f t="shared" si="865"/>
        <v>0</v>
      </c>
      <c r="X178" s="386">
        <f t="shared" si="866"/>
        <v>-9.9598472789345682E-5</v>
      </c>
      <c r="Y178" s="386">
        <f t="shared" si="948"/>
        <v>-9.9598472789345682E-5</v>
      </c>
      <c r="Z178" s="375">
        <f t="shared" si="938"/>
        <v>-9.3004887312658061E-5</v>
      </c>
      <c r="AA178" s="375">
        <f t="shared" si="869"/>
        <v>0</v>
      </c>
      <c r="AB178" s="386">
        <f t="shared" si="870"/>
        <v>0</v>
      </c>
      <c r="AC178" s="386">
        <f t="shared" si="916"/>
        <v>0</v>
      </c>
      <c r="AD178" s="386">
        <f t="shared" si="917"/>
        <v>0</v>
      </c>
      <c r="AE178" s="386">
        <f t="shared" si="918"/>
        <v>0</v>
      </c>
      <c r="AF178" s="386">
        <f t="shared" si="919"/>
        <v>0</v>
      </c>
      <c r="AG178" s="375">
        <f t="shared" si="920"/>
        <v>0</v>
      </c>
      <c r="AH178" s="375">
        <f t="shared" si="921"/>
        <v>0</v>
      </c>
      <c r="AI178" s="386">
        <f t="shared" si="922"/>
        <v>0</v>
      </c>
      <c r="AJ178" s="386">
        <f t="shared" si="923"/>
        <v>0</v>
      </c>
      <c r="AK178" s="386">
        <f t="shared" si="924"/>
        <v>0</v>
      </c>
      <c r="AL178" s="377">
        <f t="shared" si="925"/>
        <v>0</v>
      </c>
      <c r="AM178" s="377">
        <f t="shared" si="926"/>
        <v>0</v>
      </c>
      <c r="AN178" s="377">
        <f t="shared" si="927"/>
        <v>0</v>
      </c>
      <c r="AO178" s="283"/>
      <c r="AP178" s="295">
        <f t="shared" si="951"/>
        <v>3.1238090000000001</v>
      </c>
      <c r="AQ178" s="183">
        <f t="shared" si="952"/>
        <v>0</v>
      </c>
      <c r="AR178" s="94">
        <f t="shared" si="953"/>
        <v>0</v>
      </c>
      <c r="AS178" s="94">
        <f t="shared" ref="AS178:AS198" si="962">-BC178</f>
        <v>3.1238090000000001</v>
      </c>
      <c r="AT178" s="94">
        <f t="shared" si="908"/>
        <v>3.1238090000000001</v>
      </c>
      <c r="AU178" s="94">
        <f t="shared" si="955"/>
        <v>3.1238090000000001</v>
      </c>
      <c r="AV178" s="94">
        <f t="shared" si="949"/>
        <v>0</v>
      </c>
      <c r="AW178" s="94">
        <f t="shared" ref="AW178:AW198" si="963">-BH178</f>
        <v>0</v>
      </c>
      <c r="AX178" s="94">
        <f t="shared" si="950"/>
        <v>0</v>
      </c>
      <c r="AY178" s="94">
        <f t="shared" ref="AY178:AY198" si="964">-BO178</f>
        <v>0</v>
      </c>
      <c r="AZ178" s="433">
        <f t="shared" ref="AZ178:AZ198" si="965">-BU178</f>
        <v>0</v>
      </c>
      <c r="BA178" s="1008">
        <v>0</v>
      </c>
      <c r="BB178" s="409">
        <v>0</v>
      </c>
      <c r="BC178" s="1025">
        <f>-3.123809</f>
        <v>-3.1238090000000001</v>
      </c>
      <c r="BD178" s="1030">
        <v>0</v>
      </c>
      <c r="BE178" s="389">
        <v>-3.1238090000000001</v>
      </c>
      <c r="BF178" s="516">
        <v>-3.1238090000000001</v>
      </c>
      <c r="BG178" s="207">
        <f>-0.118822-3.004987</f>
        <v>-3.1238090000000001</v>
      </c>
      <c r="BH178" s="207">
        <f>0</f>
        <v>0</v>
      </c>
      <c r="BI178" s="389">
        <f>0</f>
        <v>0</v>
      </c>
      <c r="BJ178" s="516">
        <f>0</f>
        <v>0</v>
      </c>
      <c r="BK178" s="516">
        <f>0</f>
        <v>0</v>
      </c>
      <c r="BL178" s="516">
        <f>0</f>
        <v>0</v>
      </c>
      <c r="BM178" s="516">
        <f>0</f>
        <v>0</v>
      </c>
      <c r="BN178" s="409">
        <v>0</v>
      </c>
      <c r="BO178" s="207">
        <v>0</v>
      </c>
      <c r="BP178" s="389">
        <v>0</v>
      </c>
      <c r="BQ178" s="389">
        <v>0</v>
      </c>
      <c r="BR178" s="389">
        <v>0</v>
      </c>
      <c r="BS178" s="296">
        <v>0</v>
      </c>
      <c r="BT178" s="296">
        <v>0</v>
      </c>
      <c r="BU178" s="296">
        <v>0</v>
      </c>
      <c r="BV178" s="409">
        <v>0</v>
      </c>
      <c r="BW178" s="1011">
        <f t="shared" si="959"/>
        <v>0</v>
      </c>
      <c r="BX178" s="448" t="s">
        <v>1530</v>
      </c>
      <c r="BZ178" s="650"/>
    </row>
    <row r="179" spans="1:78" s="1" customFormat="1" ht="56.25" hidden="1" customHeight="1" outlineLevel="1" x14ac:dyDescent="0.25">
      <c r="A179" s="678">
        <v>70</v>
      </c>
      <c r="B179" s="702" t="s">
        <v>69</v>
      </c>
      <c r="C179" s="697" t="s">
        <v>701</v>
      </c>
      <c r="D179" s="275" t="s">
        <v>1638</v>
      </c>
      <c r="E179" s="474" t="s">
        <v>1544</v>
      </c>
      <c r="F179" s="542" t="s">
        <v>1545</v>
      </c>
      <c r="G179" s="95" t="s">
        <v>24</v>
      </c>
      <c r="H179" s="311" t="s">
        <v>129</v>
      </c>
      <c r="I179" s="335"/>
      <c r="J179" s="294">
        <f t="shared" si="884"/>
        <v>0</v>
      </c>
      <c r="K179" s="52">
        <f t="shared" si="885"/>
        <v>0</v>
      </c>
      <c r="L179" s="52">
        <f t="shared" si="855"/>
        <v>0</v>
      </c>
      <c r="M179" s="52">
        <f t="shared" si="909"/>
        <v>0</v>
      </c>
      <c r="N179" s="52">
        <f t="shared" si="910"/>
        <v>0</v>
      </c>
      <c r="O179" s="52">
        <f t="shared" si="911"/>
        <v>2.5168967185110636E-4</v>
      </c>
      <c r="P179" s="52">
        <f t="shared" si="912"/>
        <v>2.5874770555703178E-4</v>
      </c>
      <c r="Q179" s="52">
        <f t="shared" si="913"/>
        <v>0</v>
      </c>
      <c r="R179" s="52">
        <f t="shared" si="914"/>
        <v>0</v>
      </c>
      <c r="S179" s="527">
        <f t="shared" si="886"/>
        <v>0</v>
      </c>
      <c r="T179" s="533">
        <f t="shared" si="915"/>
        <v>0</v>
      </c>
      <c r="U179" s="375">
        <f t="shared" si="905"/>
        <v>0</v>
      </c>
      <c r="V179" s="375">
        <f t="shared" si="864"/>
        <v>0</v>
      </c>
      <c r="W179" s="386">
        <f t="shared" si="865"/>
        <v>0</v>
      </c>
      <c r="X179" s="386">
        <f t="shared" si="866"/>
        <v>0</v>
      </c>
      <c r="Y179" s="386">
        <f t="shared" si="948"/>
        <v>0</v>
      </c>
      <c r="Z179" s="375">
        <f t="shared" si="938"/>
        <v>0</v>
      </c>
      <c r="AA179" s="375">
        <f t="shared" si="869"/>
        <v>-2.5168967185110636E-4</v>
      </c>
      <c r="AB179" s="386">
        <f t="shared" si="870"/>
        <v>-3.5136446986422501E-4</v>
      </c>
      <c r="AC179" s="386">
        <f t="shared" si="916"/>
        <v>-2.9176454221454255E-4</v>
      </c>
      <c r="AD179" s="386">
        <f t="shared" si="917"/>
        <v>-2.9176454221454255E-4</v>
      </c>
      <c r="AE179" s="386">
        <f t="shared" si="918"/>
        <v>-2.5874770555703178E-4</v>
      </c>
      <c r="AF179" s="386">
        <f t="shared" si="919"/>
        <v>-2.5168967185110636E-4</v>
      </c>
      <c r="AG179" s="375">
        <f t="shared" si="920"/>
        <v>0</v>
      </c>
      <c r="AH179" s="375">
        <f t="shared" si="921"/>
        <v>0</v>
      </c>
      <c r="AI179" s="386">
        <f t="shared" si="922"/>
        <v>0</v>
      </c>
      <c r="AJ179" s="386">
        <f t="shared" si="923"/>
        <v>0</v>
      </c>
      <c r="AK179" s="386">
        <f t="shared" si="924"/>
        <v>0</v>
      </c>
      <c r="AL179" s="377">
        <f t="shared" si="925"/>
        <v>0</v>
      </c>
      <c r="AM179" s="377">
        <f t="shared" si="926"/>
        <v>0</v>
      </c>
      <c r="AN179" s="377">
        <f t="shared" si="927"/>
        <v>0</v>
      </c>
      <c r="AO179" s="283"/>
      <c r="AP179" s="295">
        <f t="shared" si="951"/>
        <v>9.9263460000000006</v>
      </c>
      <c r="AQ179" s="183">
        <f t="shared" si="952"/>
        <v>0</v>
      </c>
      <c r="AR179" s="94">
        <f t="shared" si="953"/>
        <v>0</v>
      </c>
      <c r="AS179" s="94">
        <f t="shared" si="962"/>
        <v>0</v>
      </c>
      <c r="AT179" s="94">
        <f t="shared" si="908"/>
        <v>0</v>
      </c>
      <c r="AU179" s="94">
        <f t="shared" si="955"/>
        <v>0</v>
      </c>
      <c r="AV179" s="94">
        <f t="shared" si="949"/>
        <v>9.9263460000000006</v>
      </c>
      <c r="AW179" s="94">
        <f t="shared" si="963"/>
        <v>9.9263460000000006</v>
      </c>
      <c r="AX179" s="94">
        <f t="shared" si="950"/>
        <v>0</v>
      </c>
      <c r="AY179" s="94">
        <f t="shared" si="964"/>
        <v>0</v>
      </c>
      <c r="AZ179" s="433">
        <f t="shared" si="965"/>
        <v>0</v>
      </c>
      <c r="BA179" s="1008">
        <v>0</v>
      </c>
      <c r="BB179" s="409">
        <v>0</v>
      </c>
      <c r="BC179" s="1025">
        <f>0</f>
        <v>0</v>
      </c>
      <c r="BD179" s="1030">
        <v>0</v>
      </c>
      <c r="BE179" s="389">
        <v>0</v>
      </c>
      <c r="BF179" s="516">
        <v>0</v>
      </c>
      <c r="BG179" s="207">
        <v>0</v>
      </c>
      <c r="BH179" s="207">
        <f>-9.926346</f>
        <v>-9.9263460000000006</v>
      </c>
      <c r="BI179" s="389">
        <f>-10.158374-1.795667</f>
        <v>-11.954041</v>
      </c>
      <c r="BJ179" s="516">
        <f>-9.926346</f>
        <v>-9.9263460000000006</v>
      </c>
      <c r="BK179" s="516">
        <f>-9.926346</f>
        <v>-9.9263460000000006</v>
      </c>
      <c r="BL179" s="516">
        <f>-9.926346</f>
        <v>-9.9263460000000006</v>
      </c>
      <c r="BM179" s="516">
        <f>-9.926346</f>
        <v>-9.9263460000000006</v>
      </c>
      <c r="BN179" s="409">
        <v>0</v>
      </c>
      <c r="BO179" s="207">
        <v>0</v>
      </c>
      <c r="BP179" s="389">
        <v>0</v>
      </c>
      <c r="BQ179" s="389">
        <v>0</v>
      </c>
      <c r="BR179" s="389">
        <v>0</v>
      </c>
      <c r="BS179" s="296">
        <v>0</v>
      </c>
      <c r="BT179" s="296">
        <v>0</v>
      </c>
      <c r="BU179" s="296">
        <v>0</v>
      </c>
      <c r="BV179" s="409">
        <v>0</v>
      </c>
      <c r="BW179" s="1011">
        <f t="shared" si="959"/>
        <v>0</v>
      </c>
      <c r="BX179" s="448" t="s">
        <v>1662</v>
      </c>
    </row>
    <row r="180" spans="1:78" s="1" customFormat="1" ht="56.25" hidden="1" customHeight="1" outlineLevel="1" x14ac:dyDescent="0.25">
      <c r="A180" s="678">
        <v>71</v>
      </c>
      <c r="B180" s="702" t="s">
        <v>69</v>
      </c>
      <c r="C180" s="697" t="s">
        <v>1738</v>
      </c>
      <c r="D180" s="63">
        <v>44407</v>
      </c>
      <c r="E180" s="463" t="s">
        <v>1551</v>
      </c>
      <c r="F180" s="542" t="s">
        <v>1550</v>
      </c>
      <c r="G180" s="95" t="s">
        <v>24</v>
      </c>
      <c r="H180" s="311" t="s">
        <v>129</v>
      </c>
      <c r="I180" s="335"/>
      <c r="J180" s="294">
        <f t="shared" si="884"/>
        <v>0</v>
      </c>
      <c r="K180" s="52">
        <f t="shared" si="885"/>
        <v>0</v>
      </c>
      <c r="L180" s="52">
        <f t="shared" si="855"/>
        <v>0</v>
      </c>
      <c r="M180" s="52">
        <f t="shared" si="909"/>
        <v>0</v>
      </c>
      <c r="N180" s="52">
        <f t="shared" si="910"/>
        <v>0</v>
      </c>
      <c r="O180" s="52">
        <f t="shared" si="911"/>
        <v>0</v>
      </c>
      <c r="P180" s="52">
        <f t="shared" si="912"/>
        <v>0</v>
      </c>
      <c r="Q180" s="52">
        <f t="shared" si="913"/>
        <v>0</v>
      </c>
      <c r="R180" s="52">
        <f t="shared" si="914"/>
        <v>0</v>
      </c>
      <c r="S180" s="527">
        <f t="shared" si="886"/>
        <v>0</v>
      </c>
      <c r="T180" s="533">
        <f t="shared" si="915"/>
        <v>0</v>
      </c>
      <c r="U180" s="375">
        <f t="shared" si="905"/>
        <v>0</v>
      </c>
      <c r="V180" s="375">
        <f t="shared" si="864"/>
        <v>0</v>
      </c>
      <c r="W180" s="386">
        <f t="shared" si="865"/>
        <v>0</v>
      </c>
      <c r="X180" s="386">
        <f t="shared" si="866"/>
        <v>0</v>
      </c>
      <c r="Y180" s="386">
        <f t="shared" si="948"/>
        <v>0</v>
      </c>
      <c r="Z180" s="375">
        <f t="shared" si="938"/>
        <v>0</v>
      </c>
      <c r="AA180" s="375">
        <f t="shared" si="869"/>
        <v>0</v>
      </c>
      <c r="AB180" s="386">
        <f t="shared" si="870"/>
        <v>0</v>
      </c>
      <c r="AC180" s="386">
        <f t="shared" si="916"/>
        <v>0</v>
      </c>
      <c r="AD180" s="386">
        <f t="shared" si="917"/>
        <v>0</v>
      </c>
      <c r="AE180" s="386">
        <f t="shared" si="918"/>
        <v>0</v>
      </c>
      <c r="AF180" s="386">
        <f t="shared" si="919"/>
        <v>0</v>
      </c>
      <c r="AG180" s="375">
        <f t="shared" si="920"/>
        <v>0</v>
      </c>
      <c r="AH180" s="375">
        <f t="shared" si="921"/>
        <v>0</v>
      </c>
      <c r="AI180" s="386">
        <f t="shared" si="922"/>
        <v>0</v>
      </c>
      <c r="AJ180" s="386">
        <f t="shared" si="923"/>
        <v>0</v>
      </c>
      <c r="AK180" s="386">
        <f t="shared" si="924"/>
        <v>0</v>
      </c>
      <c r="AL180" s="377">
        <f t="shared" si="925"/>
        <v>0</v>
      </c>
      <c r="AM180" s="377">
        <f t="shared" si="926"/>
        <v>0</v>
      </c>
      <c r="AN180" s="377">
        <f t="shared" si="927"/>
        <v>0</v>
      </c>
      <c r="AO180" s="283"/>
      <c r="AP180" s="295">
        <f t="shared" si="951"/>
        <v>0</v>
      </c>
      <c r="AQ180" s="183">
        <f t="shared" si="952"/>
        <v>0</v>
      </c>
      <c r="AR180" s="94">
        <f t="shared" si="953"/>
        <v>0</v>
      </c>
      <c r="AS180" s="94">
        <f t="shared" si="962"/>
        <v>0</v>
      </c>
      <c r="AT180" s="94">
        <f t="shared" si="908"/>
        <v>0</v>
      </c>
      <c r="AU180" s="94">
        <f t="shared" si="955"/>
        <v>0</v>
      </c>
      <c r="AV180" s="94">
        <f t="shared" si="949"/>
        <v>0</v>
      </c>
      <c r="AW180" s="94">
        <f t="shared" si="963"/>
        <v>0</v>
      </c>
      <c r="AX180" s="94">
        <f t="shared" si="950"/>
        <v>0</v>
      </c>
      <c r="AY180" s="94">
        <f t="shared" si="964"/>
        <v>0</v>
      </c>
      <c r="AZ180" s="433">
        <f t="shared" si="965"/>
        <v>0</v>
      </c>
      <c r="BA180" s="1008">
        <v>0</v>
      </c>
      <c r="BB180" s="409">
        <v>0</v>
      </c>
      <c r="BC180" s="1025">
        <f>0</f>
        <v>0</v>
      </c>
      <c r="BD180" s="1030">
        <v>0</v>
      </c>
      <c r="BE180" s="389">
        <v>0</v>
      </c>
      <c r="BF180" s="516">
        <v>0</v>
      </c>
      <c r="BG180" s="207">
        <v>0</v>
      </c>
      <c r="BH180" s="207">
        <v>0</v>
      </c>
      <c r="BI180" s="389">
        <v>0</v>
      </c>
      <c r="BJ180" s="516">
        <v>0</v>
      </c>
      <c r="BK180" s="516">
        <v>0</v>
      </c>
      <c r="BL180" s="516">
        <v>0</v>
      </c>
      <c r="BM180" s="516">
        <v>0</v>
      </c>
      <c r="BN180" s="409">
        <v>0</v>
      </c>
      <c r="BO180" s="207">
        <v>0</v>
      </c>
      <c r="BP180" s="389">
        <v>0</v>
      </c>
      <c r="BQ180" s="389">
        <v>0</v>
      </c>
      <c r="BR180" s="389">
        <v>0</v>
      </c>
      <c r="BS180" s="296">
        <v>0</v>
      </c>
      <c r="BT180" s="296">
        <v>0</v>
      </c>
      <c r="BU180" s="296">
        <v>0</v>
      </c>
      <c r="BV180" s="409">
        <v>0</v>
      </c>
      <c r="BW180" s="1011">
        <f t="shared" si="959"/>
        <v>0</v>
      </c>
      <c r="BX180" s="449" t="s">
        <v>1602</v>
      </c>
    </row>
    <row r="181" spans="1:78" s="1" customFormat="1" ht="56.25" hidden="1" customHeight="1" outlineLevel="1" x14ac:dyDescent="0.25">
      <c r="A181" s="678">
        <v>72</v>
      </c>
      <c r="B181" s="702" t="s">
        <v>69</v>
      </c>
      <c r="C181" s="697" t="s">
        <v>1738</v>
      </c>
      <c r="D181" s="63">
        <v>44418</v>
      </c>
      <c r="E181" s="463" t="s">
        <v>1562</v>
      </c>
      <c r="F181" s="542" t="s">
        <v>1563</v>
      </c>
      <c r="G181" s="95" t="s">
        <v>216</v>
      </c>
      <c r="H181" s="311" t="s">
        <v>129</v>
      </c>
      <c r="I181" s="335"/>
      <c r="J181" s="294">
        <f t="shared" si="884"/>
        <v>0</v>
      </c>
      <c r="K181" s="52">
        <f t="shared" si="885"/>
        <v>0</v>
      </c>
      <c r="L181" s="52">
        <f t="shared" si="855"/>
        <v>1.03256611165524E-6</v>
      </c>
      <c r="M181" s="52">
        <f t="shared" si="909"/>
        <v>1.0756272480236039E-6</v>
      </c>
      <c r="N181" s="52">
        <f t="shared" si="910"/>
        <v>1.0044189252223271E-6</v>
      </c>
      <c r="O181" s="52">
        <f t="shared" si="911"/>
        <v>0</v>
      </c>
      <c r="P181" s="52">
        <f t="shared" si="912"/>
        <v>0</v>
      </c>
      <c r="Q181" s="52">
        <f t="shared" si="913"/>
        <v>0</v>
      </c>
      <c r="R181" s="52">
        <f t="shared" si="914"/>
        <v>0</v>
      </c>
      <c r="S181" s="527">
        <f t="shared" si="886"/>
        <v>0</v>
      </c>
      <c r="T181" s="533">
        <f t="shared" si="915"/>
        <v>0</v>
      </c>
      <c r="U181" s="375">
        <f t="shared" si="905"/>
        <v>0</v>
      </c>
      <c r="V181" s="375">
        <f t="shared" si="864"/>
        <v>-1.03256611165524E-6</v>
      </c>
      <c r="W181" s="386">
        <f t="shared" si="865"/>
        <v>0</v>
      </c>
      <c r="X181" s="386">
        <f t="shared" si="866"/>
        <v>0</v>
      </c>
      <c r="Y181" s="386">
        <f t="shared" si="948"/>
        <v>0</v>
      </c>
      <c r="Z181" s="375">
        <f t="shared" si="938"/>
        <v>-1.0044189252223271E-6</v>
      </c>
      <c r="AA181" s="375">
        <f t="shared" si="869"/>
        <v>0</v>
      </c>
      <c r="AB181" s="386">
        <f t="shared" si="870"/>
        <v>0</v>
      </c>
      <c r="AC181" s="386">
        <f t="shared" si="916"/>
        <v>0</v>
      </c>
      <c r="AD181" s="386">
        <f t="shared" si="917"/>
        <v>0</v>
      </c>
      <c r="AE181" s="386">
        <f t="shared" si="918"/>
        <v>0</v>
      </c>
      <c r="AF181" s="386">
        <f t="shared" si="919"/>
        <v>0</v>
      </c>
      <c r="AG181" s="375">
        <f t="shared" si="920"/>
        <v>0</v>
      </c>
      <c r="AH181" s="375">
        <f t="shared" si="921"/>
        <v>0</v>
      </c>
      <c r="AI181" s="386">
        <f t="shared" si="922"/>
        <v>0</v>
      </c>
      <c r="AJ181" s="386">
        <f t="shared" si="923"/>
        <v>0</v>
      </c>
      <c r="AK181" s="386">
        <f t="shared" si="924"/>
        <v>0</v>
      </c>
      <c r="AL181" s="377">
        <f t="shared" si="925"/>
        <v>0</v>
      </c>
      <c r="AM181" s="377">
        <f t="shared" si="926"/>
        <v>0</v>
      </c>
      <c r="AN181" s="377">
        <f t="shared" si="927"/>
        <v>0</v>
      </c>
      <c r="AO181" s="283"/>
      <c r="AP181" s="295">
        <v>3.3736000000000002E-2</v>
      </c>
      <c r="AQ181" s="183">
        <v>0</v>
      </c>
      <c r="AR181" s="94">
        <v>0</v>
      </c>
      <c r="AS181" s="94">
        <v>3.3736000000000002E-2</v>
      </c>
      <c r="AT181" s="94">
        <v>3.3736000000000002E-2</v>
      </c>
      <c r="AU181" s="94">
        <v>3.3736000000000002E-2</v>
      </c>
      <c r="AV181" s="94">
        <v>0</v>
      </c>
      <c r="AW181" s="94">
        <v>0</v>
      </c>
      <c r="AX181" s="94">
        <f t="shared" si="950"/>
        <v>0</v>
      </c>
      <c r="AY181" s="94">
        <v>0</v>
      </c>
      <c r="AZ181" s="433">
        <v>0</v>
      </c>
      <c r="BA181" s="1008">
        <v>0</v>
      </c>
      <c r="BB181" s="409">
        <v>0</v>
      </c>
      <c r="BC181" s="1025">
        <v>-3.3736000000000002E-2</v>
      </c>
      <c r="BD181" s="1030">
        <v>0</v>
      </c>
      <c r="BE181" s="389">
        <v>0</v>
      </c>
      <c r="BF181" s="516">
        <v>0</v>
      </c>
      <c r="BG181" s="207">
        <v>-3.3736000000000002E-2</v>
      </c>
      <c r="BH181" s="207">
        <v>0</v>
      </c>
      <c r="BI181" s="389">
        <v>0</v>
      </c>
      <c r="BJ181" s="516">
        <v>0</v>
      </c>
      <c r="BK181" s="516">
        <v>0</v>
      </c>
      <c r="BL181" s="516">
        <v>0</v>
      </c>
      <c r="BM181" s="516">
        <v>0</v>
      </c>
      <c r="BN181" s="409">
        <v>0</v>
      </c>
      <c r="BO181" s="207">
        <v>0</v>
      </c>
      <c r="BP181" s="389">
        <v>0</v>
      </c>
      <c r="BQ181" s="389">
        <v>0</v>
      </c>
      <c r="BR181" s="389">
        <v>0</v>
      </c>
      <c r="BS181" s="296">
        <v>0</v>
      </c>
      <c r="BT181" s="296">
        <v>0</v>
      </c>
      <c r="BU181" s="296">
        <v>0</v>
      </c>
      <c r="BV181" s="409">
        <v>0</v>
      </c>
      <c r="BW181" s="1011">
        <v>0</v>
      </c>
      <c r="BX181" s="449" t="s">
        <v>1564</v>
      </c>
    </row>
    <row r="182" spans="1:78" s="1" customFormat="1" ht="56.25" hidden="1" customHeight="1" outlineLevel="1" x14ac:dyDescent="0.25">
      <c r="A182" s="678">
        <v>72</v>
      </c>
      <c r="B182" s="702" t="s">
        <v>69</v>
      </c>
      <c r="C182" s="697" t="s">
        <v>1738</v>
      </c>
      <c r="D182" s="63">
        <v>44601</v>
      </c>
      <c r="E182" s="463" t="s">
        <v>1977</v>
      </c>
      <c r="F182" s="542" t="s">
        <v>1563</v>
      </c>
      <c r="G182" s="95" t="s">
        <v>216</v>
      </c>
      <c r="H182" s="311" t="s">
        <v>129</v>
      </c>
      <c r="I182" s="335"/>
      <c r="J182" s="294">
        <f t="shared" si="884"/>
        <v>0</v>
      </c>
      <c r="K182" s="52">
        <f t="shared" si="885"/>
        <v>0</v>
      </c>
      <c r="L182" s="52">
        <f t="shared" si="855"/>
        <v>1.03256611165524E-6</v>
      </c>
      <c r="M182" s="52">
        <f t="shared" si="909"/>
        <v>1.0756272480236039E-6</v>
      </c>
      <c r="N182" s="52">
        <f t="shared" si="910"/>
        <v>1.0044189252223271E-6</v>
      </c>
      <c r="O182" s="52">
        <f t="shared" si="911"/>
        <v>1.0718370897498402E-6</v>
      </c>
      <c r="P182" s="52">
        <f t="shared" si="912"/>
        <v>1.1018941924155017E-6</v>
      </c>
      <c r="Q182" s="52">
        <f t="shared" si="913"/>
        <v>1.0583478455279695E-6</v>
      </c>
      <c r="R182" s="52">
        <f t="shared" si="914"/>
        <v>0</v>
      </c>
      <c r="S182" s="527">
        <f t="shared" si="886"/>
        <v>0</v>
      </c>
      <c r="T182" s="533">
        <f t="shared" si="915"/>
        <v>0</v>
      </c>
      <c r="U182" s="375">
        <f t="shared" si="905"/>
        <v>0</v>
      </c>
      <c r="V182" s="375">
        <f t="shared" si="864"/>
        <v>-1.03256611165524E-6</v>
      </c>
      <c r="W182" s="386">
        <f t="shared" si="865"/>
        <v>0</v>
      </c>
      <c r="X182" s="386">
        <f t="shared" si="866"/>
        <v>0</v>
      </c>
      <c r="Y182" s="386">
        <f t="shared" si="948"/>
        <v>0</v>
      </c>
      <c r="Z182" s="375">
        <f t="shared" si="938"/>
        <v>-1.0044189252223271E-6</v>
      </c>
      <c r="AA182" s="375">
        <f t="shared" si="869"/>
        <v>-1.0718370897498402E-6</v>
      </c>
      <c r="AB182" s="386">
        <f t="shared" si="870"/>
        <v>0</v>
      </c>
      <c r="AC182" s="386">
        <f t="shared" si="916"/>
        <v>0</v>
      </c>
      <c r="AD182" s="386">
        <f t="shared" si="917"/>
        <v>-1.2424985718302729E-6</v>
      </c>
      <c r="AE182" s="386">
        <f t="shared" si="918"/>
        <v>-1.1018941924155017E-6</v>
      </c>
      <c r="AF182" s="386">
        <f t="shared" si="919"/>
        <v>-1.0718370897498402E-6</v>
      </c>
      <c r="AG182" s="375">
        <f t="shared" si="920"/>
        <v>-1.0680454739679525E-6</v>
      </c>
      <c r="AH182" s="375">
        <f t="shared" si="921"/>
        <v>0</v>
      </c>
      <c r="AI182" s="386">
        <f t="shared" si="922"/>
        <v>0</v>
      </c>
      <c r="AJ182" s="386">
        <f t="shared" si="923"/>
        <v>0</v>
      </c>
      <c r="AK182" s="386">
        <f t="shared" si="924"/>
        <v>0</v>
      </c>
      <c r="AL182" s="377">
        <f t="shared" si="925"/>
        <v>0</v>
      </c>
      <c r="AM182" s="377">
        <f t="shared" si="926"/>
        <v>0</v>
      </c>
      <c r="AN182" s="377">
        <f t="shared" si="927"/>
        <v>0</v>
      </c>
      <c r="AO182" s="283"/>
      <c r="AP182" s="295">
        <f t="shared" si="951"/>
        <v>7.6007999999999992E-2</v>
      </c>
      <c r="AQ182" s="183">
        <f t="shared" si="952"/>
        <v>0</v>
      </c>
      <c r="AR182" s="94">
        <f t="shared" si="953"/>
        <v>0</v>
      </c>
      <c r="AS182" s="94">
        <f t="shared" si="962"/>
        <v>3.3736000000000002E-2</v>
      </c>
      <c r="AT182" s="94">
        <f t="shared" si="908"/>
        <v>3.3736000000000002E-2</v>
      </c>
      <c r="AU182" s="94">
        <f t="shared" si="955"/>
        <v>3.3736000000000002E-2</v>
      </c>
      <c r="AV182" s="94">
        <f t="shared" ref="AV182:AV198" si="966">-BH182</f>
        <v>4.2271999999999997E-2</v>
      </c>
      <c r="AW182" s="94">
        <f t="shared" si="963"/>
        <v>4.2271999999999997E-2</v>
      </c>
      <c r="AX182" s="94">
        <f t="shared" si="950"/>
        <v>4.1739999999999999E-2</v>
      </c>
      <c r="AY182" s="94">
        <f t="shared" si="964"/>
        <v>0</v>
      </c>
      <c r="AZ182" s="433">
        <f t="shared" si="965"/>
        <v>0</v>
      </c>
      <c r="BA182" s="1008">
        <v>0</v>
      </c>
      <c r="BB182" s="409">
        <v>0</v>
      </c>
      <c r="BC182" s="1025">
        <f>-0.033736</f>
        <v>-3.3736000000000002E-2</v>
      </c>
      <c r="BD182" s="1030">
        <v>0</v>
      </c>
      <c r="BE182" s="389">
        <v>0</v>
      </c>
      <c r="BF182" s="516">
        <v>0</v>
      </c>
      <c r="BG182" s="207">
        <f>-0.033736</f>
        <v>-3.3736000000000002E-2</v>
      </c>
      <c r="BH182" s="207">
        <v>-4.2271999999999997E-2</v>
      </c>
      <c r="BI182" s="389">
        <v>0</v>
      </c>
      <c r="BJ182" s="516">
        <v>0</v>
      </c>
      <c r="BK182" s="516">
        <v>-4.2271999999999997E-2</v>
      </c>
      <c r="BL182" s="516">
        <v>-4.2271999999999997E-2</v>
      </c>
      <c r="BM182" s="516">
        <v>-4.2271999999999997E-2</v>
      </c>
      <c r="BN182" s="713">
        <f>-0.04174</f>
        <v>-4.1739999999999999E-2</v>
      </c>
      <c r="BO182" s="207">
        <v>0</v>
      </c>
      <c r="BP182" s="389">
        <v>0</v>
      </c>
      <c r="BQ182" s="389">
        <v>0</v>
      </c>
      <c r="BR182" s="389">
        <v>0</v>
      </c>
      <c r="BS182" s="296">
        <v>0</v>
      </c>
      <c r="BT182" s="296">
        <v>0</v>
      </c>
      <c r="BU182" s="296">
        <v>0</v>
      </c>
      <c r="BV182" s="713">
        <v>0</v>
      </c>
      <c r="BW182" s="1011">
        <f t="shared" si="959"/>
        <v>0</v>
      </c>
      <c r="BX182" s="449" t="s">
        <v>1976</v>
      </c>
    </row>
    <row r="183" spans="1:78" s="1" customFormat="1" ht="56.25" hidden="1" customHeight="1" outlineLevel="1" x14ac:dyDescent="0.25">
      <c r="A183" s="678">
        <v>73</v>
      </c>
      <c r="B183" s="702" t="s">
        <v>69</v>
      </c>
      <c r="C183" s="697" t="s">
        <v>701</v>
      </c>
      <c r="D183" s="63" t="s">
        <v>1825</v>
      </c>
      <c r="E183" s="463" t="s">
        <v>1649</v>
      </c>
      <c r="F183" s="542" t="s">
        <v>1570</v>
      </c>
      <c r="G183" s="95" t="s">
        <v>24</v>
      </c>
      <c r="H183" s="311" t="s">
        <v>129</v>
      </c>
      <c r="I183" s="335"/>
      <c r="J183" s="294">
        <f t="shared" si="884"/>
        <v>0</v>
      </c>
      <c r="K183" s="52">
        <f t="shared" si="885"/>
        <v>0</v>
      </c>
      <c r="L183" s="52">
        <f t="shared" si="855"/>
        <v>4.0428134182174344E-5</v>
      </c>
      <c r="M183" s="52">
        <f t="shared" si="909"/>
        <v>4.2114109907589571E-5</v>
      </c>
      <c r="N183" s="52">
        <f t="shared" si="910"/>
        <v>4.7709511900217636E-5</v>
      </c>
      <c r="O183" s="52">
        <f t="shared" si="911"/>
        <v>0</v>
      </c>
      <c r="P183" s="52">
        <f t="shared" si="912"/>
        <v>0</v>
      </c>
      <c r="Q183" s="52">
        <f t="shared" si="913"/>
        <v>0</v>
      </c>
      <c r="R183" s="52">
        <f t="shared" si="914"/>
        <v>0</v>
      </c>
      <c r="S183" s="527">
        <f t="shared" si="886"/>
        <v>0</v>
      </c>
      <c r="T183" s="533">
        <f t="shared" si="915"/>
        <v>0</v>
      </c>
      <c r="U183" s="375">
        <f t="shared" si="905"/>
        <v>0</v>
      </c>
      <c r="V183" s="375">
        <f t="shared" si="864"/>
        <v>-4.0428134182174344E-5</v>
      </c>
      <c r="W183" s="386">
        <f t="shared" si="865"/>
        <v>0</v>
      </c>
      <c r="X183" s="386">
        <f t="shared" si="866"/>
        <v>0</v>
      </c>
      <c r="Y183" s="386">
        <f t="shared" si="948"/>
        <v>0</v>
      </c>
      <c r="Z183" s="375">
        <f t="shared" si="938"/>
        <v>-4.7709511900217636E-5</v>
      </c>
      <c r="AA183" s="375">
        <f t="shared" si="869"/>
        <v>0</v>
      </c>
      <c r="AB183" s="386">
        <f t="shared" si="870"/>
        <v>0</v>
      </c>
      <c r="AC183" s="386">
        <f t="shared" si="916"/>
        <v>0</v>
      </c>
      <c r="AD183" s="386">
        <f t="shared" si="917"/>
        <v>0</v>
      </c>
      <c r="AE183" s="386">
        <f t="shared" si="918"/>
        <v>0</v>
      </c>
      <c r="AF183" s="386">
        <f t="shared" si="919"/>
        <v>0</v>
      </c>
      <c r="AG183" s="375">
        <f t="shared" si="920"/>
        <v>0</v>
      </c>
      <c r="AH183" s="375">
        <f t="shared" si="921"/>
        <v>0</v>
      </c>
      <c r="AI183" s="386">
        <f t="shared" si="922"/>
        <v>0</v>
      </c>
      <c r="AJ183" s="386">
        <f t="shared" si="923"/>
        <v>0</v>
      </c>
      <c r="AK183" s="386">
        <f t="shared" si="924"/>
        <v>0</v>
      </c>
      <c r="AL183" s="377">
        <f t="shared" si="925"/>
        <v>0</v>
      </c>
      <c r="AM183" s="377">
        <f t="shared" si="926"/>
        <v>0</v>
      </c>
      <c r="AN183" s="377">
        <f t="shared" si="927"/>
        <v>0</v>
      </c>
      <c r="AO183" s="283"/>
      <c r="AP183" s="295">
        <f t="shared" si="951"/>
        <v>1.602447</v>
      </c>
      <c r="AQ183" s="183">
        <f t="shared" si="952"/>
        <v>0</v>
      </c>
      <c r="AR183" s="94">
        <f t="shared" si="953"/>
        <v>0</v>
      </c>
      <c r="AS183" s="94">
        <f t="shared" si="962"/>
        <v>1.3208680000000002</v>
      </c>
      <c r="AT183" s="94">
        <f t="shared" si="908"/>
        <v>1.3208680000000002</v>
      </c>
      <c r="AU183" s="94">
        <f t="shared" si="955"/>
        <v>1.602447</v>
      </c>
      <c r="AV183" s="94">
        <f t="shared" si="966"/>
        <v>0</v>
      </c>
      <c r="AW183" s="94">
        <f t="shared" si="963"/>
        <v>0</v>
      </c>
      <c r="AX183" s="94">
        <f t="shared" si="950"/>
        <v>0</v>
      </c>
      <c r="AY183" s="94">
        <f t="shared" si="964"/>
        <v>0</v>
      </c>
      <c r="AZ183" s="433">
        <f t="shared" si="965"/>
        <v>0</v>
      </c>
      <c r="BA183" s="1008">
        <v>0</v>
      </c>
      <c r="BB183" s="409">
        <v>0</v>
      </c>
      <c r="BC183" s="1034">
        <f>-1.407423+0.086555</f>
        <v>-1.3208680000000002</v>
      </c>
      <c r="BD183" s="1030">
        <v>0</v>
      </c>
      <c r="BE183" s="389">
        <v>0</v>
      </c>
      <c r="BF183" s="516">
        <v>0</v>
      </c>
      <c r="BG183" s="207">
        <v>-1.602447</v>
      </c>
      <c r="BH183" s="207">
        <v>0</v>
      </c>
      <c r="BI183" s="389">
        <v>0</v>
      </c>
      <c r="BJ183" s="516">
        <v>0</v>
      </c>
      <c r="BK183" s="516">
        <v>0</v>
      </c>
      <c r="BL183" s="516">
        <v>0</v>
      </c>
      <c r="BM183" s="516">
        <v>0</v>
      </c>
      <c r="BN183" s="409">
        <v>0</v>
      </c>
      <c r="BO183" s="207">
        <v>0</v>
      </c>
      <c r="BP183" s="389">
        <v>0</v>
      </c>
      <c r="BQ183" s="389">
        <v>0</v>
      </c>
      <c r="BR183" s="389">
        <v>0</v>
      </c>
      <c r="BS183" s="296">
        <v>0</v>
      </c>
      <c r="BT183" s="296">
        <v>0</v>
      </c>
      <c r="BU183" s="296">
        <v>0</v>
      </c>
      <c r="BV183" s="409">
        <v>0</v>
      </c>
      <c r="BW183" s="1011">
        <f t="shared" si="959"/>
        <v>0</v>
      </c>
      <c r="BX183" s="449" t="s">
        <v>1824</v>
      </c>
    </row>
    <row r="184" spans="1:78" s="1" customFormat="1" ht="56.25" hidden="1" customHeight="1" outlineLevel="1" x14ac:dyDescent="0.25">
      <c r="A184" s="678">
        <v>74</v>
      </c>
      <c r="B184" s="702" t="s">
        <v>69</v>
      </c>
      <c r="C184" s="697" t="s">
        <v>1736</v>
      </c>
      <c r="D184" s="63">
        <v>44418</v>
      </c>
      <c r="E184" s="463" t="s">
        <v>1605</v>
      </c>
      <c r="F184" s="542" t="s">
        <v>1572</v>
      </c>
      <c r="G184" s="95" t="s">
        <v>24</v>
      </c>
      <c r="H184" s="311" t="s">
        <v>130</v>
      </c>
      <c r="I184" s="335"/>
      <c r="J184" s="294">
        <f t="shared" si="884"/>
        <v>0</v>
      </c>
      <c r="K184" s="52">
        <f t="shared" si="885"/>
        <v>0</v>
      </c>
      <c r="L184" s="52">
        <f t="shared" si="855"/>
        <v>7.3594178501469154E-5</v>
      </c>
      <c r="M184" s="52">
        <f t="shared" si="909"/>
        <v>7.6663278794998434E-5</v>
      </c>
      <c r="N184" s="52">
        <f t="shared" si="910"/>
        <v>7.1588041519753489E-5</v>
      </c>
      <c r="O184" s="52">
        <f t="shared" si="911"/>
        <v>0</v>
      </c>
      <c r="P184" s="52">
        <f t="shared" si="912"/>
        <v>0</v>
      </c>
      <c r="Q184" s="52">
        <f t="shared" si="913"/>
        <v>0</v>
      </c>
      <c r="R184" s="52">
        <f t="shared" si="914"/>
        <v>0</v>
      </c>
      <c r="S184" s="527">
        <f t="shared" si="886"/>
        <v>0</v>
      </c>
      <c r="T184" s="533">
        <f t="shared" si="915"/>
        <v>0</v>
      </c>
      <c r="U184" s="375">
        <f t="shared" si="905"/>
        <v>0</v>
      </c>
      <c r="V184" s="375">
        <f t="shared" si="864"/>
        <v>-7.3594178501469154E-5</v>
      </c>
      <c r="W184" s="386">
        <f t="shared" si="865"/>
        <v>0</v>
      </c>
      <c r="X184" s="386">
        <f t="shared" si="866"/>
        <v>0</v>
      </c>
      <c r="Y184" s="386">
        <f t="shared" si="948"/>
        <v>0</v>
      </c>
      <c r="Z184" s="375">
        <f t="shared" si="938"/>
        <v>-7.1588041519753489E-5</v>
      </c>
      <c r="AA184" s="375">
        <f t="shared" si="869"/>
        <v>0</v>
      </c>
      <c r="AB184" s="386">
        <f t="shared" si="870"/>
        <v>0</v>
      </c>
      <c r="AC184" s="386">
        <f t="shared" si="916"/>
        <v>0</v>
      </c>
      <c r="AD184" s="386">
        <f t="shared" si="917"/>
        <v>0</v>
      </c>
      <c r="AE184" s="386">
        <f t="shared" si="918"/>
        <v>0</v>
      </c>
      <c r="AF184" s="386">
        <f t="shared" si="919"/>
        <v>0</v>
      </c>
      <c r="AG184" s="375">
        <f t="shared" si="920"/>
        <v>0</v>
      </c>
      <c r="AH184" s="375">
        <f t="shared" si="921"/>
        <v>0</v>
      </c>
      <c r="AI184" s="386">
        <f t="shared" si="922"/>
        <v>0</v>
      </c>
      <c r="AJ184" s="386">
        <f t="shared" si="923"/>
        <v>0</v>
      </c>
      <c r="AK184" s="386">
        <f t="shared" si="924"/>
        <v>0</v>
      </c>
      <c r="AL184" s="377">
        <f t="shared" si="925"/>
        <v>0</v>
      </c>
      <c r="AM184" s="377">
        <f t="shared" si="926"/>
        <v>0</v>
      </c>
      <c r="AN184" s="377">
        <f t="shared" si="927"/>
        <v>0</v>
      </c>
      <c r="AO184" s="283"/>
      <c r="AP184" s="295">
        <f t="shared" si="951"/>
        <v>2.4044690000000002</v>
      </c>
      <c r="AQ184" s="183">
        <f t="shared" si="952"/>
        <v>0</v>
      </c>
      <c r="AR184" s="94">
        <f t="shared" si="953"/>
        <v>0</v>
      </c>
      <c r="AS184" s="94">
        <f t="shared" si="962"/>
        <v>2.4044690000000002</v>
      </c>
      <c r="AT184" s="94">
        <f t="shared" si="908"/>
        <v>2.4044690000000002</v>
      </c>
      <c r="AU184" s="94">
        <f t="shared" si="955"/>
        <v>2.4044690000000002</v>
      </c>
      <c r="AV184" s="94">
        <f t="shared" si="966"/>
        <v>0</v>
      </c>
      <c r="AW184" s="94">
        <f t="shared" si="963"/>
        <v>0</v>
      </c>
      <c r="AX184" s="94">
        <f t="shared" si="950"/>
        <v>0</v>
      </c>
      <c r="AY184" s="94">
        <f t="shared" si="964"/>
        <v>0</v>
      </c>
      <c r="AZ184" s="433">
        <f t="shared" si="965"/>
        <v>0</v>
      </c>
      <c r="BA184" s="1008">
        <v>0</v>
      </c>
      <c r="BB184" s="409">
        <v>0</v>
      </c>
      <c r="BC184" s="1025">
        <f>-2.404469</f>
        <v>-2.4044690000000002</v>
      </c>
      <c r="BD184" s="1030">
        <v>0</v>
      </c>
      <c r="BE184" s="389">
        <v>0</v>
      </c>
      <c r="BF184" s="516">
        <v>0</v>
      </c>
      <c r="BG184" s="207">
        <v>-2.4044690000000002</v>
      </c>
      <c r="BH184" s="207">
        <v>0</v>
      </c>
      <c r="BI184" s="389">
        <v>0</v>
      </c>
      <c r="BJ184" s="516">
        <v>0</v>
      </c>
      <c r="BK184" s="516">
        <v>0</v>
      </c>
      <c r="BL184" s="516">
        <v>0</v>
      </c>
      <c r="BM184" s="516">
        <v>0</v>
      </c>
      <c r="BN184" s="409">
        <v>0</v>
      </c>
      <c r="BO184" s="207">
        <v>0</v>
      </c>
      <c r="BP184" s="389">
        <v>0</v>
      </c>
      <c r="BQ184" s="389">
        <v>0</v>
      </c>
      <c r="BR184" s="389">
        <v>0</v>
      </c>
      <c r="BS184" s="296">
        <v>0</v>
      </c>
      <c r="BT184" s="296">
        <v>0</v>
      </c>
      <c r="BU184" s="296">
        <v>0</v>
      </c>
      <c r="BV184" s="409">
        <v>0</v>
      </c>
      <c r="BW184" s="1011">
        <f t="shared" si="959"/>
        <v>0</v>
      </c>
      <c r="BX184" s="449" t="s">
        <v>1571</v>
      </c>
    </row>
    <row r="185" spans="1:78" s="1" customFormat="1" ht="80.099999999999994" hidden="1" customHeight="1" outlineLevel="1" x14ac:dyDescent="0.25">
      <c r="A185" s="678">
        <v>75</v>
      </c>
      <c r="B185" s="702" t="s">
        <v>69</v>
      </c>
      <c r="C185" s="697" t="s">
        <v>1736</v>
      </c>
      <c r="D185" s="63">
        <v>44418</v>
      </c>
      <c r="E185" s="463" t="s">
        <v>1647</v>
      </c>
      <c r="F185" s="542" t="s">
        <v>1572</v>
      </c>
      <c r="G185" s="95" t="s">
        <v>24</v>
      </c>
      <c r="H185" s="311" t="s">
        <v>130</v>
      </c>
      <c r="I185" s="335"/>
      <c r="J185" s="294">
        <f t="shared" si="884"/>
        <v>0</v>
      </c>
      <c r="K185" s="52">
        <f t="shared" si="885"/>
        <v>0</v>
      </c>
      <c r="L185" s="52">
        <f t="shared" si="855"/>
        <v>8.6094943682664055E-5</v>
      </c>
      <c r="M185" s="52">
        <f t="shared" si="909"/>
        <v>8.9685363771701068E-5</v>
      </c>
      <c r="N185" s="52">
        <f t="shared" si="910"/>
        <v>8.3748042691615256E-5</v>
      </c>
      <c r="O185" s="52">
        <f t="shared" si="911"/>
        <v>0</v>
      </c>
      <c r="P185" s="52">
        <f t="shared" si="912"/>
        <v>0</v>
      </c>
      <c r="Q185" s="52">
        <f t="shared" si="913"/>
        <v>0</v>
      </c>
      <c r="R185" s="52">
        <f t="shared" si="914"/>
        <v>0</v>
      </c>
      <c r="S185" s="527">
        <f t="shared" si="886"/>
        <v>0</v>
      </c>
      <c r="T185" s="533">
        <f t="shared" si="915"/>
        <v>0</v>
      </c>
      <c r="U185" s="375">
        <f t="shared" si="905"/>
        <v>0</v>
      </c>
      <c r="V185" s="375">
        <f t="shared" si="864"/>
        <v>-8.6094943682664055E-5</v>
      </c>
      <c r="W185" s="386">
        <f t="shared" si="865"/>
        <v>0</v>
      </c>
      <c r="X185" s="386">
        <f t="shared" si="866"/>
        <v>0</v>
      </c>
      <c r="Y185" s="386">
        <f t="shared" si="948"/>
        <v>0</v>
      </c>
      <c r="Z185" s="375">
        <f t="shared" si="938"/>
        <v>-8.3748042691615256E-5</v>
      </c>
      <c r="AA185" s="375">
        <f t="shared" si="869"/>
        <v>0</v>
      </c>
      <c r="AB185" s="386">
        <f t="shared" si="870"/>
        <v>0</v>
      </c>
      <c r="AC185" s="386">
        <f t="shared" si="916"/>
        <v>0</v>
      </c>
      <c r="AD185" s="386">
        <f t="shared" si="917"/>
        <v>0</v>
      </c>
      <c r="AE185" s="386">
        <f t="shared" si="918"/>
        <v>0</v>
      </c>
      <c r="AF185" s="386">
        <f t="shared" si="919"/>
        <v>0</v>
      </c>
      <c r="AG185" s="375">
        <f t="shared" si="920"/>
        <v>0</v>
      </c>
      <c r="AH185" s="375">
        <f t="shared" si="921"/>
        <v>0</v>
      </c>
      <c r="AI185" s="386">
        <f t="shared" si="922"/>
        <v>0</v>
      </c>
      <c r="AJ185" s="386">
        <f t="shared" si="923"/>
        <v>0</v>
      </c>
      <c r="AK185" s="386">
        <f t="shared" si="924"/>
        <v>0</v>
      </c>
      <c r="AL185" s="377">
        <f t="shared" si="925"/>
        <v>0</v>
      </c>
      <c r="AM185" s="377">
        <f t="shared" si="926"/>
        <v>0</v>
      </c>
      <c r="AN185" s="377">
        <f t="shared" si="927"/>
        <v>0</v>
      </c>
      <c r="AO185" s="283"/>
      <c r="AP185" s="295">
        <f t="shared" si="951"/>
        <v>2.812894</v>
      </c>
      <c r="AQ185" s="183">
        <f t="shared" si="952"/>
        <v>0</v>
      </c>
      <c r="AR185" s="94">
        <f t="shared" si="953"/>
        <v>0</v>
      </c>
      <c r="AS185" s="94">
        <f t="shared" si="962"/>
        <v>2.812894</v>
      </c>
      <c r="AT185" s="94">
        <f t="shared" si="908"/>
        <v>2.812894</v>
      </c>
      <c r="AU185" s="94">
        <f t="shared" si="955"/>
        <v>2.812894</v>
      </c>
      <c r="AV185" s="94">
        <f t="shared" si="966"/>
        <v>0</v>
      </c>
      <c r="AW185" s="94">
        <f t="shared" si="963"/>
        <v>0</v>
      </c>
      <c r="AX185" s="94">
        <f t="shared" si="950"/>
        <v>0</v>
      </c>
      <c r="AY185" s="94">
        <f t="shared" si="964"/>
        <v>0</v>
      </c>
      <c r="AZ185" s="433">
        <f t="shared" si="965"/>
        <v>0</v>
      </c>
      <c r="BA185" s="1008">
        <v>0</v>
      </c>
      <c r="BB185" s="409">
        <v>0</v>
      </c>
      <c r="BC185" s="1025">
        <f>-2.812894</f>
        <v>-2.812894</v>
      </c>
      <c r="BD185" s="1030">
        <v>0</v>
      </c>
      <c r="BE185" s="389">
        <v>0</v>
      </c>
      <c r="BF185" s="516">
        <v>0</v>
      </c>
      <c r="BG185" s="207">
        <v>-2.812894</v>
      </c>
      <c r="BH185" s="207">
        <v>0</v>
      </c>
      <c r="BI185" s="389">
        <v>0</v>
      </c>
      <c r="BJ185" s="516">
        <v>0</v>
      </c>
      <c r="BK185" s="516">
        <v>0</v>
      </c>
      <c r="BL185" s="516">
        <v>0</v>
      </c>
      <c r="BM185" s="516">
        <v>0</v>
      </c>
      <c r="BN185" s="409">
        <v>0</v>
      </c>
      <c r="BO185" s="207">
        <v>0</v>
      </c>
      <c r="BP185" s="389">
        <v>0</v>
      </c>
      <c r="BQ185" s="389">
        <v>0</v>
      </c>
      <c r="BR185" s="389">
        <v>0</v>
      </c>
      <c r="BS185" s="296">
        <v>0</v>
      </c>
      <c r="BT185" s="296">
        <v>0</v>
      </c>
      <c r="BU185" s="296">
        <v>0</v>
      </c>
      <c r="BV185" s="409">
        <v>0</v>
      </c>
      <c r="BW185" s="1011">
        <f t="shared" si="959"/>
        <v>0</v>
      </c>
      <c r="BX185" s="449" t="s">
        <v>1648</v>
      </c>
    </row>
    <row r="186" spans="1:78" s="1" customFormat="1" ht="80.099999999999994" hidden="1" customHeight="1" outlineLevel="1" x14ac:dyDescent="0.25">
      <c r="A186" s="678">
        <v>76</v>
      </c>
      <c r="B186" s="702" t="s">
        <v>69</v>
      </c>
      <c r="C186" s="697" t="s">
        <v>1738</v>
      </c>
      <c r="D186" s="63">
        <v>44425</v>
      </c>
      <c r="E186" s="463" t="s">
        <v>1646</v>
      </c>
      <c r="F186" s="542" t="s">
        <v>1590</v>
      </c>
      <c r="G186" s="95" t="s">
        <v>24</v>
      </c>
      <c r="H186" s="311" t="s">
        <v>130</v>
      </c>
      <c r="I186" s="335"/>
      <c r="J186" s="294">
        <f t="shared" si="884"/>
        <v>0</v>
      </c>
      <c r="K186" s="52">
        <f t="shared" si="885"/>
        <v>0</v>
      </c>
      <c r="L186" s="52">
        <f t="shared" si="855"/>
        <v>3.6639936336924587E-7</v>
      </c>
      <c r="M186" s="52">
        <f t="shared" si="909"/>
        <v>3.8167932730882626E-7</v>
      </c>
      <c r="N186" s="52">
        <f t="shared" si="910"/>
        <v>1.1331569923512499E-7</v>
      </c>
      <c r="O186" s="52">
        <f t="shared" si="911"/>
        <v>0</v>
      </c>
      <c r="P186" s="52">
        <f t="shared" si="912"/>
        <v>0</v>
      </c>
      <c r="Q186" s="52">
        <f t="shared" si="913"/>
        <v>0</v>
      </c>
      <c r="R186" s="52">
        <f t="shared" si="914"/>
        <v>0</v>
      </c>
      <c r="S186" s="527">
        <f t="shared" si="886"/>
        <v>0</v>
      </c>
      <c r="T186" s="533">
        <f t="shared" si="915"/>
        <v>0</v>
      </c>
      <c r="U186" s="375">
        <f t="shared" si="905"/>
        <v>0</v>
      </c>
      <c r="V186" s="375">
        <f t="shared" si="864"/>
        <v>-3.6639936336924587E-7</v>
      </c>
      <c r="W186" s="386">
        <f t="shared" si="865"/>
        <v>0</v>
      </c>
      <c r="X186" s="386">
        <f t="shared" si="866"/>
        <v>0</v>
      </c>
      <c r="Y186" s="386">
        <f t="shared" si="948"/>
        <v>0</v>
      </c>
      <c r="Z186" s="375">
        <f t="shared" si="938"/>
        <v>-1.1331569923512499E-7</v>
      </c>
      <c r="AA186" s="375">
        <f t="shared" si="869"/>
        <v>0</v>
      </c>
      <c r="AB186" s="386">
        <f t="shared" si="870"/>
        <v>0</v>
      </c>
      <c r="AC186" s="386">
        <f t="shared" si="916"/>
        <v>0</v>
      </c>
      <c r="AD186" s="386">
        <f t="shared" si="917"/>
        <v>0</v>
      </c>
      <c r="AE186" s="386">
        <f t="shared" si="918"/>
        <v>0</v>
      </c>
      <c r="AF186" s="386">
        <f t="shared" si="919"/>
        <v>0</v>
      </c>
      <c r="AG186" s="375">
        <f t="shared" si="920"/>
        <v>0</v>
      </c>
      <c r="AH186" s="375">
        <f t="shared" si="921"/>
        <v>0</v>
      </c>
      <c r="AI186" s="386">
        <f t="shared" si="922"/>
        <v>0</v>
      </c>
      <c r="AJ186" s="386">
        <f t="shared" si="923"/>
        <v>0</v>
      </c>
      <c r="AK186" s="386">
        <f t="shared" si="924"/>
        <v>0</v>
      </c>
      <c r="AL186" s="377">
        <f t="shared" si="925"/>
        <v>0</v>
      </c>
      <c r="AM186" s="377">
        <f t="shared" si="926"/>
        <v>0</v>
      </c>
      <c r="AN186" s="377">
        <f t="shared" si="927"/>
        <v>0</v>
      </c>
      <c r="AO186" s="283"/>
      <c r="AP186" s="295">
        <f t="shared" si="951"/>
        <v>3.8059999999999999E-3</v>
      </c>
      <c r="AQ186" s="183">
        <f t="shared" si="952"/>
        <v>0</v>
      </c>
      <c r="AR186" s="94">
        <f t="shared" si="953"/>
        <v>0</v>
      </c>
      <c r="AS186" s="94">
        <f t="shared" si="962"/>
        <v>1.1971000000000001E-2</v>
      </c>
      <c r="AT186" s="94">
        <f t="shared" si="908"/>
        <v>1.1971000000000001E-2</v>
      </c>
      <c r="AU186" s="94">
        <f t="shared" si="955"/>
        <v>3.8059999999999999E-3</v>
      </c>
      <c r="AV186" s="94">
        <f t="shared" si="966"/>
        <v>0</v>
      </c>
      <c r="AW186" s="94">
        <f t="shared" si="963"/>
        <v>0</v>
      </c>
      <c r="AX186" s="94">
        <f t="shared" si="950"/>
        <v>0</v>
      </c>
      <c r="AY186" s="94">
        <f t="shared" si="964"/>
        <v>0</v>
      </c>
      <c r="AZ186" s="433">
        <f t="shared" si="965"/>
        <v>0</v>
      </c>
      <c r="BA186" s="1008">
        <v>0</v>
      </c>
      <c r="BB186" s="409">
        <v>0</v>
      </c>
      <c r="BC186" s="1025">
        <f>-0.011971</f>
        <v>-1.1971000000000001E-2</v>
      </c>
      <c r="BD186" s="1030">
        <v>0</v>
      </c>
      <c r="BE186" s="389">
        <v>0</v>
      </c>
      <c r="BF186" s="516">
        <v>0</v>
      </c>
      <c r="BG186" s="207">
        <f>-0.003806</f>
        <v>-3.8059999999999999E-3</v>
      </c>
      <c r="BH186" s="207">
        <v>0</v>
      </c>
      <c r="BI186" s="389">
        <v>0</v>
      </c>
      <c r="BJ186" s="516">
        <v>0</v>
      </c>
      <c r="BK186" s="516">
        <v>0</v>
      </c>
      <c r="BL186" s="516">
        <v>0</v>
      </c>
      <c r="BM186" s="516">
        <v>0</v>
      </c>
      <c r="BN186" s="409">
        <v>0</v>
      </c>
      <c r="BO186" s="207">
        <v>0</v>
      </c>
      <c r="BP186" s="389">
        <v>0</v>
      </c>
      <c r="BQ186" s="389">
        <v>0</v>
      </c>
      <c r="BR186" s="389">
        <v>0</v>
      </c>
      <c r="BS186" s="296">
        <v>0</v>
      </c>
      <c r="BT186" s="296">
        <v>0</v>
      </c>
      <c r="BU186" s="296">
        <v>0</v>
      </c>
      <c r="BV186" s="409">
        <v>0</v>
      </c>
      <c r="BW186" s="1011">
        <f t="shared" si="959"/>
        <v>0</v>
      </c>
      <c r="BX186" s="449" t="s">
        <v>1589</v>
      </c>
    </row>
    <row r="187" spans="1:78" s="1" customFormat="1" ht="43.5" hidden="1" customHeight="1" outlineLevel="1" x14ac:dyDescent="0.25">
      <c r="A187" s="678">
        <v>77</v>
      </c>
      <c r="B187" s="702" t="s">
        <v>69</v>
      </c>
      <c r="C187" s="697" t="s">
        <v>701</v>
      </c>
      <c r="D187" s="63">
        <v>44460</v>
      </c>
      <c r="E187" s="463" t="s">
        <v>1652</v>
      </c>
      <c r="F187" s="542" t="s">
        <v>701</v>
      </c>
      <c r="G187" s="95" t="s">
        <v>24</v>
      </c>
      <c r="H187" s="311" t="s">
        <v>129</v>
      </c>
      <c r="I187" s="335"/>
      <c r="J187" s="294">
        <f t="shared" si="884"/>
        <v>0</v>
      </c>
      <c r="K187" s="52">
        <f t="shared" si="885"/>
        <v>0</v>
      </c>
      <c r="L187" s="52">
        <f t="shared" si="855"/>
        <v>0</v>
      </c>
      <c r="M187" s="52">
        <f t="shared" si="909"/>
        <v>0</v>
      </c>
      <c r="N187" s="52">
        <f t="shared" si="910"/>
        <v>0</v>
      </c>
      <c r="O187" s="52">
        <f t="shared" si="911"/>
        <v>1.1053310099313561E-3</v>
      </c>
      <c r="P187" s="52">
        <f t="shared" si="912"/>
        <v>1.1363273693247415E-3</v>
      </c>
      <c r="Q187" s="52">
        <f t="shared" si="913"/>
        <v>7.3592067840026255E-4</v>
      </c>
      <c r="R187" s="52">
        <f t="shared" si="914"/>
        <v>1.4414328606674445E-3</v>
      </c>
      <c r="S187" s="527">
        <f t="shared" si="886"/>
        <v>0</v>
      </c>
      <c r="T187" s="533">
        <f t="shared" si="915"/>
        <v>0</v>
      </c>
      <c r="U187" s="375">
        <f t="shared" si="905"/>
        <v>0</v>
      </c>
      <c r="V187" s="375">
        <f t="shared" si="864"/>
        <v>0</v>
      </c>
      <c r="W187" s="386">
        <f t="shared" si="865"/>
        <v>0</v>
      </c>
      <c r="X187" s="386">
        <f t="shared" si="866"/>
        <v>0</v>
      </c>
      <c r="Y187" s="386">
        <f t="shared" si="948"/>
        <v>0</v>
      </c>
      <c r="Z187" s="375">
        <f t="shared" si="938"/>
        <v>0</v>
      </c>
      <c r="AA187" s="375">
        <f t="shared" si="869"/>
        <v>-1.1053310099313561E-3</v>
      </c>
      <c r="AB187" s="386">
        <f t="shared" si="870"/>
        <v>0</v>
      </c>
      <c r="AC187" s="386">
        <f t="shared" si="916"/>
        <v>-1.729001192037306E-3</v>
      </c>
      <c r="AD187" s="386">
        <f t="shared" si="917"/>
        <v>-1.729001192037306E-3</v>
      </c>
      <c r="AE187" s="386">
        <f t="shared" si="918"/>
        <v>-1.1363273693247415E-3</v>
      </c>
      <c r="AF187" s="386">
        <f t="shared" si="919"/>
        <v>-1.1053310099313561E-3</v>
      </c>
      <c r="AG187" s="375">
        <f t="shared" si="920"/>
        <v>-7.4266391062828834E-4</v>
      </c>
      <c r="AH187" s="375">
        <f t="shared" si="921"/>
        <v>-1.4414328606674445E-3</v>
      </c>
      <c r="AI187" s="386">
        <f t="shared" si="922"/>
        <v>-1.5339925027862578E-3</v>
      </c>
      <c r="AJ187" s="386">
        <f t="shared" si="923"/>
        <v>-1.4877446997123218E-3</v>
      </c>
      <c r="AK187" s="386">
        <f t="shared" si="924"/>
        <v>-1.4529469504599656E-3</v>
      </c>
      <c r="AL187" s="377">
        <f t="shared" si="925"/>
        <v>0</v>
      </c>
      <c r="AM187" s="377">
        <f t="shared" si="926"/>
        <v>0</v>
      </c>
      <c r="AN187" s="377">
        <f t="shared" si="927"/>
        <v>0</v>
      </c>
      <c r="AO187" s="283"/>
      <c r="AP187" s="295">
        <f t="shared" si="951"/>
        <v>106.995476</v>
      </c>
      <c r="AQ187" s="183">
        <f t="shared" ref="AQ187" si="967">-BA187</f>
        <v>0</v>
      </c>
      <c r="AR187" s="94">
        <f t="shared" ref="AR187" si="968">-BB187</f>
        <v>0</v>
      </c>
      <c r="AS187" s="94">
        <f t="shared" ref="AS187" si="969">-BC187</f>
        <v>0</v>
      </c>
      <c r="AT187" s="94">
        <f t="shared" ref="AT187:AT220" si="970">-BC187</f>
        <v>0</v>
      </c>
      <c r="AU187" s="94">
        <f t="shared" si="955"/>
        <v>0</v>
      </c>
      <c r="AV187" s="94">
        <f t="shared" si="966"/>
        <v>43.592961000000003</v>
      </c>
      <c r="AW187" s="94">
        <f t="shared" ref="AW187" si="971">-BH187</f>
        <v>43.592961000000003</v>
      </c>
      <c r="AX187" s="94">
        <f t="shared" si="950"/>
        <v>29.023849999999999</v>
      </c>
      <c r="AY187" s="94">
        <f t="shared" ref="AY187" si="972">-BO187</f>
        <v>63.402515000000001</v>
      </c>
      <c r="AZ187" s="433">
        <f t="shared" ref="AZ187" si="973">-BU187</f>
        <v>0</v>
      </c>
      <c r="BA187" s="1008">
        <v>0</v>
      </c>
      <c r="BB187" s="409">
        <v>0</v>
      </c>
      <c r="BC187" s="1025">
        <v>0</v>
      </c>
      <c r="BD187" s="1030">
        <v>0</v>
      </c>
      <c r="BE187" s="389">
        <v>0</v>
      </c>
      <c r="BF187" s="516">
        <v>0</v>
      </c>
      <c r="BG187" s="207">
        <v>0</v>
      </c>
      <c r="BH187" s="207">
        <f>-58.82368+11.548412+3.682307</f>
        <v>-43.592961000000003</v>
      </c>
      <c r="BI187" s="389">
        <v>0</v>
      </c>
      <c r="BJ187" s="516">
        <v>-58.823680000000003</v>
      </c>
      <c r="BK187" s="516">
        <v>-58.823680000000003</v>
      </c>
      <c r="BL187" s="516">
        <v>-43.592961000000003</v>
      </c>
      <c r="BM187" s="516">
        <v>-43.592961000000003</v>
      </c>
      <c r="BN187" s="713">
        <f>-28.981258-0.042592</f>
        <v>-29.023849999999999</v>
      </c>
      <c r="BO187" s="207">
        <v>-63.402515000000001</v>
      </c>
      <c r="BP187" s="389">
        <v>-63.402515000000001</v>
      </c>
      <c r="BQ187" s="389">
        <v>-63.402515000000001</v>
      </c>
      <c r="BR187" s="389">
        <v>-63.402515000000001</v>
      </c>
      <c r="BS187" s="296">
        <v>0</v>
      </c>
      <c r="BT187" s="296">
        <v>0</v>
      </c>
      <c r="BU187" s="296">
        <v>0</v>
      </c>
      <c r="BV187" s="713">
        <v>0</v>
      </c>
      <c r="BW187" s="1011">
        <f t="shared" ref="BW187" si="974">-BV187</f>
        <v>0</v>
      </c>
      <c r="BX187" s="449" t="s">
        <v>1653</v>
      </c>
    </row>
    <row r="188" spans="1:78" s="1" customFormat="1" ht="43.5" hidden="1" customHeight="1" outlineLevel="1" x14ac:dyDescent="0.25">
      <c r="A188" s="678">
        <v>78</v>
      </c>
      <c r="B188" s="702" t="s">
        <v>69</v>
      </c>
      <c r="C188" s="697" t="s">
        <v>701</v>
      </c>
      <c r="D188" s="63">
        <v>44460</v>
      </c>
      <c r="E188" s="463" t="s">
        <v>1652</v>
      </c>
      <c r="F188" s="542" t="s">
        <v>701</v>
      </c>
      <c r="G188" s="95" t="s">
        <v>24</v>
      </c>
      <c r="H188" s="311" t="s">
        <v>129</v>
      </c>
      <c r="I188" s="335"/>
      <c r="J188" s="294">
        <f t="shared" si="884"/>
        <v>0</v>
      </c>
      <c r="K188" s="52">
        <f t="shared" si="885"/>
        <v>0</v>
      </c>
      <c r="L188" s="52">
        <f t="shared" si="855"/>
        <v>0</v>
      </c>
      <c r="M188" s="52">
        <f t="shared" si="909"/>
        <v>0</v>
      </c>
      <c r="N188" s="52">
        <f t="shared" si="910"/>
        <v>0</v>
      </c>
      <c r="O188" s="52">
        <f t="shared" ref="O188:O218" si="975">AV188/AA$8</f>
        <v>8.9745488507160778E-5</v>
      </c>
      <c r="P188" s="52">
        <f t="shared" ref="P188:P219" si="976">AW188/AE$8</f>
        <v>9.226218566910473E-5</v>
      </c>
      <c r="Q188" s="52">
        <f t="shared" ref="Q188:Q219" si="977">AX188/AF$8</f>
        <v>0</v>
      </c>
      <c r="R188" s="52">
        <f t="shared" ref="R188:R218" si="978">AY188/AH$8</f>
        <v>0</v>
      </c>
      <c r="S188" s="527">
        <f t="shared" si="886"/>
        <v>0</v>
      </c>
      <c r="T188" s="533">
        <f t="shared" si="915"/>
        <v>0</v>
      </c>
      <c r="U188" s="375">
        <f t="shared" si="905"/>
        <v>0</v>
      </c>
      <c r="V188" s="375">
        <f t="shared" si="864"/>
        <v>0</v>
      </c>
      <c r="W188" s="386">
        <f t="shared" si="865"/>
        <v>0</v>
      </c>
      <c r="X188" s="386">
        <f t="shared" si="866"/>
        <v>0</v>
      </c>
      <c r="Y188" s="386">
        <f t="shared" si="948"/>
        <v>0</v>
      </c>
      <c r="Z188" s="375">
        <f t="shared" si="938"/>
        <v>0</v>
      </c>
      <c r="AA188" s="375">
        <f t="shared" si="869"/>
        <v>-8.9745488507160778E-5</v>
      </c>
      <c r="AB188" s="386">
        <f t="shared" si="870"/>
        <v>0</v>
      </c>
      <c r="AC188" s="386">
        <f t="shared" ref="AC188:AC219" si="979">BJ188/AC$8</f>
        <v>-1.0403506499703498E-4</v>
      </c>
      <c r="AD188" s="386">
        <f t="shared" ref="AD188:AD219" si="980">BK188/AD$8</f>
        <v>-1.0403506499703498E-4</v>
      </c>
      <c r="AE188" s="386">
        <f t="shared" ref="AE188:AE218" si="981">BL188/AE$8</f>
        <v>-9.226218566910473E-5</v>
      </c>
      <c r="AF188" s="386">
        <f t="shared" ref="AF188:AF219" si="982">BM188/AF$8</f>
        <v>-8.9745488507160778E-5</v>
      </c>
      <c r="AG188" s="375">
        <f t="shared" ref="AG188:AG219" si="983">BN188/AG$8</f>
        <v>0</v>
      </c>
      <c r="AH188" s="375">
        <f t="shared" ref="AH188:AH218" si="984">BO188/AH$8</f>
        <v>0</v>
      </c>
      <c r="AI188" s="386">
        <f t="shared" ref="AI188:AI219" si="985">BP188/AI$8</f>
        <v>0</v>
      </c>
      <c r="AJ188" s="386">
        <f t="shared" ref="AJ188:AJ219" si="986">BQ188/AJ$8</f>
        <v>0</v>
      </c>
      <c r="AK188" s="386">
        <f t="shared" ref="AK188:AK219" si="987">BR188/AK$8</f>
        <v>0</v>
      </c>
      <c r="AL188" s="377">
        <f t="shared" ref="AL188:AL219" si="988">BS188/AL$8</f>
        <v>0</v>
      </c>
      <c r="AM188" s="377">
        <f t="shared" ref="AM188:AM219" si="989">BT188/AM$8</f>
        <v>0</v>
      </c>
      <c r="AN188" s="377">
        <f t="shared" ref="AN188:AN219" si="990">BU188/AN$8</f>
        <v>0</v>
      </c>
      <c r="AO188" s="283"/>
      <c r="AP188" s="295">
        <f t="shared" si="951"/>
        <v>3.5394570000000001</v>
      </c>
      <c r="AQ188" s="183">
        <f t="shared" si="952"/>
        <v>0</v>
      </c>
      <c r="AR188" s="94">
        <f t="shared" si="953"/>
        <v>0</v>
      </c>
      <c r="AS188" s="94">
        <f t="shared" si="962"/>
        <v>0</v>
      </c>
      <c r="AT188" s="94">
        <f t="shared" si="970"/>
        <v>0</v>
      </c>
      <c r="AU188" s="94">
        <f t="shared" si="955"/>
        <v>0</v>
      </c>
      <c r="AV188" s="94">
        <f t="shared" si="966"/>
        <v>3.5394570000000001</v>
      </c>
      <c r="AW188" s="94">
        <f t="shared" si="963"/>
        <v>3.5394570000000001</v>
      </c>
      <c r="AX188" s="94">
        <f t="shared" si="950"/>
        <v>0</v>
      </c>
      <c r="AY188" s="94">
        <f t="shared" si="964"/>
        <v>0</v>
      </c>
      <c r="AZ188" s="433">
        <f t="shared" si="965"/>
        <v>0</v>
      </c>
      <c r="BA188" s="1008">
        <v>0</v>
      </c>
      <c r="BB188" s="409">
        <v>0</v>
      </c>
      <c r="BC188" s="1025">
        <v>0</v>
      </c>
      <c r="BD188" s="1030">
        <v>0</v>
      </c>
      <c r="BE188" s="389">
        <v>0</v>
      </c>
      <c r="BF188" s="516">
        <v>0</v>
      </c>
      <c r="BG188" s="207">
        <v>0</v>
      </c>
      <c r="BH188" s="207">
        <v>-3.5394570000000001</v>
      </c>
      <c r="BI188" s="389">
        <v>0</v>
      </c>
      <c r="BJ188" s="516">
        <v>-3.5394570000000001</v>
      </c>
      <c r="BK188" s="516">
        <v>-3.5394570000000001</v>
      </c>
      <c r="BL188" s="516">
        <v>-3.5394570000000001</v>
      </c>
      <c r="BM188" s="516">
        <v>-3.5394570000000001</v>
      </c>
      <c r="BN188" s="409">
        <v>0</v>
      </c>
      <c r="BO188" s="207">
        <v>0</v>
      </c>
      <c r="BP188" s="389">
        <v>0</v>
      </c>
      <c r="BQ188" s="389">
        <v>0</v>
      </c>
      <c r="BR188" s="389">
        <v>0</v>
      </c>
      <c r="BS188" s="296">
        <v>0</v>
      </c>
      <c r="BT188" s="296">
        <v>0</v>
      </c>
      <c r="BU188" s="296">
        <v>0</v>
      </c>
      <c r="BV188" s="409">
        <v>0</v>
      </c>
      <c r="BW188" s="1011">
        <f t="shared" si="959"/>
        <v>0</v>
      </c>
      <c r="BX188" s="449" t="s">
        <v>1654</v>
      </c>
    </row>
    <row r="189" spans="1:78" s="1" customFormat="1" ht="43.5" hidden="1" customHeight="1" outlineLevel="1" x14ac:dyDescent="0.25">
      <c r="A189" s="678">
        <v>79</v>
      </c>
      <c r="B189" s="702" t="s">
        <v>69</v>
      </c>
      <c r="C189" s="697" t="s">
        <v>701</v>
      </c>
      <c r="D189" s="63">
        <v>44460</v>
      </c>
      <c r="E189" s="463" t="s">
        <v>1652</v>
      </c>
      <c r="F189" s="542" t="s">
        <v>701</v>
      </c>
      <c r="G189" s="95" t="s">
        <v>24</v>
      </c>
      <c r="H189" s="311" t="s">
        <v>129</v>
      </c>
      <c r="I189" s="335"/>
      <c r="J189" s="294">
        <f t="shared" si="884"/>
        <v>0</v>
      </c>
      <c r="K189" s="52">
        <f t="shared" si="885"/>
        <v>0</v>
      </c>
      <c r="L189" s="52">
        <f t="shared" si="855"/>
        <v>0</v>
      </c>
      <c r="M189" s="52">
        <f t="shared" ref="M189:M220" si="991">AT189/Y$8</f>
        <v>0</v>
      </c>
      <c r="N189" s="52">
        <f t="shared" ref="N189:N220" si="992">AU189/Z$8</f>
        <v>0</v>
      </c>
      <c r="O189" s="52">
        <f t="shared" si="975"/>
        <v>6.3440777670013078E-5</v>
      </c>
      <c r="P189" s="52">
        <f t="shared" si="976"/>
        <v>6.5219822252303138E-5</v>
      </c>
      <c r="Q189" s="52">
        <f t="shared" si="977"/>
        <v>0</v>
      </c>
      <c r="R189" s="52">
        <f t="shared" si="978"/>
        <v>0</v>
      </c>
      <c r="S189" s="527">
        <f t="shared" si="886"/>
        <v>0</v>
      </c>
      <c r="T189" s="533">
        <f t="shared" si="915"/>
        <v>0</v>
      </c>
      <c r="U189" s="375">
        <f t="shared" si="905"/>
        <v>0</v>
      </c>
      <c r="V189" s="375">
        <f t="shared" si="864"/>
        <v>0</v>
      </c>
      <c r="W189" s="386">
        <f t="shared" si="865"/>
        <v>0</v>
      </c>
      <c r="X189" s="386">
        <f t="shared" si="866"/>
        <v>0</v>
      </c>
      <c r="Y189" s="386">
        <f t="shared" si="948"/>
        <v>0</v>
      </c>
      <c r="Z189" s="375">
        <f t="shared" ref="Z189:Z218" si="993">BG189/Z$8</f>
        <v>0</v>
      </c>
      <c r="AA189" s="375">
        <f t="shared" si="869"/>
        <v>-6.3440777670013078E-5</v>
      </c>
      <c r="AB189" s="386">
        <f t="shared" si="870"/>
        <v>0</v>
      </c>
      <c r="AC189" s="386">
        <f t="shared" si="979"/>
        <v>-7.3542030225125322E-5</v>
      </c>
      <c r="AD189" s="386">
        <f t="shared" si="980"/>
        <v>-7.3542030225125322E-5</v>
      </c>
      <c r="AE189" s="386">
        <f t="shared" si="981"/>
        <v>-6.5219822252303138E-5</v>
      </c>
      <c r="AF189" s="386">
        <f t="shared" si="982"/>
        <v>-6.3440777670013078E-5</v>
      </c>
      <c r="AG189" s="375">
        <f t="shared" si="983"/>
        <v>0</v>
      </c>
      <c r="AH189" s="375">
        <f t="shared" si="984"/>
        <v>0</v>
      </c>
      <c r="AI189" s="386">
        <f t="shared" si="985"/>
        <v>0</v>
      </c>
      <c r="AJ189" s="386">
        <f t="shared" si="986"/>
        <v>0</v>
      </c>
      <c r="AK189" s="386">
        <f t="shared" si="987"/>
        <v>0</v>
      </c>
      <c r="AL189" s="377">
        <f t="shared" si="988"/>
        <v>0</v>
      </c>
      <c r="AM189" s="377">
        <f t="shared" si="989"/>
        <v>0</v>
      </c>
      <c r="AN189" s="377">
        <f t="shared" si="990"/>
        <v>0</v>
      </c>
      <c r="AO189" s="283"/>
      <c r="AP189" s="295">
        <f t="shared" si="951"/>
        <v>2.50203</v>
      </c>
      <c r="AQ189" s="183">
        <f t="shared" ref="AQ189" si="994">-BA189</f>
        <v>0</v>
      </c>
      <c r="AR189" s="94">
        <f t="shared" ref="AR189" si="995">-BB189</f>
        <v>0</v>
      </c>
      <c r="AS189" s="94">
        <f t="shared" ref="AS189" si="996">-BC189</f>
        <v>0</v>
      </c>
      <c r="AT189" s="94">
        <f t="shared" si="970"/>
        <v>0</v>
      </c>
      <c r="AU189" s="94">
        <f t="shared" si="955"/>
        <v>0</v>
      </c>
      <c r="AV189" s="94">
        <f t="shared" si="966"/>
        <v>2.50203</v>
      </c>
      <c r="AW189" s="94">
        <f t="shared" ref="AW189" si="997">-BH189</f>
        <v>2.50203</v>
      </c>
      <c r="AX189" s="94">
        <f t="shared" si="950"/>
        <v>0</v>
      </c>
      <c r="AY189" s="94">
        <f t="shared" ref="AY189" si="998">-BO189</f>
        <v>0</v>
      </c>
      <c r="AZ189" s="433">
        <f t="shared" ref="AZ189" si="999">-BU189</f>
        <v>0</v>
      </c>
      <c r="BA189" s="1008">
        <v>0</v>
      </c>
      <c r="BB189" s="409">
        <v>0</v>
      </c>
      <c r="BC189" s="1025">
        <v>0</v>
      </c>
      <c r="BD189" s="1030">
        <v>0</v>
      </c>
      <c r="BE189" s="389">
        <v>0</v>
      </c>
      <c r="BF189" s="516">
        <v>0</v>
      </c>
      <c r="BG189" s="207">
        <v>0</v>
      </c>
      <c r="BH189" s="207">
        <v>-2.50203</v>
      </c>
      <c r="BI189" s="389">
        <v>0</v>
      </c>
      <c r="BJ189" s="516">
        <v>-2.50203</v>
      </c>
      <c r="BK189" s="516">
        <v>-2.50203</v>
      </c>
      <c r="BL189" s="516">
        <v>-2.50203</v>
      </c>
      <c r="BM189" s="516">
        <v>-2.50203</v>
      </c>
      <c r="BN189" s="409">
        <v>0</v>
      </c>
      <c r="BO189" s="207">
        <v>0</v>
      </c>
      <c r="BP189" s="389">
        <v>0</v>
      </c>
      <c r="BQ189" s="389">
        <v>0</v>
      </c>
      <c r="BR189" s="389">
        <v>0</v>
      </c>
      <c r="BS189" s="296">
        <v>0</v>
      </c>
      <c r="BT189" s="296">
        <v>0</v>
      </c>
      <c r="BU189" s="296">
        <v>0</v>
      </c>
      <c r="BV189" s="409">
        <v>0</v>
      </c>
      <c r="BW189" s="1011">
        <f t="shared" ref="BW189" si="1000">-BV189</f>
        <v>0</v>
      </c>
      <c r="BX189" s="449" t="s">
        <v>1655</v>
      </c>
    </row>
    <row r="190" spans="1:78" s="1" customFormat="1" ht="43.5" hidden="1" customHeight="1" outlineLevel="1" x14ac:dyDescent="0.25">
      <c r="A190" s="678">
        <v>80</v>
      </c>
      <c r="B190" s="702" t="s">
        <v>69</v>
      </c>
      <c r="C190" s="697" t="s">
        <v>701</v>
      </c>
      <c r="D190" s="63">
        <v>44460</v>
      </c>
      <c r="E190" s="463" t="s">
        <v>1652</v>
      </c>
      <c r="F190" s="542" t="s">
        <v>701</v>
      </c>
      <c r="G190" s="95" t="s">
        <v>24</v>
      </c>
      <c r="H190" s="311" t="s">
        <v>129</v>
      </c>
      <c r="I190" s="335"/>
      <c r="J190" s="294">
        <f t="shared" si="884"/>
        <v>0</v>
      </c>
      <c r="K190" s="52">
        <f t="shared" si="885"/>
        <v>0</v>
      </c>
      <c r="L190" s="52">
        <f t="shared" ref="L190:L198" si="1001">AS190/V$8</f>
        <v>0</v>
      </c>
      <c r="M190" s="52">
        <f t="shared" si="991"/>
        <v>0</v>
      </c>
      <c r="N190" s="52">
        <f t="shared" si="992"/>
        <v>0</v>
      </c>
      <c r="O190" s="52">
        <f t="shared" si="975"/>
        <v>5.5780611141101626E-4</v>
      </c>
      <c r="P190" s="52">
        <f t="shared" si="976"/>
        <v>5.7344844709668243E-4</v>
      </c>
      <c r="Q190" s="52">
        <f t="shared" si="977"/>
        <v>0</v>
      </c>
      <c r="R190" s="52">
        <f t="shared" si="978"/>
        <v>0</v>
      </c>
      <c r="S190" s="527">
        <f t="shared" si="886"/>
        <v>0</v>
      </c>
      <c r="T190" s="533">
        <f t="shared" ref="T190:T198" si="1002">BA190/T$8</f>
        <v>0</v>
      </c>
      <c r="U190" s="375">
        <f t="shared" si="905"/>
        <v>0</v>
      </c>
      <c r="V190" s="375">
        <f t="shared" ref="V190:V198" si="1003">BC190/V$8</f>
        <v>0</v>
      </c>
      <c r="W190" s="386">
        <f t="shared" ref="W190:W198" si="1004">BD190/W$8</f>
        <v>0</v>
      </c>
      <c r="X190" s="386">
        <f t="shared" ref="X190:X198" si="1005">BE190/X$8</f>
        <v>0</v>
      </c>
      <c r="Y190" s="386">
        <f t="shared" si="948"/>
        <v>0</v>
      </c>
      <c r="Z190" s="375">
        <f t="shared" si="993"/>
        <v>0</v>
      </c>
      <c r="AA190" s="375">
        <f t="shared" ref="AA190:AA198" si="1006">BH190/AA$8</f>
        <v>-5.5780611141101626E-4</v>
      </c>
      <c r="AB190" s="386">
        <f t="shared" ref="AB190:AB198" si="1007">BI190/AB$8</f>
        <v>0</v>
      </c>
      <c r="AC190" s="386">
        <f t="shared" si="979"/>
        <v>-6.4662186391417436E-4</v>
      </c>
      <c r="AD190" s="386">
        <f t="shared" si="980"/>
        <v>-6.4662186391417436E-4</v>
      </c>
      <c r="AE190" s="386">
        <f t="shared" si="981"/>
        <v>-5.7344844709668243E-4</v>
      </c>
      <c r="AF190" s="386">
        <f t="shared" si="982"/>
        <v>-1.6732798919897191E-4</v>
      </c>
      <c r="AG190" s="375">
        <f t="shared" si="983"/>
        <v>0</v>
      </c>
      <c r="AH190" s="375">
        <f t="shared" si="984"/>
        <v>0</v>
      </c>
      <c r="AI190" s="386">
        <f t="shared" si="985"/>
        <v>0</v>
      </c>
      <c r="AJ190" s="386">
        <f t="shared" si="986"/>
        <v>0</v>
      </c>
      <c r="AK190" s="386">
        <f t="shared" si="987"/>
        <v>0</v>
      </c>
      <c r="AL190" s="377">
        <f t="shared" si="988"/>
        <v>0</v>
      </c>
      <c r="AM190" s="377">
        <f t="shared" si="989"/>
        <v>0</v>
      </c>
      <c r="AN190" s="377">
        <f t="shared" si="990"/>
        <v>0</v>
      </c>
      <c r="AO190" s="283"/>
      <c r="AP190" s="295">
        <f t="shared" si="951"/>
        <v>21.999220000000001</v>
      </c>
      <c r="AQ190" s="183">
        <f t="shared" si="952"/>
        <v>0</v>
      </c>
      <c r="AR190" s="94">
        <f t="shared" si="953"/>
        <v>0</v>
      </c>
      <c r="AS190" s="94">
        <f t="shared" si="962"/>
        <v>0</v>
      </c>
      <c r="AT190" s="94">
        <f t="shared" si="970"/>
        <v>0</v>
      </c>
      <c r="AU190" s="94">
        <f t="shared" si="955"/>
        <v>0</v>
      </c>
      <c r="AV190" s="94">
        <f t="shared" si="966"/>
        <v>21.999220000000001</v>
      </c>
      <c r="AW190" s="94">
        <f t="shared" si="963"/>
        <v>21.999220000000001</v>
      </c>
      <c r="AX190" s="94">
        <f t="shared" si="950"/>
        <v>0</v>
      </c>
      <c r="AY190" s="94">
        <f t="shared" si="964"/>
        <v>0</v>
      </c>
      <c r="AZ190" s="433">
        <f t="shared" si="965"/>
        <v>0</v>
      </c>
      <c r="BA190" s="1008">
        <v>0</v>
      </c>
      <c r="BB190" s="409">
        <v>0</v>
      </c>
      <c r="BC190" s="1025">
        <v>0</v>
      </c>
      <c r="BD190" s="1030">
        <v>0</v>
      </c>
      <c r="BE190" s="389">
        <v>0</v>
      </c>
      <c r="BF190" s="516">
        <v>0</v>
      </c>
      <c r="BG190" s="207">
        <v>0</v>
      </c>
      <c r="BH190" s="207">
        <v>-21.999220000000001</v>
      </c>
      <c r="BI190" s="389">
        <v>0</v>
      </c>
      <c r="BJ190" s="516">
        <v>-21.999220000000001</v>
      </c>
      <c r="BK190" s="516">
        <v>-21.999220000000001</v>
      </c>
      <c r="BL190" s="516">
        <v>-21.999220000000001</v>
      </c>
      <c r="BM190" s="516">
        <f>-21.99922+15.4</f>
        <v>-6.5992200000000008</v>
      </c>
      <c r="BN190" s="409">
        <v>0</v>
      </c>
      <c r="BO190" s="207">
        <v>0</v>
      </c>
      <c r="BP190" s="389">
        <v>0</v>
      </c>
      <c r="BQ190" s="389">
        <v>0</v>
      </c>
      <c r="BR190" s="389">
        <v>0</v>
      </c>
      <c r="BS190" s="296">
        <v>0</v>
      </c>
      <c r="BT190" s="296">
        <v>0</v>
      </c>
      <c r="BU190" s="296">
        <v>0</v>
      </c>
      <c r="BV190" s="409">
        <v>0</v>
      </c>
      <c r="BW190" s="1011">
        <f t="shared" si="959"/>
        <v>0</v>
      </c>
      <c r="BX190" s="449" t="s">
        <v>1656</v>
      </c>
    </row>
    <row r="191" spans="1:78" s="1" customFormat="1" ht="57.95" hidden="1" customHeight="1" outlineLevel="1" x14ac:dyDescent="0.25">
      <c r="A191" s="678">
        <v>81</v>
      </c>
      <c r="B191" s="702" t="s">
        <v>69</v>
      </c>
      <c r="C191" s="697" t="s">
        <v>701</v>
      </c>
      <c r="D191" s="63">
        <v>44459</v>
      </c>
      <c r="E191" s="463" t="s">
        <v>1652</v>
      </c>
      <c r="F191" s="542" t="s">
        <v>1658</v>
      </c>
      <c r="G191" s="95" t="s">
        <v>24</v>
      </c>
      <c r="H191" s="311" t="s">
        <v>129</v>
      </c>
      <c r="I191" s="335"/>
      <c r="J191" s="294">
        <f t="shared" si="884"/>
        <v>0</v>
      </c>
      <c r="K191" s="52">
        <f t="shared" si="885"/>
        <v>0</v>
      </c>
      <c r="L191" s="52">
        <f t="shared" si="1001"/>
        <v>0</v>
      </c>
      <c r="M191" s="52">
        <f t="shared" si="991"/>
        <v>0</v>
      </c>
      <c r="N191" s="52">
        <f t="shared" si="992"/>
        <v>0</v>
      </c>
      <c r="O191" s="52">
        <f t="shared" si="975"/>
        <v>1.0157831946346345E-5</v>
      </c>
      <c r="P191" s="52">
        <f t="shared" si="976"/>
        <v>1.044268400137565E-5</v>
      </c>
      <c r="Q191" s="52">
        <f t="shared" si="977"/>
        <v>0</v>
      </c>
      <c r="R191" s="52">
        <f t="shared" si="978"/>
        <v>0</v>
      </c>
      <c r="S191" s="527">
        <f t="shared" si="886"/>
        <v>0</v>
      </c>
      <c r="T191" s="533">
        <f t="shared" si="1002"/>
        <v>0</v>
      </c>
      <c r="U191" s="375">
        <f t="shared" si="905"/>
        <v>0</v>
      </c>
      <c r="V191" s="375">
        <f t="shared" si="1003"/>
        <v>0</v>
      </c>
      <c r="W191" s="386">
        <f t="shared" si="1004"/>
        <v>0</v>
      </c>
      <c r="X191" s="386">
        <f t="shared" si="1005"/>
        <v>0</v>
      </c>
      <c r="Y191" s="386">
        <f t="shared" si="948"/>
        <v>0</v>
      </c>
      <c r="Z191" s="375">
        <f t="shared" si="993"/>
        <v>0</v>
      </c>
      <c r="AA191" s="375">
        <f t="shared" si="1006"/>
        <v>-1.0157831946346345E-5</v>
      </c>
      <c r="AB191" s="386">
        <f t="shared" si="1007"/>
        <v>0</v>
      </c>
      <c r="AC191" s="386">
        <f t="shared" si="979"/>
        <v>-1.1775195882774441E-5</v>
      </c>
      <c r="AD191" s="386">
        <f t="shared" si="980"/>
        <v>-1.1775195882774441E-5</v>
      </c>
      <c r="AE191" s="386">
        <f t="shared" si="981"/>
        <v>-1.044268400137565E-5</v>
      </c>
      <c r="AF191" s="386">
        <f t="shared" si="982"/>
        <v>-1.0157831946346345E-5</v>
      </c>
      <c r="AG191" s="375">
        <f t="shared" si="983"/>
        <v>0</v>
      </c>
      <c r="AH191" s="375">
        <f t="shared" si="984"/>
        <v>0</v>
      </c>
      <c r="AI191" s="386">
        <f t="shared" si="985"/>
        <v>0</v>
      </c>
      <c r="AJ191" s="386">
        <f t="shared" si="986"/>
        <v>0</v>
      </c>
      <c r="AK191" s="386">
        <f t="shared" si="987"/>
        <v>0</v>
      </c>
      <c r="AL191" s="377">
        <f t="shared" si="988"/>
        <v>0</v>
      </c>
      <c r="AM191" s="377">
        <f t="shared" si="989"/>
        <v>0</v>
      </c>
      <c r="AN191" s="377">
        <f t="shared" si="990"/>
        <v>0</v>
      </c>
      <c r="AO191" s="283"/>
      <c r="AP191" s="295">
        <f t="shared" si="951"/>
        <v>0.400613</v>
      </c>
      <c r="AQ191" s="183">
        <f t="shared" si="952"/>
        <v>0</v>
      </c>
      <c r="AR191" s="94">
        <f t="shared" si="953"/>
        <v>0</v>
      </c>
      <c r="AS191" s="94">
        <f t="shared" si="962"/>
        <v>0</v>
      </c>
      <c r="AT191" s="94">
        <f t="shared" si="970"/>
        <v>0</v>
      </c>
      <c r="AU191" s="94">
        <f t="shared" si="955"/>
        <v>0</v>
      </c>
      <c r="AV191" s="94">
        <f t="shared" si="966"/>
        <v>0.400613</v>
      </c>
      <c r="AW191" s="94">
        <f t="shared" si="963"/>
        <v>0.400613</v>
      </c>
      <c r="AX191" s="94">
        <f t="shared" si="950"/>
        <v>0</v>
      </c>
      <c r="AY191" s="94">
        <f t="shared" si="964"/>
        <v>0</v>
      </c>
      <c r="AZ191" s="433">
        <f t="shared" si="965"/>
        <v>0</v>
      </c>
      <c r="BA191" s="1008">
        <v>0</v>
      </c>
      <c r="BB191" s="409">
        <v>0</v>
      </c>
      <c r="BC191" s="1025">
        <v>0</v>
      </c>
      <c r="BD191" s="1030">
        <v>0</v>
      </c>
      <c r="BE191" s="389">
        <v>0</v>
      </c>
      <c r="BF191" s="516">
        <v>0</v>
      </c>
      <c r="BG191" s="207">
        <v>0</v>
      </c>
      <c r="BH191" s="207">
        <v>-0.400613</v>
      </c>
      <c r="BI191" s="389">
        <v>0</v>
      </c>
      <c r="BJ191" s="516">
        <v>-0.400613</v>
      </c>
      <c r="BK191" s="516">
        <v>-0.400613</v>
      </c>
      <c r="BL191" s="516">
        <v>-0.400613</v>
      </c>
      <c r="BM191" s="516">
        <v>-0.400613</v>
      </c>
      <c r="BN191" s="409">
        <v>0</v>
      </c>
      <c r="BO191" s="207">
        <v>0</v>
      </c>
      <c r="BP191" s="389">
        <v>0</v>
      </c>
      <c r="BQ191" s="389">
        <v>0</v>
      </c>
      <c r="BR191" s="389">
        <v>0</v>
      </c>
      <c r="BS191" s="296">
        <v>0</v>
      </c>
      <c r="BT191" s="296">
        <v>0</v>
      </c>
      <c r="BU191" s="296">
        <v>0</v>
      </c>
      <c r="BV191" s="409">
        <v>0</v>
      </c>
      <c r="BW191" s="1011">
        <f t="shared" si="959"/>
        <v>0</v>
      </c>
      <c r="BX191" s="449" t="s">
        <v>1657</v>
      </c>
    </row>
    <row r="192" spans="1:78" s="1" customFormat="1" ht="130.5" hidden="1" customHeight="1" outlineLevel="1" x14ac:dyDescent="0.25">
      <c r="A192" s="678">
        <v>82</v>
      </c>
      <c r="B192" s="702" t="s">
        <v>69</v>
      </c>
      <c r="C192" s="697" t="s">
        <v>1737</v>
      </c>
      <c r="D192" s="63">
        <v>44467</v>
      </c>
      <c r="E192" s="475" t="s">
        <v>1932</v>
      </c>
      <c r="F192" s="542" t="s">
        <v>1931</v>
      </c>
      <c r="G192" s="95" t="s">
        <v>24</v>
      </c>
      <c r="H192" s="311" t="s">
        <v>129</v>
      </c>
      <c r="I192" s="335"/>
      <c r="J192" s="294">
        <f t="shared" ref="J192:J193" si="1008">AQ192/T$8</f>
        <v>0</v>
      </c>
      <c r="K192" s="52">
        <f t="shared" ref="K192:K193" si="1009">AR192/U$8</f>
        <v>0</v>
      </c>
      <c r="L192" s="52">
        <f t="shared" ref="L192:L193" si="1010">AS192/V$8</f>
        <v>8.7462689764936341E-5</v>
      </c>
      <c r="M192" s="52">
        <f t="shared" si="991"/>
        <v>9.1110149010983471E-5</v>
      </c>
      <c r="N192" s="52">
        <f t="shared" si="992"/>
        <v>8.5078504765109757E-5</v>
      </c>
      <c r="O192" s="52">
        <f t="shared" si="975"/>
        <v>0</v>
      </c>
      <c r="P192" s="52">
        <f t="shared" si="976"/>
        <v>0</v>
      </c>
      <c r="Q192" s="52">
        <f t="shared" si="977"/>
        <v>0</v>
      </c>
      <c r="R192" s="52">
        <f t="shared" si="978"/>
        <v>0</v>
      </c>
      <c r="S192" s="527">
        <f t="shared" ref="S192:S193" si="1011">AZ192/AN$8</f>
        <v>0</v>
      </c>
      <c r="T192" s="533">
        <f t="shared" ref="T192:T193" si="1012">BA192/T$8</f>
        <v>0</v>
      </c>
      <c r="U192" s="375">
        <f t="shared" ref="U192:U193" si="1013">BB192/U$8</f>
        <v>0</v>
      </c>
      <c r="V192" s="375">
        <f t="shared" ref="V192:V193" si="1014">BC192/V$8</f>
        <v>-8.7462689764936341E-5</v>
      </c>
      <c r="W192" s="386">
        <f t="shared" ref="W192:W193" si="1015">BD192/W$8</f>
        <v>0</v>
      </c>
      <c r="X192" s="386">
        <f t="shared" ref="X192:X193" si="1016">BE192/X$8</f>
        <v>0</v>
      </c>
      <c r="Y192" s="386">
        <f t="shared" ref="Y192:Y193" si="1017">BF192/Y$8</f>
        <v>0</v>
      </c>
      <c r="Z192" s="375">
        <f t="shared" si="993"/>
        <v>-8.5078504765109757E-5</v>
      </c>
      <c r="AA192" s="375">
        <f t="shared" ref="AA192:AA193" si="1018">BH192/AA$8</f>
        <v>0</v>
      </c>
      <c r="AB192" s="386">
        <f t="shared" ref="AB192:AB193" si="1019">BI192/AB$8</f>
        <v>0</v>
      </c>
      <c r="AC192" s="386">
        <f t="shared" si="979"/>
        <v>0</v>
      </c>
      <c r="AD192" s="386">
        <f t="shared" si="980"/>
        <v>0</v>
      </c>
      <c r="AE192" s="386">
        <f t="shared" si="981"/>
        <v>0</v>
      </c>
      <c r="AF192" s="386">
        <f t="shared" si="982"/>
        <v>0</v>
      </c>
      <c r="AG192" s="375">
        <f t="shared" si="983"/>
        <v>0</v>
      </c>
      <c r="AH192" s="375">
        <f t="shared" si="984"/>
        <v>0</v>
      </c>
      <c r="AI192" s="386">
        <f t="shared" si="985"/>
        <v>0</v>
      </c>
      <c r="AJ192" s="386">
        <f t="shared" si="986"/>
        <v>0</v>
      </c>
      <c r="AK192" s="386">
        <f t="shared" si="987"/>
        <v>0</v>
      </c>
      <c r="AL192" s="377">
        <f t="shared" si="988"/>
        <v>0</v>
      </c>
      <c r="AM192" s="377">
        <f t="shared" si="989"/>
        <v>0</v>
      </c>
      <c r="AN192" s="377">
        <f t="shared" si="990"/>
        <v>0</v>
      </c>
      <c r="AO192" s="283"/>
      <c r="AP192" s="295">
        <f t="shared" si="951"/>
        <v>2.8575810000000001</v>
      </c>
      <c r="AQ192" s="183">
        <f t="shared" ref="AQ192:AQ193" si="1020">-BA192</f>
        <v>0</v>
      </c>
      <c r="AR192" s="94">
        <f t="shared" ref="AR192:AR193" si="1021">-BB192</f>
        <v>0</v>
      </c>
      <c r="AS192" s="94">
        <f t="shared" ref="AS192:AS193" si="1022">-BC192</f>
        <v>2.8575810000000001</v>
      </c>
      <c r="AT192" s="94">
        <f t="shared" si="970"/>
        <v>2.8575810000000001</v>
      </c>
      <c r="AU192" s="94">
        <f t="shared" si="955"/>
        <v>2.8575810000000001</v>
      </c>
      <c r="AV192" s="94">
        <f t="shared" si="966"/>
        <v>0</v>
      </c>
      <c r="AW192" s="94">
        <f t="shared" ref="AW192:AW193" si="1023">-BH192</f>
        <v>0</v>
      </c>
      <c r="AX192" s="94">
        <f t="shared" si="950"/>
        <v>0</v>
      </c>
      <c r="AY192" s="94">
        <f t="shared" ref="AY192:AY193" si="1024">-BO192</f>
        <v>0</v>
      </c>
      <c r="AZ192" s="433">
        <f t="shared" ref="AZ192:AZ193" si="1025">-BU192</f>
        <v>0</v>
      </c>
      <c r="BA192" s="1008">
        <v>0</v>
      </c>
      <c r="BB192" s="409">
        <v>0</v>
      </c>
      <c r="BC192" s="1025">
        <v>-2.8575810000000001</v>
      </c>
      <c r="BD192" s="1030">
        <v>0</v>
      </c>
      <c r="BE192" s="389">
        <v>0</v>
      </c>
      <c r="BF192" s="516">
        <v>0</v>
      </c>
      <c r="BG192" s="207">
        <v>-2.8575810000000001</v>
      </c>
      <c r="BH192" s="207">
        <v>0</v>
      </c>
      <c r="BI192" s="389">
        <v>0</v>
      </c>
      <c r="BJ192" s="516">
        <v>0</v>
      </c>
      <c r="BK192" s="516">
        <v>0</v>
      </c>
      <c r="BL192" s="516">
        <v>0</v>
      </c>
      <c r="BM192" s="516">
        <v>0</v>
      </c>
      <c r="BN192" s="409">
        <v>0</v>
      </c>
      <c r="BO192" s="207">
        <v>0</v>
      </c>
      <c r="BP192" s="389">
        <v>0</v>
      </c>
      <c r="BQ192" s="389">
        <v>0</v>
      </c>
      <c r="BR192" s="389">
        <v>0</v>
      </c>
      <c r="BS192" s="296">
        <v>0</v>
      </c>
      <c r="BT192" s="296">
        <v>0</v>
      </c>
      <c r="BU192" s="296">
        <v>0</v>
      </c>
      <c r="BV192" s="409">
        <v>0</v>
      </c>
      <c r="BW192" s="1011">
        <f t="shared" ref="BW192:BW193" si="1026">-BV192</f>
        <v>0</v>
      </c>
      <c r="BX192" s="449" t="s">
        <v>1934</v>
      </c>
      <c r="BZ192" s="650"/>
    </row>
    <row r="193" spans="1:78" s="1" customFormat="1" ht="101.45" hidden="1" customHeight="1" outlineLevel="1" x14ac:dyDescent="0.25">
      <c r="A193" s="678">
        <v>83</v>
      </c>
      <c r="B193" s="702" t="s">
        <v>69</v>
      </c>
      <c r="C193" s="697" t="s">
        <v>1737</v>
      </c>
      <c r="D193" s="63">
        <v>44467</v>
      </c>
      <c r="E193" s="475" t="s">
        <v>1933</v>
      </c>
      <c r="F193" s="542" t="s">
        <v>1931</v>
      </c>
      <c r="G193" s="95" t="s">
        <v>24</v>
      </c>
      <c r="H193" s="311" t="s">
        <v>129</v>
      </c>
      <c r="I193" s="335"/>
      <c r="J193" s="294">
        <f t="shared" si="1008"/>
        <v>0</v>
      </c>
      <c r="K193" s="52">
        <f t="shared" si="1009"/>
        <v>0</v>
      </c>
      <c r="L193" s="52">
        <f t="shared" si="1010"/>
        <v>7.1470525220372177E-5</v>
      </c>
      <c r="M193" s="52">
        <f t="shared" si="991"/>
        <v>7.4451062735688791E-5</v>
      </c>
      <c r="N193" s="52">
        <f t="shared" si="992"/>
        <v>6.9522277863492336E-5</v>
      </c>
      <c r="O193" s="52">
        <f t="shared" si="975"/>
        <v>0</v>
      </c>
      <c r="P193" s="52">
        <f t="shared" si="976"/>
        <v>0</v>
      </c>
      <c r="Q193" s="52">
        <f t="shared" si="977"/>
        <v>0</v>
      </c>
      <c r="R193" s="52">
        <f t="shared" si="978"/>
        <v>0</v>
      </c>
      <c r="S193" s="527">
        <f t="shared" si="1011"/>
        <v>0</v>
      </c>
      <c r="T193" s="533">
        <f t="shared" si="1012"/>
        <v>0</v>
      </c>
      <c r="U193" s="375">
        <f t="shared" si="1013"/>
        <v>0</v>
      </c>
      <c r="V193" s="375">
        <f t="shared" si="1014"/>
        <v>-7.1470525220372177E-5</v>
      </c>
      <c r="W193" s="386">
        <f t="shared" si="1015"/>
        <v>0</v>
      </c>
      <c r="X193" s="386">
        <f t="shared" si="1016"/>
        <v>0</v>
      </c>
      <c r="Y193" s="386">
        <f t="shared" si="1017"/>
        <v>0</v>
      </c>
      <c r="Z193" s="375">
        <f t="shared" si="993"/>
        <v>-6.9522277863492336E-5</v>
      </c>
      <c r="AA193" s="375">
        <f t="shared" si="1018"/>
        <v>0</v>
      </c>
      <c r="AB193" s="386">
        <f t="shared" si="1019"/>
        <v>0</v>
      </c>
      <c r="AC193" s="386">
        <f t="shared" si="979"/>
        <v>0</v>
      </c>
      <c r="AD193" s="386">
        <f t="shared" si="980"/>
        <v>0</v>
      </c>
      <c r="AE193" s="386">
        <f t="shared" si="981"/>
        <v>0</v>
      </c>
      <c r="AF193" s="386">
        <f t="shared" si="982"/>
        <v>0</v>
      </c>
      <c r="AG193" s="375">
        <f t="shared" si="983"/>
        <v>0</v>
      </c>
      <c r="AH193" s="375">
        <f t="shared" si="984"/>
        <v>0</v>
      </c>
      <c r="AI193" s="386">
        <f t="shared" si="985"/>
        <v>0</v>
      </c>
      <c r="AJ193" s="386">
        <f t="shared" si="986"/>
        <v>0</v>
      </c>
      <c r="AK193" s="386">
        <f t="shared" si="987"/>
        <v>0</v>
      </c>
      <c r="AL193" s="377">
        <f t="shared" si="988"/>
        <v>0</v>
      </c>
      <c r="AM193" s="377">
        <f t="shared" si="989"/>
        <v>0</v>
      </c>
      <c r="AN193" s="377">
        <f t="shared" si="990"/>
        <v>0</v>
      </c>
      <c r="AO193" s="283"/>
      <c r="AP193" s="295">
        <f t="shared" si="951"/>
        <v>2.3350849999999999</v>
      </c>
      <c r="AQ193" s="183">
        <f t="shared" si="1020"/>
        <v>0</v>
      </c>
      <c r="AR193" s="94">
        <f t="shared" si="1021"/>
        <v>0</v>
      </c>
      <c r="AS193" s="94">
        <f t="shared" si="1022"/>
        <v>2.3350849999999999</v>
      </c>
      <c r="AT193" s="94">
        <f t="shared" si="970"/>
        <v>2.3350849999999999</v>
      </c>
      <c r="AU193" s="94">
        <f t="shared" si="955"/>
        <v>2.3350849999999999</v>
      </c>
      <c r="AV193" s="94">
        <f t="shared" si="966"/>
        <v>0</v>
      </c>
      <c r="AW193" s="94">
        <f t="shared" si="1023"/>
        <v>0</v>
      </c>
      <c r="AX193" s="94">
        <f t="shared" si="950"/>
        <v>0</v>
      </c>
      <c r="AY193" s="94">
        <f t="shared" si="1024"/>
        <v>0</v>
      </c>
      <c r="AZ193" s="433">
        <f t="shared" si="1025"/>
        <v>0</v>
      </c>
      <c r="BA193" s="1008">
        <v>0</v>
      </c>
      <c r="BB193" s="409">
        <v>0</v>
      </c>
      <c r="BC193" s="1025">
        <v>-2.3350849999999999</v>
      </c>
      <c r="BD193" s="1030">
        <v>0</v>
      </c>
      <c r="BE193" s="389">
        <v>0</v>
      </c>
      <c r="BF193" s="516">
        <v>0</v>
      </c>
      <c r="BG193" s="207">
        <v>-2.3350849999999999</v>
      </c>
      <c r="BH193" s="207">
        <v>0</v>
      </c>
      <c r="BI193" s="389">
        <v>0</v>
      </c>
      <c r="BJ193" s="516">
        <v>0</v>
      </c>
      <c r="BK193" s="516">
        <v>0</v>
      </c>
      <c r="BL193" s="516">
        <v>0</v>
      </c>
      <c r="BM193" s="516">
        <v>0</v>
      </c>
      <c r="BN193" s="409">
        <v>0</v>
      </c>
      <c r="BO193" s="207">
        <v>0</v>
      </c>
      <c r="BP193" s="389">
        <v>0</v>
      </c>
      <c r="BQ193" s="389">
        <v>0</v>
      </c>
      <c r="BR193" s="389">
        <v>0</v>
      </c>
      <c r="BS193" s="296">
        <v>0</v>
      </c>
      <c r="BT193" s="296">
        <v>0</v>
      </c>
      <c r="BU193" s="296">
        <v>0</v>
      </c>
      <c r="BV193" s="409">
        <v>0</v>
      </c>
      <c r="BW193" s="1011">
        <f t="shared" si="1026"/>
        <v>0</v>
      </c>
      <c r="BX193" s="449" t="s">
        <v>1935</v>
      </c>
      <c r="BZ193" s="650"/>
    </row>
    <row r="194" spans="1:78" s="1" customFormat="1" ht="95.45" hidden="1" customHeight="1" outlineLevel="1" x14ac:dyDescent="0.25">
      <c r="A194" s="678">
        <v>84</v>
      </c>
      <c r="B194" s="702" t="s">
        <v>69</v>
      </c>
      <c r="C194" s="697" t="s">
        <v>1736</v>
      </c>
      <c r="D194" s="63">
        <v>44489</v>
      </c>
      <c r="E194" s="475" t="s">
        <v>1826</v>
      </c>
      <c r="F194" s="542" t="s">
        <v>1677</v>
      </c>
      <c r="G194" s="95" t="s">
        <v>24</v>
      </c>
      <c r="H194" s="311" t="s">
        <v>130</v>
      </c>
      <c r="I194" s="335"/>
      <c r="J194" s="294">
        <f t="shared" si="884"/>
        <v>0</v>
      </c>
      <c r="K194" s="52">
        <f t="shared" si="885"/>
        <v>0</v>
      </c>
      <c r="L194" s="52">
        <f t="shared" si="1001"/>
        <v>4.8750125489715963E-4</v>
      </c>
      <c r="M194" s="52">
        <f t="shared" si="991"/>
        <v>5.0783153475035341E-4</v>
      </c>
      <c r="N194" s="52">
        <f t="shared" si="992"/>
        <v>2.4260560726928253E-4</v>
      </c>
      <c r="O194" s="52">
        <f t="shared" si="975"/>
        <v>0</v>
      </c>
      <c r="P194" s="52">
        <f t="shared" si="976"/>
        <v>0</v>
      </c>
      <c r="Q194" s="52">
        <f t="shared" si="977"/>
        <v>0</v>
      </c>
      <c r="R194" s="52">
        <f t="shared" si="978"/>
        <v>0</v>
      </c>
      <c r="S194" s="527">
        <f t="shared" si="886"/>
        <v>0</v>
      </c>
      <c r="T194" s="533">
        <f t="shared" si="1002"/>
        <v>0</v>
      </c>
      <c r="U194" s="375">
        <f t="shared" si="905"/>
        <v>0</v>
      </c>
      <c r="V194" s="375">
        <f t="shared" si="1003"/>
        <v>-4.8750125489715963E-4</v>
      </c>
      <c r="W194" s="386">
        <f t="shared" si="1004"/>
        <v>0</v>
      </c>
      <c r="X194" s="386">
        <f t="shared" si="1005"/>
        <v>0</v>
      </c>
      <c r="Y194" s="386">
        <f>BF194/Y$8</f>
        <v>0</v>
      </c>
      <c r="Z194" s="375">
        <f t="shared" si="993"/>
        <v>-2.4260560726928253E-4</v>
      </c>
      <c r="AA194" s="375">
        <f t="shared" si="1006"/>
        <v>0</v>
      </c>
      <c r="AB194" s="386">
        <f t="shared" si="1007"/>
        <v>0</v>
      </c>
      <c r="AC194" s="386">
        <f t="shared" si="979"/>
        <v>0</v>
      </c>
      <c r="AD194" s="386">
        <f t="shared" si="980"/>
        <v>0</v>
      </c>
      <c r="AE194" s="386">
        <f t="shared" si="981"/>
        <v>0</v>
      </c>
      <c r="AF194" s="386">
        <f t="shared" si="982"/>
        <v>0</v>
      </c>
      <c r="AG194" s="375">
        <f t="shared" si="983"/>
        <v>0</v>
      </c>
      <c r="AH194" s="375">
        <f t="shared" si="984"/>
        <v>0</v>
      </c>
      <c r="AI194" s="386">
        <f t="shared" si="985"/>
        <v>0</v>
      </c>
      <c r="AJ194" s="386">
        <f t="shared" si="986"/>
        <v>0</v>
      </c>
      <c r="AK194" s="386">
        <f t="shared" si="987"/>
        <v>0</v>
      </c>
      <c r="AL194" s="377">
        <f t="shared" si="988"/>
        <v>0</v>
      </c>
      <c r="AM194" s="377">
        <f t="shared" si="989"/>
        <v>0</v>
      </c>
      <c r="AN194" s="377">
        <f t="shared" si="990"/>
        <v>0</v>
      </c>
      <c r="AO194" s="283"/>
      <c r="AP194" s="295">
        <f t="shared" ref="AP194:AP220" si="1027">AR194+AU194+AZ194+AW194+AY194</f>
        <v>8.1485350000000007</v>
      </c>
      <c r="AQ194" s="183">
        <f t="shared" si="952"/>
        <v>0</v>
      </c>
      <c r="AR194" s="94">
        <f t="shared" si="953"/>
        <v>0</v>
      </c>
      <c r="AS194" s="94">
        <f t="shared" si="962"/>
        <v>15.927640999999999</v>
      </c>
      <c r="AT194" s="94">
        <f t="shared" si="970"/>
        <v>15.927640999999999</v>
      </c>
      <c r="AU194" s="94">
        <f t="shared" si="955"/>
        <v>8.1485350000000007</v>
      </c>
      <c r="AV194" s="94">
        <f t="shared" si="966"/>
        <v>0</v>
      </c>
      <c r="AW194" s="94">
        <f t="shared" si="963"/>
        <v>0</v>
      </c>
      <c r="AX194" s="94">
        <f t="shared" si="950"/>
        <v>0</v>
      </c>
      <c r="AY194" s="94">
        <f t="shared" si="964"/>
        <v>0</v>
      </c>
      <c r="AZ194" s="433">
        <f t="shared" si="965"/>
        <v>0</v>
      </c>
      <c r="BA194" s="1008">
        <v>0</v>
      </c>
      <c r="BB194" s="409">
        <v>0</v>
      </c>
      <c r="BC194" s="1025">
        <f>-15.927641</f>
        <v>-15.927640999999999</v>
      </c>
      <c r="BD194" s="1030">
        <v>0</v>
      </c>
      <c r="BE194" s="389">
        <v>0</v>
      </c>
      <c r="BF194" s="516">
        <v>0</v>
      </c>
      <c r="BG194" s="207">
        <v>-8.1485350000000007</v>
      </c>
      <c r="BH194" s="207">
        <v>0</v>
      </c>
      <c r="BI194" s="389">
        <v>0</v>
      </c>
      <c r="BJ194" s="516">
        <v>0</v>
      </c>
      <c r="BK194" s="516">
        <v>0</v>
      </c>
      <c r="BL194" s="516">
        <v>0</v>
      </c>
      <c r="BM194" s="516">
        <v>0</v>
      </c>
      <c r="BN194" s="409">
        <v>0</v>
      </c>
      <c r="BO194" s="207">
        <v>0</v>
      </c>
      <c r="BP194" s="389">
        <v>0</v>
      </c>
      <c r="BQ194" s="389">
        <v>0</v>
      </c>
      <c r="BR194" s="389">
        <v>0</v>
      </c>
      <c r="BS194" s="296">
        <v>0</v>
      </c>
      <c r="BT194" s="296">
        <v>0</v>
      </c>
      <c r="BU194" s="296">
        <v>0</v>
      </c>
      <c r="BV194" s="409">
        <v>0</v>
      </c>
      <c r="BW194" s="1011">
        <f t="shared" si="959"/>
        <v>0</v>
      </c>
      <c r="BX194" s="449" t="s">
        <v>1676</v>
      </c>
    </row>
    <row r="195" spans="1:78" s="1" customFormat="1" ht="168" hidden="1" customHeight="1" outlineLevel="1" x14ac:dyDescent="0.25">
      <c r="A195" s="678">
        <v>85</v>
      </c>
      <c r="B195" s="702" t="s">
        <v>69</v>
      </c>
      <c r="C195" s="697" t="s">
        <v>1737</v>
      </c>
      <c r="D195" s="63">
        <v>44496</v>
      </c>
      <c r="E195" s="463" t="s">
        <v>1686</v>
      </c>
      <c r="F195" s="542" t="s">
        <v>1683</v>
      </c>
      <c r="G195" s="95" t="s">
        <v>24</v>
      </c>
      <c r="H195" s="311" t="s">
        <v>129</v>
      </c>
      <c r="I195" s="335"/>
      <c r="J195" s="294">
        <f t="shared" si="884"/>
        <v>0</v>
      </c>
      <c r="K195" s="52">
        <f t="shared" si="885"/>
        <v>0</v>
      </c>
      <c r="L195" s="52">
        <f t="shared" si="1001"/>
        <v>7.6144496816846229E-5</v>
      </c>
      <c r="M195" s="52">
        <f t="shared" si="991"/>
        <v>7.9319953113658571E-5</v>
      </c>
      <c r="N195" s="52">
        <f t="shared" si="992"/>
        <v>7.406883955524154E-5</v>
      </c>
      <c r="O195" s="52">
        <f t="shared" si="975"/>
        <v>0</v>
      </c>
      <c r="P195" s="52">
        <f t="shared" si="976"/>
        <v>0</v>
      </c>
      <c r="Q195" s="52">
        <f t="shared" si="977"/>
        <v>0</v>
      </c>
      <c r="R195" s="52">
        <f t="shared" si="978"/>
        <v>0</v>
      </c>
      <c r="S195" s="527">
        <f t="shared" si="886"/>
        <v>0</v>
      </c>
      <c r="T195" s="533">
        <f t="shared" si="1002"/>
        <v>0</v>
      </c>
      <c r="U195" s="375">
        <f t="shared" si="905"/>
        <v>0</v>
      </c>
      <c r="V195" s="375">
        <f t="shared" si="1003"/>
        <v>-7.6144496816846229E-5</v>
      </c>
      <c r="W195" s="386">
        <f t="shared" si="1004"/>
        <v>0</v>
      </c>
      <c r="X195" s="386">
        <f t="shared" si="1005"/>
        <v>0</v>
      </c>
      <c r="Y195" s="386">
        <f>BF195/Y$8</f>
        <v>0</v>
      </c>
      <c r="Z195" s="375">
        <f t="shared" si="993"/>
        <v>-7.406883955524154E-5</v>
      </c>
      <c r="AA195" s="375">
        <f t="shared" si="1006"/>
        <v>0</v>
      </c>
      <c r="AB195" s="386">
        <f t="shared" si="1007"/>
        <v>0</v>
      </c>
      <c r="AC195" s="386">
        <f t="shared" si="979"/>
        <v>0</v>
      </c>
      <c r="AD195" s="386">
        <f t="shared" si="980"/>
        <v>0</v>
      </c>
      <c r="AE195" s="386">
        <f t="shared" si="981"/>
        <v>0</v>
      </c>
      <c r="AF195" s="386">
        <f t="shared" si="982"/>
        <v>0</v>
      </c>
      <c r="AG195" s="375">
        <f t="shared" si="983"/>
        <v>0</v>
      </c>
      <c r="AH195" s="375">
        <f t="shared" si="984"/>
        <v>0</v>
      </c>
      <c r="AI195" s="386">
        <f t="shared" si="985"/>
        <v>0</v>
      </c>
      <c r="AJ195" s="386">
        <f t="shared" si="986"/>
        <v>0</v>
      </c>
      <c r="AK195" s="386">
        <f t="shared" si="987"/>
        <v>0</v>
      </c>
      <c r="AL195" s="377">
        <f t="shared" si="988"/>
        <v>0</v>
      </c>
      <c r="AM195" s="377">
        <f t="shared" si="989"/>
        <v>0</v>
      </c>
      <c r="AN195" s="377">
        <f t="shared" si="990"/>
        <v>0</v>
      </c>
      <c r="AO195" s="283"/>
      <c r="AP195" s="295">
        <f t="shared" si="1027"/>
        <v>2.4877929999999999</v>
      </c>
      <c r="AQ195" s="183">
        <f t="shared" si="952"/>
        <v>0</v>
      </c>
      <c r="AR195" s="94">
        <f t="shared" si="953"/>
        <v>0</v>
      </c>
      <c r="AS195" s="94">
        <f t="shared" si="962"/>
        <v>2.4877929999999999</v>
      </c>
      <c r="AT195" s="94">
        <f t="shared" si="970"/>
        <v>2.4877929999999999</v>
      </c>
      <c r="AU195" s="94">
        <f t="shared" si="955"/>
        <v>2.4877929999999999</v>
      </c>
      <c r="AV195" s="94">
        <f t="shared" si="966"/>
        <v>0</v>
      </c>
      <c r="AW195" s="94">
        <f t="shared" si="963"/>
        <v>0</v>
      </c>
      <c r="AX195" s="94">
        <f t="shared" si="950"/>
        <v>0</v>
      </c>
      <c r="AY195" s="94">
        <f t="shared" si="964"/>
        <v>0</v>
      </c>
      <c r="AZ195" s="433">
        <f t="shared" si="965"/>
        <v>0</v>
      </c>
      <c r="BA195" s="1008">
        <v>0</v>
      </c>
      <c r="BB195" s="409">
        <v>0</v>
      </c>
      <c r="BC195" s="1025">
        <f>-2.487793</f>
        <v>-2.4877929999999999</v>
      </c>
      <c r="BD195" s="1030">
        <v>0</v>
      </c>
      <c r="BE195" s="389">
        <v>0</v>
      </c>
      <c r="BF195" s="516">
        <v>0</v>
      </c>
      <c r="BG195" s="207">
        <f>-0.128767-2.359026</f>
        <v>-2.4877929999999999</v>
      </c>
      <c r="BH195" s="207">
        <v>0</v>
      </c>
      <c r="BI195" s="389">
        <v>0</v>
      </c>
      <c r="BJ195" s="516">
        <v>0</v>
      </c>
      <c r="BK195" s="516">
        <v>0</v>
      </c>
      <c r="BL195" s="516">
        <v>0</v>
      </c>
      <c r="BM195" s="516">
        <v>0</v>
      </c>
      <c r="BN195" s="409">
        <v>0</v>
      </c>
      <c r="BO195" s="207">
        <v>0</v>
      </c>
      <c r="BP195" s="389">
        <v>0</v>
      </c>
      <c r="BQ195" s="389">
        <v>0</v>
      </c>
      <c r="BR195" s="389">
        <v>0</v>
      </c>
      <c r="BS195" s="296">
        <v>0</v>
      </c>
      <c r="BT195" s="296">
        <v>0</v>
      </c>
      <c r="BU195" s="296">
        <v>0</v>
      </c>
      <c r="BV195" s="409">
        <v>0</v>
      </c>
      <c r="BW195" s="1011">
        <f t="shared" si="959"/>
        <v>0</v>
      </c>
      <c r="BX195" s="449" t="s">
        <v>1684</v>
      </c>
      <c r="BZ195" s="650"/>
    </row>
    <row r="196" spans="1:78" s="1" customFormat="1" ht="131.1" hidden="1" customHeight="1" outlineLevel="1" x14ac:dyDescent="0.25">
      <c r="A196" s="678">
        <v>86</v>
      </c>
      <c r="B196" s="702" t="s">
        <v>69</v>
      </c>
      <c r="C196" s="697" t="s">
        <v>1737</v>
      </c>
      <c r="D196" s="63">
        <v>44503</v>
      </c>
      <c r="E196" s="463" t="s">
        <v>1827</v>
      </c>
      <c r="F196" s="542" t="s">
        <v>1693</v>
      </c>
      <c r="G196" s="95" t="s">
        <v>24</v>
      </c>
      <c r="H196" s="311" t="s">
        <v>129</v>
      </c>
      <c r="I196" s="335"/>
      <c r="J196" s="294">
        <f t="shared" si="884"/>
        <v>0</v>
      </c>
      <c r="K196" s="52">
        <f t="shared" si="885"/>
        <v>0</v>
      </c>
      <c r="L196" s="52">
        <f t="shared" si="1001"/>
        <v>3.2012610186092068E-5</v>
      </c>
      <c r="M196" s="52">
        <f t="shared" si="991"/>
        <v>3.334763305501114E-5</v>
      </c>
      <c r="N196" s="52">
        <f t="shared" si="992"/>
        <v>3.1139963972991329E-5</v>
      </c>
      <c r="O196" s="52">
        <f t="shared" si="975"/>
        <v>0</v>
      </c>
      <c r="P196" s="52">
        <f t="shared" si="976"/>
        <v>0</v>
      </c>
      <c r="Q196" s="52">
        <f t="shared" si="977"/>
        <v>0</v>
      </c>
      <c r="R196" s="52">
        <f t="shared" si="978"/>
        <v>0</v>
      </c>
      <c r="S196" s="527">
        <f t="shared" si="886"/>
        <v>0</v>
      </c>
      <c r="T196" s="533">
        <f t="shared" si="1002"/>
        <v>0</v>
      </c>
      <c r="U196" s="375">
        <f t="shared" si="905"/>
        <v>0</v>
      </c>
      <c r="V196" s="375">
        <f t="shared" si="1003"/>
        <v>-3.2012610186092068E-5</v>
      </c>
      <c r="W196" s="386">
        <f t="shared" si="1004"/>
        <v>0</v>
      </c>
      <c r="X196" s="386">
        <f t="shared" si="1005"/>
        <v>0</v>
      </c>
      <c r="Y196" s="386">
        <f>BF196/Y$8</f>
        <v>0</v>
      </c>
      <c r="Z196" s="375">
        <f t="shared" si="993"/>
        <v>-3.1139963972991329E-5</v>
      </c>
      <c r="AA196" s="375">
        <f t="shared" si="1006"/>
        <v>0</v>
      </c>
      <c r="AB196" s="386">
        <f t="shared" si="1007"/>
        <v>0</v>
      </c>
      <c r="AC196" s="386">
        <f t="shared" si="979"/>
        <v>0</v>
      </c>
      <c r="AD196" s="386">
        <f t="shared" si="980"/>
        <v>0</v>
      </c>
      <c r="AE196" s="386">
        <f t="shared" si="981"/>
        <v>0</v>
      </c>
      <c r="AF196" s="386">
        <f t="shared" si="982"/>
        <v>0</v>
      </c>
      <c r="AG196" s="375">
        <f t="shared" si="983"/>
        <v>0</v>
      </c>
      <c r="AH196" s="375">
        <f t="shared" si="984"/>
        <v>0</v>
      </c>
      <c r="AI196" s="386">
        <f t="shared" si="985"/>
        <v>0</v>
      </c>
      <c r="AJ196" s="386">
        <f t="shared" si="986"/>
        <v>0</v>
      </c>
      <c r="AK196" s="386">
        <f t="shared" si="987"/>
        <v>0</v>
      </c>
      <c r="AL196" s="377">
        <f t="shared" si="988"/>
        <v>0</v>
      </c>
      <c r="AM196" s="377">
        <f t="shared" si="989"/>
        <v>0</v>
      </c>
      <c r="AN196" s="377">
        <f t="shared" si="990"/>
        <v>0</v>
      </c>
      <c r="AO196" s="283"/>
      <c r="AP196" s="295">
        <f t="shared" si="1027"/>
        <v>1.0459160000000001</v>
      </c>
      <c r="AQ196" s="183">
        <f t="shared" si="952"/>
        <v>0</v>
      </c>
      <c r="AR196" s="94">
        <f t="shared" si="953"/>
        <v>0</v>
      </c>
      <c r="AS196" s="94">
        <f t="shared" si="962"/>
        <v>1.0459160000000001</v>
      </c>
      <c r="AT196" s="94">
        <f t="shared" si="970"/>
        <v>1.0459160000000001</v>
      </c>
      <c r="AU196" s="94">
        <f t="shared" si="955"/>
        <v>1.0459160000000001</v>
      </c>
      <c r="AV196" s="94">
        <f t="shared" si="966"/>
        <v>0</v>
      </c>
      <c r="AW196" s="94">
        <f t="shared" si="963"/>
        <v>0</v>
      </c>
      <c r="AX196" s="94">
        <f t="shared" si="950"/>
        <v>0</v>
      </c>
      <c r="AY196" s="94">
        <f t="shared" si="964"/>
        <v>0</v>
      </c>
      <c r="AZ196" s="433">
        <f t="shared" si="965"/>
        <v>0</v>
      </c>
      <c r="BA196" s="1008">
        <v>0</v>
      </c>
      <c r="BB196" s="409">
        <v>0</v>
      </c>
      <c r="BC196" s="1025">
        <f>-1.045916</f>
        <v>-1.0459160000000001</v>
      </c>
      <c r="BD196" s="1030">
        <v>0</v>
      </c>
      <c r="BE196" s="389">
        <v>0</v>
      </c>
      <c r="BF196" s="516">
        <v>0</v>
      </c>
      <c r="BG196" s="207">
        <v>-1.0459160000000001</v>
      </c>
      <c r="BH196" s="207">
        <v>0</v>
      </c>
      <c r="BI196" s="389">
        <v>0</v>
      </c>
      <c r="BJ196" s="516">
        <v>0</v>
      </c>
      <c r="BK196" s="516">
        <v>0</v>
      </c>
      <c r="BL196" s="516">
        <v>0</v>
      </c>
      <c r="BM196" s="516">
        <v>0</v>
      </c>
      <c r="BN196" s="409">
        <v>0</v>
      </c>
      <c r="BO196" s="207">
        <v>0</v>
      </c>
      <c r="BP196" s="389">
        <v>0</v>
      </c>
      <c r="BQ196" s="389">
        <v>0</v>
      </c>
      <c r="BR196" s="389">
        <v>0</v>
      </c>
      <c r="BS196" s="296">
        <v>0</v>
      </c>
      <c r="BT196" s="296">
        <v>0</v>
      </c>
      <c r="BU196" s="296">
        <v>0</v>
      </c>
      <c r="BV196" s="409">
        <v>0</v>
      </c>
      <c r="BW196" s="1011">
        <f t="shared" si="959"/>
        <v>0</v>
      </c>
      <c r="BX196" s="449" t="s">
        <v>1690</v>
      </c>
    </row>
    <row r="197" spans="1:78" s="1" customFormat="1" ht="96" hidden="1" customHeight="1" outlineLevel="1" x14ac:dyDescent="0.25">
      <c r="A197" s="678">
        <v>87</v>
      </c>
      <c r="B197" s="702" t="s">
        <v>69</v>
      </c>
      <c r="C197" s="697" t="s">
        <v>1736</v>
      </c>
      <c r="D197" s="63">
        <v>44502</v>
      </c>
      <c r="E197" s="463" t="s">
        <v>1828</v>
      </c>
      <c r="F197" s="542" t="s">
        <v>1691</v>
      </c>
      <c r="G197" s="95" t="s">
        <v>24</v>
      </c>
      <c r="H197" s="311" t="s">
        <v>130</v>
      </c>
      <c r="I197" s="335"/>
      <c r="J197" s="294">
        <f t="shared" ref="J197:J198" si="1028">AQ197/T$8</f>
        <v>0</v>
      </c>
      <c r="K197" s="52">
        <f t="shared" ref="K197:K198" si="1029">AR197/U$8</f>
        <v>0</v>
      </c>
      <c r="L197" s="52">
        <f t="shared" si="1001"/>
        <v>8.7927828109696376E-5</v>
      </c>
      <c r="M197" s="52">
        <f t="shared" si="991"/>
        <v>9.1594685034466223E-5</v>
      </c>
      <c r="N197" s="52">
        <f t="shared" si="992"/>
        <v>8.5530963693453463E-5</v>
      </c>
      <c r="O197" s="52">
        <f t="shared" si="975"/>
        <v>0</v>
      </c>
      <c r="P197" s="52">
        <f t="shared" si="976"/>
        <v>0</v>
      </c>
      <c r="Q197" s="52">
        <f t="shared" si="977"/>
        <v>0</v>
      </c>
      <c r="R197" s="52">
        <f t="shared" si="978"/>
        <v>0</v>
      </c>
      <c r="S197" s="527">
        <f t="shared" ref="S197:S198" si="1030">AZ197/AN$8</f>
        <v>0</v>
      </c>
      <c r="T197" s="533">
        <f t="shared" si="1002"/>
        <v>0</v>
      </c>
      <c r="U197" s="375">
        <f t="shared" ref="U197:U198" si="1031">BB197/U$8</f>
        <v>0</v>
      </c>
      <c r="V197" s="375">
        <f t="shared" si="1003"/>
        <v>-8.7927828109696376E-5</v>
      </c>
      <c r="W197" s="386">
        <f t="shared" si="1004"/>
        <v>0</v>
      </c>
      <c r="X197" s="386">
        <f t="shared" si="1005"/>
        <v>0</v>
      </c>
      <c r="Y197" s="386">
        <f>BF197/Y$8</f>
        <v>0</v>
      </c>
      <c r="Z197" s="375">
        <f t="shared" si="993"/>
        <v>-8.5530963693453463E-5</v>
      </c>
      <c r="AA197" s="375">
        <f t="shared" si="1006"/>
        <v>0</v>
      </c>
      <c r="AB197" s="386">
        <f t="shared" si="1007"/>
        <v>0</v>
      </c>
      <c r="AC197" s="386">
        <f t="shared" si="979"/>
        <v>0</v>
      </c>
      <c r="AD197" s="386">
        <f t="shared" si="980"/>
        <v>0</v>
      </c>
      <c r="AE197" s="386">
        <f t="shared" si="981"/>
        <v>0</v>
      </c>
      <c r="AF197" s="386">
        <f t="shared" si="982"/>
        <v>0</v>
      </c>
      <c r="AG197" s="375">
        <f t="shared" si="983"/>
        <v>0</v>
      </c>
      <c r="AH197" s="375">
        <f t="shared" si="984"/>
        <v>0</v>
      </c>
      <c r="AI197" s="386">
        <f t="shared" si="985"/>
        <v>0</v>
      </c>
      <c r="AJ197" s="386">
        <f t="shared" si="986"/>
        <v>0</v>
      </c>
      <c r="AK197" s="386">
        <f t="shared" si="987"/>
        <v>0</v>
      </c>
      <c r="AL197" s="377">
        <f t="shared" si="988"/>
        <v>0</v>
      </c>
      <c r="AM197" s="377">
        <f t="shared" si="989"/>
        <v>0</v>
      </c>
      <c r="AN197" s="377">
        <f t="shared" si="990"/>
        <v>0</v>
      </c>
      <c r="AO197" s="283"/>
      <c r="AP197" s="295">
        <f t="shared" si="1027"/>
        <v>2.8727779999999998</v>
      </c>
      <c r="AQ197" s="183">
        <f t="shared" si="952"/>
        <v>0</v>
      </c>
      <c r="AR197" s="94">
        <f t="shared" si="953"/>
        <v>0</v>
      </c>
      <c r="AS197" s="94">
        <f t="shared" si="962"/>
        <v>2.8727779999999998</v>
      </c>
      <c r="AT197" s="94">
        <f t="shared" si="970"/>
        <v>2.8727779999999998</v>
      </c>
      <c r="AU197" s="94">
        <f t="shared" si="955"/>
        <v>2.8727779999999998</v>
      </c>
      <c r="AV197" s="94">
        <f t="shared" si="966"/>
        <v>0</v>
      </c>
      <c r="AW197" s="94">
        <f t="shared" si="963"/>
        <v>0</v>
      </c>
      <c r="AX197" s="94">
        <f t="shared" si="950"/>
        <v>0</v>
      </c>
      <c r="AY197" s="94">
        <f t="shared" si="964"/>
        <v>0</v>
      </c>
      <c r="AZ197" s="433">
        <f t="shared" si="965"/>
        <v>0</v>
      </c>
      <c r="BA197" s="1008">
        <v>0</v>
      </c>
      <c r="BB197" s="409">
        <v>0</v>
      </c>
      <c r="BC197" s="1025">
        <f>-2.872778</f>
        <v>-2.8727779999999998</v>
      </c>
      <c r="BD197" s="1030">
        <v>0</v>
      </c>
      <c r="BE197" s="389">
        <v>0</v>
      </c>
      <c r="BF197" s="516">
        <v>0</v>
      </c>
      <c r="BG197" s="207">
        <v>-2.8727779999999998</v>
      </c>
      <c r="BH197" s="207">
        <v>0</v>
      </c>
      <c r="BI197" s="389">
        <v>0</v>
      </c>
      <c r="BJ197" s="516">
        <v>0</v>
      </c>
      <c r="BK197" s="516">
        <v>0</v>
      </c>
      <c r="BL197" s="516">
        <v>0</v>
      </c>
      <c r="BM197" s="516">
        <v>0</v>
      </c>
      <c r="BN197" s="409">
        <v>0</v>
      </c>
      <c r="BO197" s="207">
        <v>0</v>
      </c>
      <c r="BP197" s="389">
        <v>0</v>
      </c>
      <c r="BQ197" s="389">
        <v>0</v>
      </c>
      <c r="BR197" s="389">
        <v>0</v>
      </c>
      <c r="BS197" s="296">
        <v>0</v>
      </c>
      <c r="BT197" s="296">
        <v>0</v>
      </c>
      <c r="BU197" s="296">
        <v>0</v>
      </c>
      <c r="BV197" s="409">
        <v>0</v>
      </c>
      <c r="BW197" s="1011">
        <f t="shared" si="959"/>
        <v>0</v>
      </c>
      <c r="BX197" s="449" t="s">
        <v>1692</v>
      </c>
    </row>
    <row r="198" spans="1:78" s="1" customFormat="1" ht="96" hidden="1" customHeight="1" outlineLevel="1" x14ac:dyDescent="0.25">
      <c r="A198" s="678">
        <v>88</v>
      </c>
      <c r="B198" s="702" t="s">
        <v>69</v>
      </c>
      <c r="C198" s="697" t="s">
        <v>1738</v>
      </c>
      <c r="D198" s="63">
        <v>44502</v>
      </c>
      <c r="E198" s="463" t="s">
        <v>1829</v>
      </c>
      <c r="F198" s="542" t="s">
        <v>1694</v>
      </c>
      <c r="G198" s="95" t="s">
        <v>24</v>
      </c>
      <c r="H198" s="311" t="s">
        <v>129</v>
      </c>
      <c r="I198" s="335"/>
      <c r="J198" s="294">
        <f t="shared" si="1028"/>
        <v>0</v>
      </c>
      <c r="K198" s="52">
        <f t="shared" si="1029"/>
        <v>0</v>
      </c>
      <c r="L198" s="52">
        <f t="shared" si="1001"/>
        <v>2.0751714005876592E-6</v>
      </c>
      <c r="M198" s="52">
        <f t="shared" si="991"/>
        <v>2.1617123374436904E-6</v>
      </c>
      <c r="N198" s="52">
        <f t="shared" si="992"/>
        <v>3.5661992786083215E-7</v>
      </c>
      <c r="O198" s="52">
        <f t="shared" si="975"/>
        <v>0</v>
      </c>
      <c r="P198" s="52">
        <f t="shared" si="976"/>
        <v>0</v>
      </c>
      <c r="Q198" s="52">
        <f t="shared" si="977"/>
        <v>0</v>
      </c>
      <c r="R198" s="52">
        <f t="shared" si="978"/>
        <v>0</v>
      </c>
      <c r="S198" s="527">
        <f t="shared" si="1030"/>
        <v>0</v>
      </c>
      <c r="T198" s="533">
        <f t="shared" si="1002"/>
        <v>0</v>
      </c>
      <c r="U198" s="375">
        <f t="shared" si="1031"/>
        <v>0</v>
      </c>
      <c r="V198" s="375">
        <f t="shared" si="1003"/>
        <v>-2.0751714005876592E-6</v>
      </c>
      <c r="W198" s="386">
        <f t="shared" si="1004"/>
        <v>0</v>
      </c>
      <c r="X198" s="386">
        <f t="shared" si="1005"/>
        <v>0</v>
      </c>
      <c r="Y198" s="386">
        <f>BF198/Y$8</f>
        <v>0</v>
      </c>
      <c r="Z198" s="375">
        <f t="shared" si="993"/>
        <v>-3.5661992786083215E-7</v>
      </c>
      <c r="AA198" s="375">
        <f t="shared" si="1006"/>
        <v>0</v>
      </c>
      <c r="AB198" s="386">
        <f t="shared" si="1007"/>
        <v>0</v>
      </c>
      <c r="AC198" s="386">
        <f t="shared" si="979"/>
        <v>0</v>
      </c>
      <c r="AD198" s="386">
        <f t="shared" si="980"/>
        <v>0</v>
      </c>
      <c r="AE198" s="386">
        <f t="shared" si="981"/>
        <v>0</v>
      </c>
      <c r="AF198" s="386">
        <f t="shared" si="982"/>
        <v>0</v>
      </c>
      <c r="AG198" s="375">
        <f t="shared" si="983"/>
        <v>0</v>
      </c>
      <c r="AH198" s="375">
        <f t="shared" si="984"/>
        <v>0</v>
      </c>
      <c r="AI198" s="386">
        <f t="shared" si="985"/>
        <v>0</v>
      </c>
      <c r="AJ198" s="386">
        <f t="shared" si="986"/>
        <v>0</v>
      </c>
      <c r="AK198" s="386">
        <f t="shared" si="987"/>
        <v>0</v>
      </c>
      <c r="AL198" s="377">
        <f t="shared" si="988"/>
        <v>0</v>
      </c>
      <c r="AM198" s="377">
        <f t="shared" si="989"/>
        <v>0</v>
      </c>
      <c r="AN198" s="377">
        <f t="shared" si="990"/>
        <v>0</v>
      </c>
      <c r="AO198" s="283"/>
      <c r="AP198" s="295">
        <f t="shared" si="1027"/>
        <v>1.1978000000000001E-2</v>
      </c>
      <c r="AQ198" s="183">
        <f t="shared" si="952"/>
        <v>0</v>
      </c>
      <c r="AR198" s="94">
        <f t="shared" si="953"/>
        <v>0</v>
      </c>
      <c r="AS198" s="94">
        <f t="shared" si="962"/>
        <v>6.7799999999999999E-2</v>
      </c>
      <c r="AT198" s="94">
        <f t="shared" si="970"/>
        <v>6.7799999999999999E-2</v>
      </c>
      <c r="AU198" s="94">
        <f t="shared" si="955"/>
        <v>1.1978000000000001E-2</v>
      </c>
      <c r="AV198" s="94">
        <f t="shared" si="966"/>
        <v>0</v>
      </c>
      <c r="AW198" s="94">
        <f t="shared" si="963"/>
        <v>0</v>
      </c>
      <c r="AX198" s="94">
        <f t="shared" si="950"/>
        <v>0</v>
      </c>
      <c r="AY198" s="94">
        <f t="shared" si="964"/>
        <v>0</v>
      </c>
      <c r="AZ198" s="433">
        <f t="shared" si="965"/>
        <v>0</v>
      </c>
      <c r="BA198" s="1008">
        <v>0</v>
      </c>
      <c r="BB198" s="409">
        <v>0</v>
      </c>
      <c r="BC198" s="1025">
        <f>-0.0678</f>
        <v>-6.7799999999999999E-2</v>
      </c>
      <c r="BD198" s="1030">
        <v>0</v>
      </c>
      <c r="BE198" s="389">
        <v>0</v>
      </c>
      <c r="BF198" s="516">
        <v>0</v>
      </c>
      <c r="BG198" s="207">
        <f>-0.011978</f>
        <v>-1.1978000000000001E-2</v>
      </c>
      <c r="BH198" s="207">
        <v>0</v>
      </c>
      <c r="BI198" s="389">
        <v>0</v>
      </c>
      <c r="BJ198" s="516">
        <v>0</v>
      </c>
      <c r="BK198" s="516">
        <v>0</v>
      </c>
      <c r="BL198" s="516">
        <v>0</v>
      </c>
      <c r="BM198" s="516">
        <v>0</v>
      </c>
      <c r="BN198" s="409">
        <v>0</v>
      </c>
      <c r="BO198" s="207">
        <v>0</v>
      </c>
      <c r="BP198" s="389">
        <v>0</v>
      </c>
      <c r="BQ198" s="389">
        <v>0</v>
      </c>
      <c r="BR198" s="389">
        <v>0</v>
      </c>
      <c r="BS198" s="296">
        <v>0</v>
      </c>
      <c r="BT198" s="296">
        <v>0</v>
      </c>
      <c r="BU198" s="296">
        <v>0</v>
      </c>
      <c r="BV198" s="409">
        <v>0</v>
      </c>
      <c r="BW198" s="1011">
        <f t="shared" si="959"/>
        <v>0</v>
      </c>
      <c r="BX198" s="449" t="s">
        <v>1695</v>
      </c>
    </row>
    <row r="199" spans="1:78" s="1" customFormat="1" ht="125.1" hidden="1" customHeight="1" outlineLevel="1" x14ac:dyDescent="0.25">
      <c r="A199" s="678">
        <v>89</v>
      </c>
      <c r="B199" s="702" t="s">
        <v>69</v>
      </c>
      <c r="C199" s="697" t="s">
        <v>1734</v>
      </c>
      <c r="D199" s="63">
        <v>44504</v>
      </c>
      <c r="E199" s="463" t="s">
        <v>1832</v>
      </c>
      <c r="F199" s="542" t="s">
        <v>1831</v>
      </c>
      <c r="G199" s="95" t="s">
        <v>24</v>
      </c>
      <c r="H199" s="311" t="s">
        <v>171</v>
      </c>
      <c r="I199" s="335"/>
      <c r="J199" s="294">
        <f t="shared" ref="J199:J218" si="1032">AQ199/T$8</f>
        <v>0</v>
      </c>
      <c r="K199" s="52">
        <f t="shared" ref="K199" si="1033">AR199/U$8</f>
        <v>0</v>
      </c>
      <c r="L199" s="52">
        <f t="shared" ref="L199" si="1034">AS199/V$8</f>
        <v>2.9230619490695401E-4</v>
      </c>
      <c r="M199" s="52">
        <f t="shared" si="991"/>
        <v>3.0449624915929472E-4</v>
      </c>
      <c r="N199" s="52">
        <f t="shared" si="992"/>
        <v>2.8433808819623474E-4</v>
      </c>
      <c r="O199" s="52">
        <f t="shared" si="975"/>
        <v>0</v>
      </c>
      <c r="P199" s="52">
        <f t="shared" si="976"/>
        <v>0</v>
      </c>
      <c r="Q199" s="52">
        <f t="shared" si="977"/>
        <v>0</v>
      </c>
      <c r="R199" s="52">
        <f t="shared" si="978"/>
        <v>0</v>
      </c>
      <c r="S199" s="527">
        <f t="shared" ref="S199" si="1035">AZ199/AN$8</f>
        <v>0</v>
      </c>
      <c r="T199" s="533">
        <f t="shared" ref="T199" si="1036">BA199/T$8</f>
        <v>0</v>
      </c>
      <c r="U199" s="375">
        <f t="shared" ref="U199" si="1037">BB199/U$8</f>
        <v>0</v>
      </c>
      <c r="V199" s="375">
        <f t="shared" ref="V199" si="1038">BC199/V$8</f>
        <v>-2.9230619490695401E-4</v>
      </c>
      <c r="W199" s="386">
        <f t="shared" ref="W199" si="1039">BD199/W$8</f>
        <v>0</v>
      </c>
      <c r="X199" s="386">
        <f t="shared" ref="X199" si="1040">BE199/X$8</f>
        <v>0</v>
      </c>
      <c r="Y199" s="386">
        <f t="shared" ref="Y199" si="1041">BF199/Y$8</f>
        <v>0</v>
      </c>
      <c r="Z199" s="375">
        <f t="shared" si="993"/>
        <v>-5.7164703654288391E-5</v>
      </c>
      <c r="AA199" s="375">
        <f t="shared" ref="AA199" si="1042">BH199/AA$8</f>
        <v>-1.5010453169836527E-4</v>
      </c>
      <c r="AB199" s="386">
        <f t="shared" ref="AB199" si="1043">BI199/AB$8</f>
        <v>0</v>
      </c>
      <c r="AC199" s="386">
        <f t="shared" si="979"/>
        <v>0</v>
      </c>
      <c r="AD199" s="386">
        <f t="shared" si="980"/>
        <v>-2.315043020550149E-4</v>
      </c>
      <c r="AE199" s="386">
        <f t="shared" si="981"/>
        <v>-1.5431385358411176E-4</v>
      </c>
      <c r="AF199" s="386">
        <f t="shared" si="982"/>
        <v>-1.5010453169836527E-4</v>
      </c>
      <c r="AG199" s="375">
        <f t="shared" si="983"/>
        <v>-1.84117145397452E-4</v>
      </c>
      <c r="AH199" s="375">
        <f t="shared" si="984"/>
        <v>-1.7693454875457945E-6</v>
      </c>
      <c r="AI199" s="386">
        <f t="shared" si="985"/>
        <v>-2.7514306271148214E-5</v>
      </c>
      <c r="AJ199" s="386">
        <f t="shared" si="986"/>
        <v>-2.6684787081300303E-5</v>
      </c>
      <c r="AK199" s="386">
        <f t="shared" si="987"/>
        <v>-1.7834789261356161E-6</v>
      </c>
      <c r="AL199" s="377">
        <f t="shared" si="988"/>
        <v>0</v>
      </c>
      <c r="AM199" s="377">
        <f t="shared" si="989"/>
        <v>0</v>
      </c>
      <c r="AN199" s="377">
        <f t="shared" si="990"/>
        <v>0</v>
      </c>
      <c r="AO199" s="283"/>
      <c r="AP199" s="295">
        <f t="shared" si="1027"/>
        <v>9.5502280000000006</v>
      </c>
      <c r="AQ199" s="183">
        <f t="shared" ref="AQ199:AS202" si="1044">-BA199</f>
        <v>0</v>
      </c>
      <c r="AR199" s="94">
        <f t="shared" si="1044"/>
        <v>0</v>
      </c>
      <c r="AS199" s="94">
        <f t="shared" si="1044"/>
        <v>9.5502280000000006</v>
      </c>
      <c r="AT199" s="94">
        <f t="shared" si="970"/>
        <v>9.5502280000000006</v>
      </c>
      <c r="AU199" s="94">
        <v>9.5502280000000006</v>
      </c>
      <c r="AV199" s="94">
        <v>0</v>
      </c>
      <c r="AW199" s="94">
        <v>0</v>
      </c>
      <c r="AX199" s="94">
        <v>0</v>
      </c>
      <c r="AY199" s="94">
        <v>0</v>
      </c>
      <c r="AZ199" s="433">
        <v>0</v>
      </c>
      <c r="BA199" s="1008">
        <v>0</v>
      </c>
      <c r="BB199" s="409">
        <v>0</v>
      </c>
      <c r="BC199" s="1025">
        <f>-9.550228</f>
        <v>-9.5502280000000006</v>
      </c>
      <c r="BD199" s="1030">
        <v>0</v>
      </c>
      <c r="BE199" s="389">
        <v>0</v>
      </c>
      <c r="BF199" s="516">
        <v>0</v>
      </c>
      <c r="BG199" s="207">
        <f>-1.920024</f>
        <v>-1.920024</v>
      </c>
      <c r="BH199" s="207">
        <v>-5.9199469999999996</v>
      </c>
      <c r="BI199" s="389">
        <v>0</v>
      </c>
      <c r="BJ199" s="516">
        <v>0</v>
      </c>
      <c r="BK199" s="516">
        <v>-7.8761859999999997</v>
      </c>
      <c r="BL199" s="516">
        <v>-5.9199469999999996</v>
      </c>
      <c r="BM199" s="516">
        <v>-5.9199469999999996</v>
      </c>
      <c r="BN199" s="1054">
        <v>-7.1954330000000004</v>
      </c>
      <c r="BO199" s="207">
        <v>-7.7826000000000006E-2</v>
      </c>
      <c r="BP199" s="389">
        <v>-1.137213</v>
      </c>
      <c r="BQ199" s="389">
        <v>-1.137213</v>
      </c>
      <c r="BR199" s="389">
        <v>-7.7826000000000006E-2</v>
      </c>
      <c r="BS199" s="296">
        <v>0</v>
      </c>
      <c r="BT199" s="296">
        <v>0</v>
      </c>
      <c r="BU199" s="296">
        <v>0</v>
      </c>
      <c r="BV199" s="1054">
        <v>0</v>
      </c>
      <c r="BW199" s="1011">
        <v>0</v>
      </c>
      <c r="BX199" s="449" t="s">
        <v>1830</v>
      </c>
    </row>
    <row r="200" spans="1:78" s="1" customFormat="1" ht="120" hidden="1" customHeight="1" outlineLevel="1" x14ac:dyDescent="0.25">
      <c r="A200" s="678">
        <v>90</v>
      </c>
      <c r="B200" s="702" t="s">
        <v>69</v>
      </c>
      <c r="C200" s="697" t="s">
        <v>1737</v>
      </c>
      <c r="D200" s="642">
        <v>44516</v>
      </c>
      <c r="E200" s="463" t="s">
        <v>1823</v>
      </c>
      <c r="F200" s="542" t="s">
        <v>1788</v>
      </c>
      <c r="G200" s="95" t="s">
        <v>24</v>
      </c>
      <c r="H200" s="311" t="s">
        <v>1798</v>
      </c>
      <c r="I200" s="335"/>
      <c r="J200" s="294">
        <f t="shared" si="1032"/>
        <v>0</v>
      </c>
      <c r="K200" s="52">
        <f t="shared" ref="K200:K218" si="1045">AR200/U$8</f>
        <v>0</v>
      </c>
      <c r="L200" s="52">
        <f t="shared" ref="L200:L218" si="1046">AS200/V$8</f>
        <v>5.8102589373163556E-4</v>
      </c>
      <c r="M200" s="52">
        <f t="shared" si="991"/>
        <v>6.0525643447969591E-4</v>
      </c>
      <c r="N200" s="52">
        <f t="shared" si="992"/>
        <v>5.651874462282619E-4</v>
      </c>
      <c r="O200" s="52">
        <f t="shared" si="975"/>
        <v>0</v>
      </c>
      <c r="P200" s="52">
        <f t="shared" si="976"/>
        <v>0</v>
      </c>
      <c r="Q200" s="52">
        <f t="shared" si="977"/>
        <v>0</v>
      </c>
      <c r="R200" s="52">
        <f t="shared" si="978"/>
        <v>0</v>
      </c>
      <c r="S200" s="527">
        <f t="shared" ref="S200:S212" si="1047">AZ200/AN$8</f>
        <v>0</v>
      </c>
      <c r="T200" s="533">
        <f t="shared" ref="T200:T210" si="1048">BA200/T$8</f>
        <v>0</v>
      </c>
      <c r="U200" s="375">
        <f t="shared" ref="U200:U209" si="1049">BB200/U$8</f>
        <v>0</v>
      </c>
      <c r="V200" s="375">
        <f t="shared" ref="V200:V216" si="1050">BC200/V$8</f>
        <v>-5.8102589373163556E-4</v>
      </c>
      <c r="W200" s="386">
        <f t="shared" ref="W200:W214" si="1051">BD200/W$8</f>
        <v>0</v>
      </c>
      <c r="X200" s="386">
        <f t="shared" ref="X200:X213" si="1052">BE200/X$8</f>
        <v>0</v>
      </c>
      <c r="Y200" s="386">
        <f>BF200/Y$8</f>
        <v>0</v>
      </c>
      <c r="Z200" s="375">
        <f t="shared" si="993"/>
        <v>-5.651874462282619E-4</v>
      </c>
      <c r="AA200" s="375">
        <f t="shared" ref="AA200:AA215" si="1053">BH200/AA$8</f>
        <v>0</v>
      </c>
      <c r="AB200" s="386">
        <f t="shared" ref="AB200:AB218" si="1054">BI200/AB$8</f>
        <v>0</v>
      </c>
      <c r="AC200" s="386">
        <f t="shared" si="979"/>
        <v>0</v>
      </c>
      <c r="AD200" s="386">
        <f t="shared" si="980"/>
        <v>0</v>
      </c>
      <c r="AE200" s="386">
        <f t="shared" si="981"/>
        <v>0</v>
      </c>
      <c r="AF200" s="386">
        <f t="shared" si="982"/>
        <v>0</v>
      </c>
      <c r="AG200" s="375">
        <f t="shared" si="983"/>
        <v>0</v>
      </c>
      <c r="AH200" s="375">
        <f t="shared" si="984"/>
        <v>0</v>
      </c>
      <c r="AI200" s="386">
        <f t="shared" si="985"/>
        <v>0</v>
      </c>
      <c r="AJ200" s="386">
        <f t="shared" si="986"/>
        <v>0</v>
      </c>
      <c r="AK200" s="386">
        <f t="shared" si="987"/>
        <v>0</v>
      </c>
      <c r="AL200" s="377">
        <f t="shared" si="988"/>
        <v>0</v>
      </c>
      <c r="AM200" s="377">
        <f t="shared" si="989"/>
        <v>0</v>
      </c>
      <c r="AN200" s="377">
        <f t="shared" si="990"/>
        <v>0</v>
      </c>
      <c r="AO200" s="283"/>
      <c r="AP200" s="295">
        <f t="shared" si="1027"/>
        <v>18.983277999999999</v>
      </c>
      <c r="AQ200" s="183">
        <f t="shared" ref="AQ200:AQ201" si="1055">-BA200</f>
        <v>0</v>
      </c>
      <c r="AR200" s="94">
        <f t="shared" ref="AR200:AR202" si="1056">-BB200</f>
        <v>0</v>
      </c>
      <c r="AS200" s="94">
        <f t="shared" ref="AS200:AS201" si="1057">-BC200</f>
        <v>18.983277999999999</v>
      </c>
      <c r="AT200" s="94">
        <f t="shared" si="970"/>
        <v>18.983277999999999</v>
      </c>
      <c r="AU200" s="94">
        <f t="shared" ref="AU200:AU220" si="1058">-BG200</f>
        <v>18.983277999999999</v>
      </c>
      <c r="AV200" s="94">
        <f t="shared" ref="AV200:AV206" si="1059">-BH200</f>
        <v>0</v>
      </c>
      <c r="AW200" s="94">
        <f t="shared" ref="AW200:AW202" si="1060">-BH200</f>
        <v>0</v>
      </c>
      <c r="AX200" s="94">
        <f t="shared" ref="AX200:AX206" si="1061">-BN200</f>
        <v>0</v>
      </c>
      <c r="AY200" s="94">
        <f t="shared" ref="AY200:AY202" si="1062">-BO200</f>
        <v>0</v>
      </c>
      <c r="AZ200" s="433">
        <f>-BU200</f>
        <v>0</v>
      </c>
      <c r="BA200" s="1008">
        <v>0</v>
      </c>
      <c r="BB200" s="409">
        <v>0</v>
      </c>
      <c r="BC200" s="1025">
        <f>-18.983278</f>
        <v>-18.983277999999999</v>
      </c>
      <c r="BD200" s="1030">
        <v>0</v>
      </c>
      <c r="BE200" s="389">
        <v>0</v>
      </c>
      <c r="BF200" s="516">
        <v>0</v>
      </c>
      <c r="BG200" s="207">
        <f>-0.243775-18.739503</f>
        <v>-18.983277999999999</v>
      </c>
      <c r="BH200" s="207">
        <v>0</v>
      </c>
      <c r="BI200" s="389">
        <v>0</v>
      </c>
      <c r="BJ200" s="516">
        <v>0</v>
      </c>
      <c r="BK200" s="516">
        <v>0</v>
      </c>
      <c r="BL200" s="516">
        <v>0</v>
      </c>
      <c r="BM200" s="516">
        <v>0</v>
      </c>
      <c r="BN200" s="409">
        <v>0</v>
      </c>
      <c r="BO200" s="207">
        <v>0</v>
      </c>
      <c r="BP200" s="389">
        <v>0</v>
      </c>
      <c r="BQ200" s="389">
        <v>0</v>
      </c>
      <c r="BR200" s="389">
        <v>0</v>
      </c>
      <c r="BS200" s="296">
        <v>0</v>
      </c>
      <c r="BT200" s="296">
        <v>0</v>
      </c>
      <c r="BU200" s="296">
        <v>0</v>
      </c>
      <c r="BV200" s="409">
        <v>0</v>
      </c>
      <c r="BW200" s="1011">
        <f>-BV200</f>
        <v>0</v>
      </c>
      <c r="BX200" s="449" t="s">
        <v>1789</v>
      </c>
      <c r="BZ200" s="650"/>
    </row>
    <row r="201" spans="1:78" s="1" customFormat="1" ht="143.1" hidden="1" customHeight="1" outlineLevel="1" x14ac:dyDescent="0.25">
      <c r="A201" s="678">
        <v>91</v>
      </c>
      <c r="B201" s="702" t="s">
        <v>69</v>
      </c>
      <c r="C201" s="697" t="s">
        <v>1737</v>
      </c>
      <c r="D201" s="642">
        <v>44517</v>
      </c>
      <c r="E201" s="463" t="s">
        <v>1836</v>
      </c>
      <c r="F201" s="542" t="s">
        <v>1799</v>
      </c>
      <c r="G201" s="95" t="s">
        <v>24</v>
      </c>
      <c r="H201" s="311" t="s">
        <v>1798</v>
      </c>
      <c r="I201" s="335"/>
      <c r="J201" s="294">
        <f t="shared" si="1032"/>
        <v>0</v>
      </c>
      <c r="K201" s="52">
        <f t="shared" si="1045"/>
        <v>0</v>
      </c>
      <c r="L201" s="52">
        <f t="shared" si="1046"/>
        <v>2.6730778648383939E-5</v>
      </c>
      <c r="M201" s="52">
        <f t="shared" si="991"/>
        <v>2.7845533133949445E-5</v>
      </c>
      <c r="N201" s="52">
        <f t="shared" si="992"/>
        <v>2.0276960122669161E-5</v>
      </c>
      <c r="O201" s="52">
        <f t="shared" si="975"/>
        <v>0</v>
      </c>
      <c r="P201" s="52">
        <f t="shared" si="976"/>
        <v>0</v>
      </c>
      <c r="Q201" s="52">
        <f t="shared" si="977"/>
        <v>0</v>
      </c>
      <c r="R201" s="52">
        <f t="shared" si="978"/>
        <v>0</v>
      </c>
      <c r="S201" s="527">
        <f t="shared" si="1047"/>
        <v>0</v>
      </c>
      <c r="T201" s="533">
        <f t="shared" si="1048"/>
        <v>0</v>
      </c>
      <c r="U201" s="375">
        <f t="shared" si="1049"/>
        <v>0</v>
      </c>
      <c r="V201" s="375">
        <f t="shared" si="1050"/>
        <v>-2.6730778648383939E-5</v>
      </c>
      <c r="W201" s="386">
        <f t="shared" si="1051"/>
        <v>0</v>
      </c>
      <c r="X201" s="386">
        <f t="shared" si="1052"/>
        <v>0</v>
      </c>
      <c r="Y201" s="386">
        <f>BF201/Y$8</f>
        <v>0</v>
      </c>
      <c r="Z201" s="375">
        <f t="shared" si="993"/>
        <v>-2.0276960122669161E-5</v>
      </c>
      <c r="AA201" s="375">
        <f t="shared" si="1053"/>
        <v>0</v>
      </c>
      <c r="AB201" s="386">
        <f t="shared" si="1054"/>
        <v>0</v>
      </c>
      <c r="AC201" s="386">
        <f t="shared" si="979"/>
        <v>0</v>
      </c>
      <c r="AD201" s="386">
        <f t="shared" si="980"/>
        <v>0</v>
      </c>
      <c r="AE201" s="386">
        <f t="shared" si="981"/>
        <v>0</v>
      </c>
      <c r="AF201" s="386">
        <f t="shared" si="982"/>
        <v>0</v>
      </c>
      <c r="AG201" s="375">
        <f t="shared" si="983"/>
        <v>0</v>
      </c>
      <c r="AH201" s="375">
        <f t="shared" si="984"/>
        <v>0</v>
      </c>
      <c r="AI201" s="386">
        <f t="shared" si="985"/>
        <v>0</v>
      </c>
      <c r="AJ201" s="386">
        <f t="shared" si="986"/>
        <v>0</v>
      </c>
      <c r="AK201" s="386">
        <f t="shared" si="987"/>
        <v>0</v>
      </c>
      <c r="AL201" s="377">
        <f t="shared" si="988"/>
        <v>0</v>
      </c>
      <c r="AM201" s="377">
        <f t="shared" si="989"/>
        <v>0</v>
      </c>
      <c r="AN201" s="377">
        <f t="shared" si="990"/>
        <v>0</v>
      </c>
      <c r="AO201" s="283"/>
      <c r="AP201" s="295">
        <f t="shared" si="1027"/>
        <v>0.68105400000000005</v>
      </c>
      <c r="AQ201" s="183">
        <f t="shared" si="1055"/>
        <v>0</v>
      </c>
      <c r="AR201" s="94">
        <f t="shared" si="1056"/>
        <v>0</v>
      </c>
      <c r="AS201" s="94">
        <f t="shared" si="1057"/>
        <v>0.87334800000000001</v>
      </c>
      <c r="AT201" s="94">
        <f t="shared" si="970"/>
        <v>0.87334800000000001</v>
      </c>
      <c r="AU201" s="94">
        <f t="shared" si="1058"/>
        <v>0.68105400000000005</v>
      </c>
      <c r="AV201" s="94">
        <f t="shared" si="1059"/>
        <v>0</v>
      </c>
      <c r="AW201" s="94">
        <f t="shared" si="1060"/>
        <v>0</v>
      </c>
      <c r="AX201" s="94">
        <f t="shared" si="1061"/>
        <v>0</v>
      </c>
      <c r="AY201" s="94">
        <f t="shared" ref="AY201" si="1063">-BO201</f>
        <v>0</v>
      </c>
      <c r="AZ201" s="433">
        <f t="shared" ref="AZ201" si="1064">-BU201</f>
        <v>0</v>
      </c>
      <c r="BA201" s="1008">
        <v>0</v>
      </c>
      <c r="BB201" s="409">
        <v>0</v>
      </c>
      <c r="BC201" s="1035">
        <f>-0.873348</f>
        <v>-0.87334800000000001</v>
      </c>
      <c r="BD201" s="1030">
        <v>0</v>
      </c>
      <c r="BE201" s="389">
        <v>0</v>
      </c>
      <c r="BF201" s="516">
        <v>0</v>
      </c>
      <c r="BG201" s="207">
        <f>-0.681054</f>
        <v>-0.68105400000000005</v>
      </c>
      <c r="BH201" s="207">
        <v>0</v>
      </c>
      <c r="BI201" s="389">
        <v>0</v>
      </c>
      <c r="BJ201" s="516">
        <v>0</v>
      </c>
      <c r="BK201" s="516">
        <v>0</v>
      </c>
      <c r="BL201" s="516">
        <v>0</v>
      </c>
      <c r="BM201" s="516">
        <v>0</v>
      </c>
      <c r="BN201" s="409">
        <v>0</v>
      </c>
      <c r="BO201" s="207">
        <v>0</v>
      </c>
      <c r="BP201" s="389">
        <v>0</v>
      </c>
      <c r="BQ201" s="389">
        <v>0</v>
      </c>
      <c r="BR201" s="389">
        <v>0</v>
      </c>
      <c r="BS201" s="296">
        <v>0</v>
      </c>
      <c r="BT201" s="296">
        <v>0</v>
      </c>
      <c r="BU201" s="296">
        <v>0</v>
      </c>
      <c r="BV201" s="409">
        <v>0</v>
      </c>
      <c r="BW201" s="1011">
        <f>-BV201</f>
        <v>0</v>
      </c>
      <c r="BX201" s="449" t="s">
        <v>1833</v>
      </c>
    </row>
    <row r="202" spans="1:78" s="1" customFormat="1" ht="89.45" hidden="1" customHeight="1" outlineLevel="1" x14ac:dyDescent="0.25">
      <c r="A202" s="678">
        <v>92</v>
      </c>
      <c r="B202" s="702" t="s">
        <v>69</v>
      </c>
      <c r="C202" s="697" t="s">
        <v>1734</v>
      </c>
      <c r="D202" s="642">
        <v>44531</v>
      </c>
      <c r="E202" s="463" t="s">
        <v>1838</v>
      </c>
      <c r="F202" s="542" t="s">
        <v>1840</v>
      </c>
      <c r="G202" s="95" t="s">
        <v>24</v>
      </c>
      <c r="H202" s="311" t="s">
        <v>171</v>
      </c>
      <c r="I202" s="335"/>
      <c r="J202" s="294">
        <f t="shared" si="1032"/>
        <v>0</v>
      </c>
      <c r="K202" s="52">
        <f t="shared" si="1045"/>
        <v>0</v>
      </c>
      <c r="L202" s="52">
        <f>AS202/V$8</f>
        <v>6.7142201273261508E-6</v>
      </c>
      <c r="M202" s="52">
        <f t="shared" si="991"/>
        <v>6.9942234561653403E-6</v>
      </c>
      <c r="N202" s="52">
        <f t="shared" si="992"/>
        <v>6.5669216587477177E-6</v>
      </c>
      <c r="O202" s="52">
        <f t="shared" si="975"/>
        <v>0</v>
      </c>
      <c r="P202" s="52">
        <f t="shared" si="976"/>
        <v>0</v>
      </c>
      <c r="Q202" s="52">
        <f t="shared" si="977"/>
        <v>0</v>
      </c>
      <c r="R202" s="52">
        <f t="shared" si="978"/>
        <v>0</v>
      </c>
      <c r="S202" s="527">
        <f t="shared" si="1047"/>
        <v>0</v>
      </c>
      <c r="T202" s="533">
        <f t="shared" si="1048"/>
        <v>0</v>
      </c>
      <c r="U202" s="375">
        <f t="shared" si="1049"/>
        <v>0</v>
      </c>
      <c r="V202" s="375">
        <f t="shared" si="1050"/>
        <v>-6.7142201273261508E-6</v>
      </c>
      <c r="W202" s="386">
        <f t="shared" si="1051"/>
        <v>0</v>
      </c>
      <c r="X202" s="386">
        <f t="shared" si="1052"/>
        <v>0</v>
      </c>
      <c r="Y202" s="386">
        <f>BF202/Y$8</f>
        <v>0</v>
      </c>
      <c r="Z202" s="375">
        <f t="shared" si="993"/>
        <v>-6.5669216587477177E-6</v>
      </c>
      <c r="AA202" s="375">
        <f t="shared" si="1053"/>
        <v>0</v>
      </c>
      <c r="AB202" s="386">
        <f t="shared" si="1054"/>
        <v>0</v>
      </c>
      <c r="AC202" s="386">
        <f t="shared" si="979"/>
        <v>0</v>
      </c>
      <c r="AD202" s="386">
        <f t="shared" si="980"/>
        <v>0</v>
      </c>
      <c r="AE202" s="386">
        <f t="shared" si="981"/>
        <v>0</v>
      </c>
      <c r="AF202" s="386">
        <f t="shared" si="982"/>
        <v>0</v>
      </c>
      <c r="AG202" s="375">
        <f t="shared" si="983"/>
        <v>0</v>
      </c>
      <c r="AH202" s="375">
        <f t="shared" si="984"/>
        <v>0</v>
      </c>
      <c r="AI202" s="386">
        <f t="shared" si="985"/>
        <v>0</v>
      </c>
      <c r="AJ202" s="386">
        <f t="shared" si="986"/>
        <v>0</v>
      </c>
      <c r="AK202" s="386">
        <f t="shared" si="987"/>
        <v>0</v>
      </c>
      <c r="AL202" s="377">
        <f t="shared" si="988"/>
        <v>0</v>
      </c>
      <c r="AM202" s="377">
        <f t="shared" si="989"/>
        <v>0</v>
      </c>
      <c r="AN202" s="377">
        <f t="shared" si="990"/>
        <v>0</v>
      </c>
      <c r="AO202" s="283"/>
      <c r="AP202" s="295">
        <f t="shared" si="1027"/>
        <v>0.22056699999999999</v>
      </c>
      <c r="AQ202" s="183">
        <v>0</v>
      </c>
      <c r="AR202" s="94">
        <f t="shared" si="1056"/>
        <v>0</v>
      </c>
      <c r="AS202" s="94">
        <f t="shared" si="1044"/>
        <v>0.21936700000000001</v>
      </c>
      <c r="AT202" s="94">
        <f t="shared" si="970"/>
        <v>0.21936700000000001</v>
      </c>
      <c r="AU202" s="94">
        <f t="shared" si="1058"/>
        <v>0.22056699999999999</v>
      </c>
      <c r="AV202" s="94">
        <f t="shared" si="1059"/>
        <v>0</v>
      </c>
      <c r="AW202" s="94">
        <f t="shared" si="1060"/>
        <v>0</v>
      </c>
      <c r="AX202" s="94">
        <f t="shared" si="1061"/>
        <v>0</v>
      </c>
      <c r="AY202" s="94">
        <f t="shared" si="1062"/>
        <v>0</v>
      </c>
      <c r="AZ202" s="433">
        <f>-BU202</f>
        <v>0</v>
      </c>
      <c r="BA202" s="1008">
        <v>0</v>
      </c>
      <c r="BB202" s="409">
        <v>0</v>
      </c>
      <c r="BC202" s="1025">
        <f>-0.219367</f>
        <v>-0.21936700000000001</v>
      </c>
      <c r="BD202" s="1030">
        <v>0</v>
      </c>
      <c r="BE202" s="389">
        <v>0</v>
      </c>
      <c r="BF202" s="516">
        <v>0</v>
      </c>
      <c r="BG202" s="207">
        <f>-0.026502-0.194065</f>
        <v>-0.22056699999999999</v>
      </c>
      <c r="BH202" s="207">
        <v>0</v>
      </c>
      <c r="BI202" s="389">
        <v>0</v>
      </c>
      <c r="BJ202" s="516">
        <v>0</v>
      </c>
      <c r="BK202" s="516">
        <v>0</v>
      </c>
      <c r="BL202" s="516">
        <v>0</v>
      </c>
      <c r="BM202" s="516">
        <v>0</v>
      </c>
      <c r="BN202" s="409">
        <v>0</v>
      </c>
      <c r="BO202" s="207">
        <v>0</v>
      </c>
      <c r="BP202" s="389">
        <v>0</v>
      </c>
      <c r="BQ202" s="389">
        <v>0</v>
      </c>
      <c r="BR202" s="389">
        <v>0</v>
      </c>
      <c r="BS202" s="296">
        <v>0</v>
      </c>
      <c r="BT202" s="296">
        <v>0</v>
      </c>
      <c r="BU202" s="296">
        <v>0</v>
      </c>
      <c r="BV202" s="409">
        <v>0</v>
      </c>
      <c r="BW202" s="1011">
        <f>-BV202</f>
        <v>0</v>
      </c>
      <c r="BX202" s="449" t="s">
        <v>1837</v>
      </c>
    </row>
    <row r="203" spans="1:78" s="1" customFormat="1" ht="101.1" hidden="1" customHeight="1" outlineLevel="1" x14ac:dyDescent="0.25">
      <c r="A203" s="678">
        <v>93</v>
      </c>
      <c r="B203" s="702" t="s">
        <v>69</v>
      </c>
      <c r="C203" s="697" t="s">
        <v>1737</v>
      </c>
      <c r="D203" s="275">
        <v>44531</v>
      </c>
      <c r="E203" s="463" t="s">
        <v>1844</v>
      </c>
      <c r="F203" s="542" t="s">
        <v>1809</v>
      </c>
      <c r="G203" s="95" t="s">
        <v>24</v>
      </c>
      <c r="H203" s="311" t="s">
        <v>1798</v>
      </c>
      <c r="I203" s="335"/>
      <c r="J203" s="294">
        <f t="shared" si="1032"/>
        <v>0</v>
      </c>
      <c r="K203" s="52">
        <f t="shared" si="1045"/>
        <v>0</v>
      </c>
      <c r="L203" s="52">
        <f t="shared" si="1046"/>
        <v>1.432888099902057E-4</v>
      </c>
      <c r="M203" s="52">
        <f t="shared" si="991"/>
        <v>1.4926438764804479E-4</v>
      </c>
      <c r="N203" s="52">
        <f t="shared" si="992"/>
        <v>1.3938283554167452E-4</v>
      </c>
      <c r="O203" s="52">
        <f t="shared" si="975"/>
        <v>0</v>
      </c>
      <c r="P203" s="52">
        <f t="shared" si="976"/>
        <v>0</v>
      </c>
      <c r="Q203" s="52">
        <f t="shared" si="977"/>
        <v>0</v>
      </c>
      <c r="R203" s="52">
        <f t="shared" si="978"/>
        <v>0</v>
      </c>
      <c r="S203" s="527">
        <f t="shared" si="1047"/>
        <v>0</v>
      </c>
      <c r="T203" s="533">
        <f t="shared" si="1048"/>
        <v>0</v>
      </c>
      <c r="U203" s="375">
        <f t="shared" si="1049"/>
        <v>0</v>
      </c>
      <c r="V203" s="375">
        <f t="shared" si="1050"/>
        <v>-1.432888099902057E-4</v>
      </c>
      <c r="W203" s="386">
        <f t="shared" si="1051"/>
        <v>0</v>
      </c>
      <c r="X203" s="386">
        <f t="shared" si="1052"/>
        <v>0</v>
      </c>
      <c r="Y203" s="386">
        <f>BF203/Y$8</f>
        <v>0</v>
      </c>
      <c r="Z203" s="375">
        <f t="shared" si="993"/>
        <v>-1.3938283554167452E-4</v>
      </c>
      <c r="AA203" s="375">
        <f t="shared" si="1053"/>
        <v>0</v>
      </c>
      <c r="AB203" s="386">
        <f t="shared" si="1054"/>
        <v>0</v>
      </c>
      <c r="AC203" s="386">
        <f t="shared" si="979"/>
        <v>0</v>
      </c>
      <c r="AD203" s="386">
        <f t="shared" si="980"/>
        <v>0</v>
      </c>
      <c r="AE203" s="386">
        <f t="shared" si="981"/>
        <v>0</v>
      </c>
      <c r="AF203" s="386">
        <f t="shared" si="982"/>
        <v>0</v>
      </c>
      <c r="AG203" s="375">
        <f t="shared" si="983"/>
        <v>0</v>
      </c>
      <c r="AH203" s="375">
        <f t="shared" si="984"/>
        <v>0</v>
      </c>
      <c r="AI203" s="386">
        <f t="shared" si="985"/>
        <v>0</v>
      </c>
      <c r="AJ203" s="386">
        <f t="shared" si="986"/>
        <v>0</v>
      </c>
      <c r="AK203" s="386">
        <f t="shared" si="987"/>
        <v>0</v>
      </c>
      <c r="AL203" s="377">
        <f t="shared" si="988"/>
        <v>0</v>
      </c>
      <c r="AM203" s="377">
        <f t="shared" si="989"/>
        <v>0</v>
      </c>
      <c r="AN203" s="377">
        <f t="shared" si="990"/>
        <v>0</v>
      </c>
      <c r="AO203" s="283"/>
      <c r="AP203" s="295">
        <f t="shared" si="1027"/>
        <v>4.6815320000000007</v>
      </c>
      <c r="AQ203" s="183">
        <f t="shared" ref="AQ203:AQ244" si="1065">-BA203</f>
        <v>0</v>
      </c>
      <c r="AR203" s="94">
        <f t="shared" ref="AR203:AR235" si="1066">-BB203</f>
        <v>0</v>
      </c>
      <c r="AS203" s="94">
        <f>-BC203</f>
        <v>4.6815320000000007</v>
      </c>
      <c r="AT203" s="94">
        <f t="shared" si="970"/>
        <v>4.6815320000000007</v>
      </c>
      <c r="AU203" s="94">
        <f t="shared" si="1058"/>
        <v>4.6815320000000007</v>
      </c>
      <c r="AV203" s="94">
        <f t="shared" si="1059"/>
        <v>0</v>
      </c>
      <c r="AW203" s="94">
        <f t="shared" ref="AW203:AW210" si="1067">-BH203</f>
        <v>0</v>
      </c>
      <c r="AX203" s="94">
        <f t="shared" si="1061"/>
        <v>0</v>
      </c>
      <c r="AY203" s="94">
        <f t="shared" ref="AY203:AY211" si="1068">-BO203</f>
        <v>0</v>
      </c>
      <c r="AZ203" s="433">
        <f t="shared" ref="AZ203:AZ244" si="1069">-BU203</f>
        <v>0</v>
      </c>
      <c r="BA203" s="1008">
        <v>0</v>
      </c>
      <c r="BB203" s="409">
        <v>0</v>
      </c>
      <c r="BC203" s="1035">
        <f>-4.284321-0.397211</f>
        <v>-4.6815320000000007</v>
      </c>
      <c r="BD203" s="1030">
        <v>0</v>
      </c>
      <c r="BE203" s="389">
        <v>0</v>
      </c>
      <c r="BF203" s="516">
        <v>0</v>
      </c>
      <c r="BG203" s="207">
        <v>-4.6815320000000007</v>
      </c>
      <c r="BH203" s="207">
        <v>0</v>
      </c>
      <c r="BI203" s="389">
        <v>0</v>
      </c>
      <c r="BJ203" s="516">
        <v>0</v>
      </c>
      <c r="BK203" s="516">
        <v>0</v>
      </c>
      <c r="BL203" s="516">
        <v>0</v>
      </c>
      <c r="BM203" s="516">
        <v>0</v>
      </c>
      <c r="BN203" s="409">
        <v>0</v>
      </c>
      <c r="BO203" s="207">
        <v>0</v>
      </c>
      <c r="BP203" s="389">
        <v>0</v>
      </c>
      <c r="BQ203" s="389">
        <v>0</v>
      </c>
      <c r="BR203" s="389">
        <v>0</v>
      </c>
      <c r="BS203" s="296">
        <v>0</v>
      </c>
      <c r="BT203" s="296">
        <v>0</v>
      </c>
      <c r="BU203" s="296">
        <v>0</v>
      </c>
      <c r="BV203" s="409">
        <v>0</v>
      </c>
      <c r="BW203" s="1011">
        <f t="shared" ref="BW203:BW210" si="1070">-BV203</f>
        <v>0</v>
      </c>
      <c r="BX203" s="449" t="s">
        <v>1808</v>
      </c>
    </row>
    <row r="204" spans="1:78" s="1" customFormat="1" ht="101.1" hidden="1" customHeight="1" outlineLevel="1" x14ac:dyDescent="0.25">
      <c r="A204" s="678">
        <v>94</v>
      </c>
      <c r="B204" s="702" t="s">
        <v>69</v>
      </c>
      <c r="C204" s="697" t="s">
        <v>1736</v>
      </c>
      <c r="D204" s="275">
        <v>44531</v>
      </c>
      <c r="E204" s="474" t="s">
        <v>1822</v>
      </c>
      <c r="F204" s="643" t="s">
        <v>1677</v>
      </c>
      <c r="G204" s="95" t="s">
        <v>24</v>
      </c>
      <c r="H204" s="311" t="s">
        <v>130</v>
      </c>
      <c r="I204" s="335"/>
      <c r="J204" s="294">
        <f t="shared" ref="J204" si="1071">AQ204/T$8</f>
        <v>0</v>
      </c>
      <c r="K204" s="52">
        <f t="shared" ref="K204" si="1072">AR204/U$8</f>
        <v>0</v>
      </c>
      <c r="L204" s="52">
        <f t="shared" ref="L204" si="1073">AS204/V$8</f>
        <v>1.3704456415279138E-5</v>
      </c>
      <c r="M204" s="52">
        <f t="shared" si="991"/>
        <v>1.4275973783408367E-5</v>
      </c>
      <c r="N204" s="52">
        <f t="shared" si="992"/>
        <v>1.3330880442439749E-5</v>
      </c>
      <c r="O204" s="52">
        <f t="shared" si="975"/>
        <v>0</v>
      </c>
      <c r="P204" s="52">
        <f t="shared" si="976"/>
        <v>0</v>
      </c>
      <c r="Q204" s="52">
        <f t="shared" si="977"/>
        <v>0</v>
      </c>
      <c r="R204" s="52">
        <f t="shared" si="978"/>
        <v>0</v>
      </c>
      <c r="S204" s="527">
        <f t="shared" ref="S204" si="1074">AZ204/AN$8</f>
        <v>0</v>
      </c>
      <c r="T204" s="533">
        <f t="shared" ref="T204" si="1075">BA204/T$8</f>
        <v>0</v>
      </c>
      <c r="U204" s="375">
        <f t="shared" ref="U204" si="1076">BB204/U$8</f>
        <v>0</v>
      </c>
      <c r="V204" s="375">
        <f t="shared" ref="V204" si="1077">BC204/V$8</f>
        <v>-1.3704456415279138E-5</v>
      </c>
      <c r="W204" s="386">
        <f>BD204/W$8</f>
        <v>0</v>
      </c>
      <c r="X204" s="386">
        <f t="shared" ref="X204" si="1078">BE204/X$8</f>
        <v>0</v>
      </c>
      <c r="Y204" s="386">
        <f t="shared" ref="Y204" si="1079">BF204/Y$8</f>
        <v>0</v>
      </c>
      <c r="Z204" s="375">
        <f t="shared" si="993"/>
        <v>-1.3330880442439749E-5</v>
      </c>
      <c r="AA204" s="375">
        <f t="shared" ref="AA204" si="1080">BH204/AA$8</f>
        <v>0</v>
      </c>
      <c r="AB204" s="386">
        <f t="shared" ref="AB204" si="1081">BI204/AB$8</f>
        <v>0</v>
      </c>
      <c r="AC204" s="386">
        <f t="shared" si="979"/>
        <v>0</v>
      </c>
      <c r="AD204" s="386">
        <f t="shared" si="980"/>
        <v>0</v>
      </c>
      <c r="AE204" s="386">
        <f t="shared" si="981"/>
        <v>0</v>
      </c>
      <c r="AF204" s="386">
        <f t="shared" si="982"/>
        <v>0</v>
      </c>
      <c r="AG204" s="375">
        <f t="shared" si="983"/>
        <v>0</v>
      </c>
      <c r="AH204" s="375">
        <f t="shared" si="984"/>
        <v>0</v>
      </c>
      <c r="AI204" s="386">
        <f t="shared" si="985"/>
        <v>0</v>
      </c>
      <c r="AJ204" s="386">
        <f t="shared" si="986"/>
        <v>0</v>
      </c>
      <c r="AK204" s="386">
        <f t="shared" si="987"/>
        <v>0</v>
      </c>
      <c r="AL204" s="377">
        <f t="shared" si="988"/>
        <v>0</v>
      </c>
      <c r="AM204" s="377">
        <f t="shared" si="989"/>
        <v>0</v>
      </c>
      <c r="AN204" s="377">
        <f t="shared" si="990"/>
        <v>0</v>
      </c>
      <c r="AO204" s="283"/>
      <c r="AP204" s="295">
        <f t="shared" si="1027"/>
        <v>0.44775199999999998</v>
      </c>
      <c r="AQ204" s="183">
        <f t="shared" ref="AQ204" si="1082">-BA204</f>
        <v>0</v>
      </c>
      <c r="AR204" s="94">
        <f t="shared" ref="AR204" si="1083">-BB204</f>
        <v>0</v>
      </c>
      <c r="AS204" s="94">
        <f t="shared" ref="AS204" si="1084">-BC204</f>
        <v>0.44775199999999998</v>
      </c>
      <c r="AT204" s="94">
        <f t="shared" si="970"/>
        <v>0.44775199999999998</v>
      </c>
      <c r="AU204" s="94">
        <f t="shared" si="1058"/>
        <v>0.44775199999999998</v>
      </c>
      <c r="AV204" s="94">
        <f t="shared" si="1059"/>
        <v>0</v>
      </c>
      <c r="AW204" s="94">
        <f t="shared" ref="AW204" si="1085">-BH204</f>
        <v>0</v>
      </c>
      <c r="AX204" s="94">
        <f t="shared" si="1061"/>
        <v>0</v>
      </c>
      <c r="AY204" s="94">
        <f>-BO204</f>
        <v>0</v>
      </c>
      <c r="AZ204" s="433">
        <f t="shared" ref="AZ204" si="1086">-BU204</f>
        <v>0</v>
      </c>
      <c r="BA204" s="1008">
        <v>0</v>
      </c>
      <c r="BB204" s="409">
        <v>0</v>
      </c>
      <c r="BC204" s="1035">
        <f>-0.447752</f>
        <v>-0.44775199999999998</v>
      </c>
      <c r="BD204" s="1030">
        <v>0</v>
      </c>
      <c r="BE204" s="389">
        <v>0</v>
      </c>
      <c r="BF204" s="516">
        <v>0</v>
      </c>
      <c r="BG204" s="207">
        <v>-0.44775199999999998</v>
      </c>
      <c r="BH204" s="207">
        <v>0</v>
      </c>
      <c r="BI204" s="389">
        <v>0</v>
      </c>
      <c r="BJ204" s="516">
        <v>0</v>
      </c>
      <c r="BK204" s="516">
        <v>0</v>
      </c>
      <c r="BL204" s="516">
        <v>0</v>
      </c>
      <c r="BM204" s="516">
        <v>0</v>
      </c>
      <c r="BN204" s="409">
        <v>0</v>
      </c>
      <c r="BO204" s="207">
        <v>0</v>
      </c>
      <c r="BP204" s="389">
        <v>0</v>
      </c>
      <c r="BQ204" s="389">
        <v>0</v>
      </c>
      <c r="BR204" s="389">
        <v>0</v>
      </c>
      <c r="BS204" s="296">
        <v>0</v>
      </c>
      <c r="BT204" s="296">
        <v>0</v>
      </c>
      <c r="BU204" s="296">
        <v>0</v>
      </c>
      <c r="BV204" s="409">
        <v>0</v>
      </c>
      <c r="BW204" s="1011">
        <f t="shared" ref="BW204" si="1087">-BV204</f>
        <v>0</v>
      </c>
      <c r="BX204" s="449" t="s">
        <v>1895</v>
      </c>
    </row>
    <row r="205" spans="1:78" s="1" customFormat="1" ht="102.6" hidden="1" customHeight="1" outlineLevel="1" x14ac:dyDescent="0.25">
      <c r="A205" s="678">
        <v>95</v>
      </c>
      <c r="B205" s="702" t="s">
        <v>69</v>
      </c>
      <c r="C205" s="697" t="s">
        <v>1736</v>
      </c>
      <c r="D205" s="275">
        <v>44488</v>
      </c>
      <c r="E205" s="474" t="s">
        <v>1896</v>
      </c>
      <c r="F205" s="643" t="s">
        <v>1677</v>
      </c>
      <c r="G205" s="95" t="s">
        <v>24</v>
      </c>
      <c r="H205" s="311" t="s">
        <v>130</v>
      </c>
      <c r="I205" s="335"/>
      <c r="J205" s="294">
        <f t="shared" si="1032"/>
        <v>0</v>
      </c>
      <c r="K205" s="52">
        <f t="shared" si="1045"/>
        <v>0</v>
      </c>
      <c r="L205" s="52">
        <f t="shared" si="1046"/>
        <v>0</v>
      </c>
      <c r="M205" s="52">
        <f t="shared" si="991"/>
        <v>0</v>
      </c>
      <c r="N205" s="52">
        <f t="shared" si="992"/>
        <v>0</v>
      </c>
      <c r="O205" s="52">
        <f t="shared" si="975"/>
        <v>7.9463423664217667E-4</v>
      </c>
      <c r="P205" s="52">
        <f t="shared" si="976"/>
        <v>8.1691784957255023E-4</v>
      </c>
      <c r="Q205" s="52">
        <f t="shared" si="977"/>
        <v>0</v>
      </c>
      <c r="R205" s="52">
        <f t="shared" si="978"/>
        <v>0</v>
      </c>
      <c r="S205" s="527">
        <f t="shared" si="1047"/>
        <v>0</v>
      </c>
      <c r="T205" s="533">
        <f t="shared" si="1048"/>
        <v>0</v>
      </c>
      <c r="U205" s="375">
        <f t="shared" si="1049"/>
        <v>0</v>
      </c>
      <c r="V205" s="375">
        <f t="shared" si="1050"/>
        <v>0</v>
      </c>
      <c r="W205" s="386">
        <f t="shared" si="1051"/>
        <v>0</v>
      </c>
      <c r="X205" s="386">
        <f t="shared" si="1052"/>
        <v>0</v>
      </c>
      <c r="Y205" s="386">
        <f t="shared" ref="Y205:Y218" si="1088">BF205/Y$8</f>
        <v>0</v>
      </c>
      <c r="Z205" s="375">
        <f t="shared" si="993"/>
        <v>0</v>
      </c>
      <c r="AA205" s="375">
        <f t="shared" si="1053"/>
        <v>-7.9463423664217667E-4</v>
      </c>
      <c r="AB205" s="386">
        <f t="shared" si="1054"/>
        <v>0</v>
      </c>
      <c r="AC205" s="386">
        <f t="shared" si="979"/>
        <v>0</v>
      </c>
      <c r="AD205" s="386">
        <f t="shared" si="980"/>
        <v>0</v>
      </c>
      <c r="AE205" s="386">
        <f t="shared" si="981"/>
        <v>0</v>
      </c>
      <c r="AF205" s="386">
        <f t="shared" si="982"/>
        <v>0</v>
      </c>
      <c r="AG205" s="375">
        <f t="shared" si="983"/>
        <v>0</v>
      </c>
      <c r="AH205" s="375">
        <f t="shared" si="984"/>
        <v>0</v>
      </c>
      <c r="AI205" s="386">
        <f t="shared" si="985"/>
        <v>0</v>
      </c>
      <c r="AJ205" s="386">
        <f t="shared" si="986"/>
        <v>0</v>
      </c>
      <c r="AK205" s="386">
        <f t="shared" si="987"/>
        <v>0</v>
      </c>
      <c r="AL205" s="377">
        <f t="shared" si="988"/>
        <v>0</v>
      </c>
      <c r="AM205" s="377">
        <f t="shared" si="989"/>
        <v>0</v>
      </c>
      <c r="AN205" s="377">
        <f t="shared" si="990"/>
        <v>0</v>
      </c>
      <c r="AO205" s="283"/>
      <c r="AP205" s="295">
        <f t="shared" si="1027"/>
        <v>31.339444</v>
      </c>
      <c r="AQ205" s="183">
        <f t="shared" si="1065"/>
        <v>0</v>
      </c>
      <c r="AR205" s="94">
        <f t="shared" si="1066"/>
        <v>0</v>
      </c>
      <c r="AS205" s="94">
        <f t="shared" ref="AS205:AS208" si="1089">-BC205</f>
        <v>0</v>
      </c>
      <c r="AT205" s="94">
        <f t="shared" si="970"/>
        <v>0</v>
      </c>
      <c r="AU205" s="94">
        <f t="shared" si="1058"/>
        <v>0</v>
      </c>
      <c r="AV205" s="94">
        <f t="shared" si="1059"/>
        <v>31.339444</v>
      </c>
      <c r="AW205" s="94">
        <f t="shared" si="1067"/>
        <v>31.339444</v>
      </c>
      <c r="AX205" s="94">
        <f t="shared" si="1061"/>
        <v>0</v>
      </c>
      <c r="AY205" s="94">
        <f t="shared" si="1068"/>
        <v>0</v>
      </c>
      <c r="AZ205" s="433">
        <f t="shared" si="1069"/>
        <v>0</v>
      </c>
      <c r="BA205" s="1008">
        <v>0</v>
      </c>
      <c r="BB205" s="409">
        <v>0</v>
      </c>
      <c r="BC205" s="1035">
        <f>0</f>
        <v>0</v>
      </c>
      <c r="BD205" s="1030">
        <v>0</v>
      </c>
      <c r="BE205" s="389">
        <v>0</v>
      </c>
      <c r="BF205" s="516">
        <v>0</v>
      </c>
      <c r="BG205" s="207">
        <v>0</v>
      </c>
      <c r="BH205" s="207">
        <f>-31.339444</f>
        <v>-31.339444</v>
      </c>
      <c r="BI205" s="389">
        <v>0</v>
      </c>
      <c r="BJ205" s="516">
        <v>0</v>
      </c>
      <c r="BK205" s="516">
        <v>0</v>
      </c>
      <c r="BL205" s="516">
        <v>0</v>
      </c>
      <c r="BM205" s="516">
        <v>0</v>
      </c>
      <c r="BN205" s="409">
        <v>0</v>
      </c>
      <c r="BO205" s="207">
        <v>0</v>
      </c>
      <c r="BP205" s="389">
        <v>0</v>
      </c>
      <c r="BQ205" s="389">
        <v>0</v>
      </c>
      <c r="BR205" s="389">
        <v>0</v>
      </c>
      <c r="BS205" s="296">
        <v>0</v>
      </c>
      <c r="BT205" s="296">
        <v>0</v>
      </c>
      <c r="BU205" s="296">
        <v>0</v>
      </c>
      <c r="BV205" s="409">
        <v>0</v>
      </c>
      <c r="BW205" s="1011">
        <f t="shared" si="1070"/>
        <v>0</v>
      </c>
      <c r="BX205" s="449" t="s">
        <v>1897</v>
      </c>
    </row>
    <row r="206" spans="1:78" s="1" customFormat="1" ht="123.6" hidden="1" customHeight="1" outlineLevel="1" x14ac:dyDescent="0.25">
      <c r="A206" s="678">
        <v>96</v>
      </c>
      <c r="B206" s="702" t="s">
        <v>69</v>
      </c>
      <c r="C206" s="697" t="s">
        <v>1734</v>
      </c>
      <c r="D206" s="275">
        <v>44530</v>
      </c>
      <c r="E206" s="474" t="s">
        <v>1839</v>
      </c>
      <c r="F206" s="643" t="s">
        <v>1841</v>
      </c>
      <c r="G206" s="95" t="s">
        <v>24</v>
      </c>
      <c r="H206" s="311" t="s">
        <v>171</v>
      </c>
      <c r="I206" s="335"/>
      <c r="J206" s="294">
        <f t="shared" si="1032"/>
        <v>0</v>
      </c>
      <c r="K206" s="52">
        <f t="shared" si="1045"/>
        <v>0</v>
      </c>
      <c r="L206" s="52">
        <f t="shared" si="1046"/>
        <v>5.0088761018609201E-6</v>
      </c>
      <c r="M206" s="52">
        <f t="shared" si="991"/>
        <v>5.2177614162634205E-6</v>
      </c>
      <c r="N206" s="52">
        <f t="shared" si="992"/>
        <v>4.8723368838224393E-6</v>
      </c>
      <c r="O206" s="52">
        <f t="shared" si="975"/>
        <v>0</v>
      </c>
      <c r="P206" s="52">
        <f t="shared" si="976"/>
        <v>0</v>
      </c>
      <c r="Q206" s="52">
        <f t="shared" si="977"/>
        <v>0</v>
      </c>
      <c r="R206" s="52">
        <f t="shared" si="978"/>
        <v>0</v>
      </c>
      <c r="S206" s="527">
        <f t="shared" si="1047"/>
        <v>0</v>
      </c>
      <c r="T206" s="533">
        <f t="shared" si="1048"/>
        <v>0</v>
      </c>
      <c r="U206" s="375">
        <f t="shared" si="1049"/>
        <v>0</v>
      </c>
      <c r="V206" s="375">
        <f t="shared" si="1050"/>
        <v>-5.0088761018609201E-6</v>
      </c>
      <c r="W206" s="386">
        <f t="shared" si="1051"/>
        <v>0</v>
      </c>
      <c r="X206" s="386">
        <f t="shared" si="1052"/>
        <v>0</v>
      </c>
      <c r="Y206" s="386">
        <f t="shared" si="1088"/>
        <v>0</v>
      </c>
      <c r="Z206" s="375">
        <f t="shared" si="993"/>
        <v>-4.8723368838224393E-6</v>
      </c>
      <c r="AA206" s="375">
        <f t="shared" si="1053"/>
        <v>0</v>
      </c>
      <c r="AB206" s="386">
        <f t="shared" si="1054"/>
        <v>0</v>
      </c>
      <c r="AC206" s="386">
        <f t="shared" si="979"/>
        <v>0</v>
      </c>
      <c r="AD206" s="386">
        <f t="shared" si="980"/>
        <v>0</v>
      </c>
      <c r="AE206" s="386">
        <f t="shared" si="981"/>
        <v>0</v>
      </c>
      <c r="AF206" s="386">
        <f t="shared" si="982"/>
        <v>0</v>
      </c>
      <c r="AG206" s="375">
        <f t="shared" si="983"/>
        <v>0</v>
      </c>
      <c r="AH206" s="375">
        <f t="shared" si="984"/>
        <v>0</v>
      </c>
      <c r="AI206" s="386">
        <f t="shared" si="985"/>
        <v>0</v>
      </c>
      <c r="AJ206" s="386">
        <f t="shared" si="986"/>
        <v>0</v>
      </c>
      <c r="AK206" s="386">
        <f t="shared" si="987"/>
        <v>0</v>
      </c>
      <c r="AL206" s="377">
        <f t="shared" si="988"/>
        <v>0</v>
      </c>
      <c r="AM206" s="377">
        <f t="shared" si="989"/>
        <v>0</v>
      </c>
      <c r="AN206" s="377">
        <f t="shared" si="990"/>
        <v>0</v>
      </c>
      <c r="AO206" s="283"/>
      <c r="AP206" s="295">
        <f t="shared" si="1027"/>
        <v>0.16364999999999999</v>
      </c>
      <c r="AQ206" s="183">
        <f t="shared" si="1065"/>
        <v>0</v>
      </c>
      <c r="AR206" s="94">
        <f t="shared" si="1066"/>
        <v>0</v>
      </c>
      <c r="AS206" s="94">
        <f t="shared" si="1089"/>
        <v>0.16364999999999999</v>
      </c>
      <c r="AT206" s="94">
        <f t="shared" si="970"/>
        <v>0.16364999999999999</v>
      </c>
      <c r="AU206" s="94">
        <f t="shared" si="1058"/>
        <v>0.16364999999999999</v>
      </c>
      <c r="AV206" s="94">
        <f t="shared" si="1059"/>
        <v>0</v>
      </c>
      <c r="AW206" s="94">
        <f t="shared" si="1067"/>
        <v>0</v>
      </c>
      <c r="AX206" s="94">
        <f t="shared" si="1061"/>
        <v>0</v>
      </c>
      <c r="AY206" s="94">
        <f t="shared" si="1068"/>
        <v>0</v>
      </c>
      <c r="AZ206" s="433">
        <f t="shared" si="1069"/>
        <v>0</v>
      </c>
      <c r="BA206" s="1008">
        <v>0</v>
      </c>
      <c r="BB206" s="409">
        <v>0</v>
      </c>
      <c r="BC206" s="1025">
        <f>-0.16365</f>
        <v>-0.16364999999999999</v>
      </c>
      <c r="BD206" s="1030">
        <v>0</v>
      </c>
      <c r="BE206" s="389">
        <v>0</v>
      </c>
      <c r="BF206" s="516">
        <v>0</v>
      </c>
      <c r="BG206" s="207">
        <v>-0.16364999999999999</v>
      </c>
      <c r="BH206" s="207">
        <v>0</v>
      </c>
      <c r="BI206" s="389">
        <v>0</v>
      </c>
      <c r="BJ206" s="516">
        <v>0</v>
      </c>
      <c r="BK206" s="516">
        <v>0</v>
      </c>
      <c r="BL206" s="516">
        <v>0</v>
      </c>
      <c r="BM206" s="516">
        <v>0</v>
      </c>
      <c r="BN206" s="409">
        <v>0</v>
      </c>
      <c r="BO206" s="207">
        <v>0</v>
      </c>
      <c r="BP206" s="389">
        <v>0</v>
      </c>
      <c r="BQ206" s="389">
        <v>0</v>
      </c>
      <c r="BR206" s="389">
        <v>0</v>
      </c>
      <c r="BS206" s="296">
        <v>0</v>
      </c>
      <c r="BT206" s="296">
        <v>0</v>
      </c>
      <c r="BU206" s="296">
        <v>0</v>
      </c>
      <c r="BV206" s="409">
        <v>0</v>
      </c>
      <c r="BW206" s="1011">
        <f t="shared" si="1070"/>
        <v>0</v>
      </c>
      <c r="BX206" s="449" t="s">
        <v>1842</v>
      </c>
    </row>
    <row r="207" spans="1:78" s="1" customFormat="1" ht="123.6" hidden="1" customHeight="1" outlineLevel="1" x14ac:dyDescent="0.25">
      <c r="A207" s="678">
        <v>96</v>
      </c>
      <c r="B207" s="702" t="s">
        <v>69</v>
      </c>
      <c r="C207" s="697" t="s">
        <v>1734</v>
      </c>
      <c r="D207" s="275">
        <v>44635</v>
      </c>
      <c r="E207" s="463" t="s">
        <v>2136</v>
      </c>
      <c r="F207" s="643" t="s">
        <v>2135</v>
      </c>
      <c r="G207" s="95" t="s">
        <v>24</v>
      </c>
      <c r="H207" s="311" t="s">
        <v>171</v>
      </c>
      <c r="I207" s="335"/>
      <c r="J207" s="294">
        <f t="shared" ref="J207" si="1090">AQ207/T$8</f>
        <v>0</v>
      </c>
      <c r="K207" s="52">
        <f t="shared" ref="K207" si="1091">AR207/U$8</f>
        <v>0</v>
      </c>
      <c r="L207" s="52">
        <f t="shared" ref="L207" si="1092">AS207/V$8</f>
        <v>0</v>
      </c>
      <c r="M207" s="52">
        <f t="shared" ref="M207" si="1093">AT207/Y$8</f>
        <v>0</v>
      </c>
      <c r="N207" s="52">
        <f t="shared" ref="N207" si="1094">AU207/Z$8</f>
        <v>0</v>
      </c>
      <c r="O207" s="52">
        <f t="shared" si="975"/>
        <v>1.609358116269163E-5</v>
      </c>
      <c r="P207" s="52">
        <f t="shared" si="976"/>
        <v>1.6544887080252366E-5</v>
      </c>
      <c r="Q207" s="52">
        <f t="shared" si="977"/>
        <v>0</v>
      </c>
      <c r="R207" s="52">
        <f t="shared" si="978"/>
        <v>0</v>
      </c>
      <c r="S207" s="527">
        <f t="shared" ref="S207" si="1095">AZ207/AN$8</f>
        <v>0</v>
      </c>
      <c r="T207" s="533">
        <f t="shared" ref="T207" si="1096">BA207/T$8</f>
        <v>0</v>
      </c>
      <c r="U207" s="375">
        <f t="shared" ref="U207" si="1097">BB207/U$8</f>
        <v>0</v>
      </c>
      <c r="V207" s="375">
        <f t="shared" ref="V207" si="1098">BC207/V$8</f>
        <v>0</v>
      </c>
      <c r="W207" s="386">
        <f t="shared" ref="W207" si="1099">BD207/W$8</f>
        <v>0</v>
      </c>
      <c r="X207" s="386">
        <f t="shared" ref="X207" si="1100">BE207/X$8</f>
        <v>0</v>
      </c>
      <c r="Y207" s="386">
        <f t="shared" ref="Y207" si="1101">BF207/Y$8</f>
        <v>0</v>
      </c>
      <c r="Z207" s="375">
        <f t="shared" ref="Z207" si="1102">BG207/Z$8</f>
        <v>-7.9261145913493794E-6</v>
      </c>
      <c r="AA207" s="375">
        <f t="shared" ref="AA207" si="1103">BH207/AA$8</f>
        <v>-9.0380218301533116E-6</v>
      </c>
      <c r="AB207" s="386">
        <f t="shared" ref="AB207" si="1104">BI207/AB$8</f>
        <v>0</v>
      </c>
      <c r="AC207" s="386">
        <f t="shared" si="979"/>
        <v>0</v>
      </c>
      <c r="AD207" s="386">
        <f t="shared" si="980"/>
        <v>0</v>
      </c>
      <c r="AE207" s="386">
        <f t="shared" si="981"/>
        <v>-9.2914714939513914E-6</v>
      </c>
      <c r="AF207" s="386">
        <f t="shared" si="982"/>
        <v>-9.0380218301533116E-6</v>
      </c>
      <c r="AG207" s="375">
        <f t="shared" si="983"/>
        <v>-7.0229235464954048E-6</v>
      </c>
      <c r="AH207" s="375">
        <f t="shared" si="984"/>
        <v>-1.9776629226238157E-6</v>
      </c>
      <c r="AI207" s="386">
        <f t="shared" si="985"/>
        <v>-1.2102067495290737E-7</v>
      </c>
      <c r="AJ207" s="386">
        <f t="shared" si="986"/>
        <v>-1.1737206498060901E-7</v>
      </c>
      <c r="AK207" s="386">
        <f t="shared" si="987"/>
        <v>-1.9934603899161087E-6</v>
      </c>
      <c r="AL207" s="377">
        <f t="shared" si="988"/>
        <v>0</v>
      </c>
      <c r="AM207" s="377">
        <f t="shared" si="989"/>
        <v>0</v>
      </c>
      <c r="AN207" s="377">
        <f t="shared" si="990"/>
        <v>0</v>
      </c>
      <c r="AO207" s="283"/>
      <c r="AP207" s="295">
        <f t="shared" ref="AP207" si="1105">AR207+AU207+AZ207+AW207+AY207</f>
        <v>0.63471200000000005</v>
      </c>
      <c r="AQ207" s="183">
        <f t="shared" ref="AQ207" si="1106">-BA207</f>
        <v>0</v>
      </c>
      <c r="AR207" s="94">
        <f t="shared" ref="AR207" si="1107">-BB207</f>
        <v>0</v>
      </c>
      <c r="AS207" s="94">
        <f t="shared" ref="AS207" si="1108">-BC207</f>
        <v>0</v>
      </c>
      <c r="AT207" s="94">
        <f t="shared" ref="AT207" si="1109">-BC207</f>
        <v>0</v>
      </c>
      <c r="AU207" s="94">
        <v>0</v>
      </c>
      <c r="AV207" s="94">
        <v>0.63471200000000005</v>
      </c>
      <c r="AW207" s="94">
        <v>0.63471200000000005</v>
      </c>
      <c r="AX207" s="94">
        <v>0</v>
      </c>
      <c r="AY207" s="94">
        <v>0</v>
      </c>
      <c r="AZ207" s="433">
        <f t="shared" ref="AZ207" si="1110">-BU207</f>
        <v>0</v>
      </c>
      <c r="BA207" s="1008">
        <v>0</v>
      </c>
      <c r="BB207" s="409">
        <v>0</v>
      </c>
      <c r="BC207" s="1025">
        <v>0</v>
      </c>
      <c r="BD207" s="1030">
        <v>0</v>
      </c>
      <c r="BE207" s="389">
        <v>0</v>
      </c>
      <c r="BF207" s="516">
        <v>0</v>
      </c>
      <c r="BG207" s="207">
        <v>-0.26621899999999998</v>
      </c>
      <c r="BH207" s="207">
        <v>-0.35644900000000002</v>
      </c>
      <c r="BI207" s="389">
        <v>0</v>
      </c>
      <c r="BJ207" s="516">
        <v>0</v>
      </c>
      <c r="BK207" s="516">
        <v>0</v>
      </c>
      <c r="BL207" s="516">
        <v>-0.35644900000000002</v>
      </c>
      <c r="BM207" s="516">
        <v>-0.35644900000000002</v>
      </c>
      <c r="BN207" s="1054">
        <v>-0.27446100000000001</v>
      </c>
      <c r="BO207" s="207">
        <v>-8.6988999999999997E-2</v>
      </c>
      <c r="BP207" s="389">
        <v>-5.0019900000000004E-3</v>
      </c>
      <c r="BQ207" s="389">
        <v>-5.0019900000000004E-3</v>
      </c>
      <c r="BR207" s="389">
        <v>-8.6988999999999997E-2</v>
      </c>
      <c r="BS207" s="296">
        <v>0</v>
      </c>
      <c r="BT207" s="296">
        <v>0</v>
      </c>
      <c r="BU207" s="296">
        <v>0</v>
      </c>
      <c r="BV207" s="1054">
        <v>0</v>
      </c>
      <c r="BW207" s="1011">
        <v>0</v>
      </c>
      <c r="BX207" s="449" t="s">
        <v>2137</v>
      </c>
    </row>
    <row r="208" spans="1:78" s="1" customFormat="1" ht="123.6" hidden="1" customHeight="1" outlineLevel="1" x14ac:dyDescent="0.25">
      <c r="A208" s="678">
        <v>97</v>
      </c>
      <c r="B208" s="702" t="s">
        <v>69</v>
      </c>
      <c r="C208" s="697" t="s">
        <v>1737</v>
      </c>
      <c r="D208" s="275">
        <v>44531</v>
      </c>
      <c r="E208" s="463" t="s">
        <v>1843</v>
      </c>
      <c r="F208" s="643" t="s">
        <v>1807</v>
      </c>
      <c r="G208" s="95" t="s">
        <v>24</v>
      </c>
      <c r="H208" s="311" t="s">
        <v>1798</v>
      </c>
      <c r="I208" s="335"/>
      <c r="J208" s="294">
        <f t="shared" si="1032"/>
        <v>0</v>
      </c>
      <c r="K208" s="52">
        <f t="shared" si="1045"/>
        <v>0</v>
      </c>
      <c r="L208" s="52">
        <f t="shared" si="1046"/>
        <v>1.1200238736532812E-4</v>
      </c>
      <c r="M208" s="52">
        <f t="shared" si="991"/>
        <v>1.1667322637648776E-4</v>
      </c>
      <c r="N208" s="52">
        <f t="shared" si="992"/>
        <v>1.0894926365487672E-4</v>
      </c>
      <c r="O208" s="52">
        <f t="shared" si="975"/>
        <v>0</v>
      </c>
      <c r="P208" s="52">
        <f t="shared" si="976"/>
        <v>0</v>
      </c>
      <c r="Q208" s="52">
        <f t="shared" si="977"/>
        <v>0</v>
      </c>
      <c r="R208" s="52">
        <f t="shared" si="978"/>
        <v>0</v>
      </c>
      <c r="S208" s="527">
        <f t="shared" si="1047"/>
        <v>0</v>
      </c>
      <c r="T208" s="533">
        <f t="shared" si="1048"/>
        <v>0</v>
      </c>
      <c r="U208" s="375">
        <f t="shared" si="1049"/>
        <v>0</v>
      </c>
      <c r="V208" s="375">
        <f t="shared" si="1050"/>
        <v>-1.1200238736532812E-4</v>
      </c>
      <c r="W208" s="386">
        <f t="shared" si="1051"/>
        <v>0</v>
      </c>
      <c r="X208" s="386">
        <f t="shared" si="1052"/>
        <v>0</v>
      </c>
      <c r="Y208" s="386">
        <f t="shared" si="1088"/>
        <v>0</v>
      </c>
      <c r="Z208" s="375">
        <f t="shared" si="993"/>
        <v>-1.0894926365487672E-4</v>
      </c>
      <c r="AA208" s="375">
        <f t="shared" si="1053"/>
        <v>0</v>
      </c>
      <c r="AB208" s="386">
        <f t="shared" si="1054"/>
        <v>0</v>
      </c>
      <c r="AC208" s="386">
        <f t="shared" si="979"/>
        <v>0</v>
      </c>
      <c r="AD208" s="386">
        <f t="shared" si="980"/>
        <v>0</v>
      </c>
      <c r="AE208" s="386">
        <f t="shared" si="981"/>
        <v>0</v>
      </c>
      <c r="AF208" s="386">
        <f t="shared" si="982"/>
        <v>0</v>
      </c>
      <c r="AG208" s="375">
        <f t="shared" si="983"/>
        <v>0</v>
      </c>
      <c r="AH208" s="375">
        <f t="shared" si="984"/>
        <v>0</v>
      </c>
      <c r="AI208" s="386">
        <f t="shared" si="985"/>
        <v>0</v>
      </c>
      <c r="AJ208" s="386">
        <f t="shared" si="986"/>
        <v>0</v>
      </c>
      <c r="AK208" s="386">
        <f t="shared" si="987"/>
        <v>0</v>
      </c>
      <c r="AL208" s="377">
        <f t="shared" si="988"/>
        <v>0</v>
      </c>
      <c r="AM208" s="377">
        <f t="shared" si="989"/>
        <v>0</v>
      </c>
      <c r="AN208" s="377">
        <f t="shared" si="990"/>
        <v>0</v>
      </c>
      <c r="AO208" s="283"/>
      <c r="AP208" s="295">
        <f t="shared" si="1027"/>
        <v>3.6593420000000001</v>
      </c>
      <c r="AQ208" s="183">
        <f t="shared" si="1065"/>
        <v>0</v>
      </c>
      <c r="AR208" s="94">
        <f t="shared" si="1066"/>
        <v>0</v>
      </c>
      <c r="AS208" s="94">
        <f t="shared" si="1089"/>
        <v>3.6593420000000001</v>
      </c>
      <c r="AT208" s="94">
        <f t="shared" si="970"/>
        <v>3.6593420000000001</v>
      </c>
      <c r="AU208" s="94">
        <f t="shared" si="1058"/>
        <v>3.6593420000000001</v>
      </c>
      <c r="AV208" s="94">
        <f t="shared" ref="AV208:AV244" si="1111">-BH208</f>
        <v>0</v>
      </c>
      <c r="AW208" s="94">
        <f t="shared" si="1067"/>
        <v>0</v>
      </c>
      <c r="AX208" s="94">
        <f t="shared" ref="AX208:AX239" si="1112">-BN208</f>
        <v>0</v>
      </c>
      <c r="AY208" s="94">
        <f t="shared" si="1068"/>
        <v>0</v>
      </c>
      <c r="AZ208" s="433">
        <f t="shared" si="1069"/>
        <v>0</v>
      </c>
      <c r="BA208" s="1008">
        <v>0</v>
      </c>
      <c r="BB208" s="409">
        <v>0</v>
      </c>
      <c r="BC208" s="1035">
        <f>-3.659342</f>
        <v>-3.6593420000000001</v>
      </c>
      <c r="BD208" s="1030">
        <v>0</v>
      </c>
      <c r="BE208" s="389">
        <v>0</v>
      </c>
      <c r="BF208" s="516">
        <v>0</v>
      </c>
      <c r="BG208" s="207">
        <v>-3.6593420000000001</v>
      </c>
      <c r="BH208" s="207">
        <v>0</v>
      </c>
      <c r="BI208" s="389">
        <v>0</v>
      </c>
      <c r="BJ208" s="516">
        <v>0</v>
      </c>
      <c r="BK208" s="516">
        <v>0</v>
      </c>
      <c r="BL208" s="516">
        <v>0</v>
      </c>
      <c r="BM208" s="516">
        <v>0</v>
      </c>
      <c r="BN208" s="409">
        <v>0</v>
      </c>
      <c r="BO208" s="207">
        <v>0</v>
      </c>
      <c r="BP208" s="389">
        <v>0</v>
      </c>
      <c r="BQ208" s="389">
        <v>0</v>
      </c>
      <c r="BR208" s="389">
        <v>0</v>
      </c>
      <c r="BS208" s="296">
        <v>0</v>
      </c>
      <c r="BT208" s="296">
        <v>0</v>
      </c>
      <c r="BU208" s="296">
        <v>0</v>
      </c>
      <c r="BV208" s="409">
        <v>0</v>
      </c>
      <c r="BW208" s="1011">
        <f t="shared" si="1070"/>
        <v>0</v>
      </c>
      <c r="BX208" s="449" t="s">
        <v>1874</v>
      </c>
      <c r="BZ208" s="650"/>
    </row>
    <row r="209" spans="1:78" s="1" customFormat="1" ht="123.6" hidden="1" customHeight="1" outlineLevel="1" x14ac:dyDescent="0.25">
      <c r="A209" s="678">
        <v>98</v>
      </c>
      <c r="B209" s="702" t="s">
        <v>69</v>
      </c>
      <c r="C209" s="697" t="s">
        <v>1736</v>
      </c>
      <c r="D209" s="275">
        <v>44482</v>
      </c>
      <c r="E209" s="463" t="s">
        <v>1876</v>
      </c>
      <c r="F209" s="643" t="s">
        <v>1873</v>
      </c>
      <c r="G209" s="95" t="s">
        <v>24</v>
      </c>
      <c r="H209" s="311" t="s">
        <v>130</v>
      </c>
      <c r="I209" s="335"/>
      <c r="J209" s="294">
        <f t="shared" si="1032"/>
        <v>0</v>
      </c>
      <c r="K209" s="52">
        <f t="shared" si="1045"/>
        <v>0</v>
      </c>
      <c r="L209" s="52">
        <f t="shared" si="1046"/>
        <v>1.6544368266405485E-4</v>
      </c>
      <c r="M209" s="52">
        <f t="shared" si="991"/>
        <v>1.7234318565961693E-4</v>
      </c>
      <c r="N209" s="52">
        <f t="shared" si="992"/>
        <v>1.6093377852568656E-4</v>
      </c>
      <c r="O209" s="52">
        <f t="shared" si="975"/>
        <v>0</v>
      </c>
      <c r="P209" s="52">
        <f t="shared" si="976"/>
        <v>0</v>
      </c>
      <c r="Q209" s="52">
        <f t="shared" si="977"/>
        <v>0</v>
      </c>
      <c r="R209" s="52">
        <f t="shared" si="978"/>
        <v>0</v>
      </c>
      <c r="S209" s="527">
        <f t="shared" si="1047"/>
        <v>0</v>
      </c>
      <c r="T209" s="533">
        <f t="shared" si="1048"/>
        <v>0</v>
      </c>
      <c r="U209" s="375">
        <f t="shared" si="1049"/>
        <v>0</v>
      </c>
      <c r="V209" s="375">
        <f t="shared" si="1050"/>
        <v>-1.6544368266405485E-4</v>
      </c>
      <c r="W209" s="386">
        <f t="shared" si="1051"/>
        <v>0</v>
      </c>
      <c r="X209" s="386">
        <f t="shared" si="1052"/>
        <v>0</v>
      </c>
      <c r="Y209" s="386">
        <f t="shared" si="1088"/>
        <v>0</v>
      </c>
      <c r="Z209" s="375">
        <f t="shared" si="993"/>
        <v>-1.6093377852568656E-4</v>
      </c>
      <c r="AA209" s="375">
        <f t="shared" si="1053"/>
        <v>0</v>
      </c>
      <c r="AB209" s="386">
        <f t="shared" si="1054"/>
        <v>0</v>
      </c>
      <c r="AC209" s="386">
        <f t="shared" si="979"/>
        <v>0</v>
      </c>
      <c r="AD209" s="386">
        <f t="shared" si="980"/>
        <v>0</v>
      </c>
      <c r="AE209" s="386">
        <f t="shared" si="981"/>
        <v>0</v>
      </c>
      <c r="AF209" s="386">
        <f t="shared" si="982"/>
        <v>0</v>
      </c>
      <c r="AG209" s="375">
        <f t="shared" si="983"/>
        <v>0</v>
      </c>
      <c r="AH209" s="375">
        <f t="shared" si="984"/>
        <v>0</v>
      </c>
      <c r="AI209" s="386">
        <f t="shared" si="985"/>
        <v>0</v>
      </c>
      <c r="AJ209" s="386">
        <f t="shared" si="986"/>
        <v>0</v>
      </c>
      <c r="AK209" s="386">
        <f t="shared" si="987"/>
        <v>0</v>
      </c>
      <c r="AL209" s="377">
        <f t="shared" si="988"/>
        <v>0</v>
      </c>
      <c r="AM209" s="377">
        <f t="shared" si="989"/>
        <v>0</v>
      </c>
      <c r="AN209" s="377">
        <f t="shared" si="990"/>
        <v>0</v>
      </c>
      <c r="AO209" s="283"/>
      <c r="AP209" s="295">
        <f t="shared" si="1027"/>
        <v>5.4053760000000004</v>
      </c>
      <c r="AQ209" s="183">
        <f t="shared" si="1065"/>
        <v>0</v>
      </c>
      <c r="AR209" s="94">
        <f t="shared" si="1066"/>
        <v>0</v>
      </c>
      <c r="AS209" s="94">
        <f t="shared" ref="AS209:AS218" si="1113">-BC209</f>
        <v>5.4053760000000004</v>
      </c>
      <c r="AT209" s="94">
        <f t="shared" si="970"/>
        <v>5.4053760000000004</v>
      </c>
      <c r="AU209" s="94">
        <f t="shared" si="1058"/>
        <v>5.4053760000000004</v>
      </c>
      <c r="AV209" s="94">
        <f t="shared" si="1111"/>
        <v>0</v>
      </c>
      <c r="AW209" s="94">
        <f t="shared" si="1067"/>
        <v>0</v>
      </c>
      <c r="AX209" s="94">
        <f t="shared" si="1112"/>
        <v>0</v>
      </c>
      <c r="AY209" s="94">
        <f t="shared" si="1068"/>
        <v>0</v>
      </c>
      <c r="AZ209" s="433">
        <f t="shared" si="1069"/>
        <v>0</v>
      </c>
      <c r="BA209" s="1008">
        <v>0</v>
      </c>
      <c r="BB209" s="409">
        <v>0</v>
      </c>
      <c r="BC209" s="1035">
        <f>-5.405376</f>
        <v>-5.4053760000000004</v>
      </c>
      <c r="BD209" s="1030">
        <v>0</v>
      </c>
      <c r="BE209" s="389">
        <v>0</v>
      </c>
      <c r="BF209" s="516">
        <v>0</v>
      </c>
      <c r="BG209" s="207">
        <v>-5.4053760000000004</v>
      </c>
      <c r="BH209" s="207">
        <v>0</v>
      </c>
      <c r="BI209" s="389">
        <v>0</v>
      </c>
      <c r="BJ209" s="516">
        <v>0</v>
      </c>
      <c r="BK209" s="516">
        <v>0</v>
      </c>
      <c r="BL209" s="516">
        <v>0</v>
      </c>
      <c r="BM209" s="516">
        <v>0</v>
      </c>
      <c r="BN209" s="409">
        <v>0</v>
      </c>
      <c r="BO209" s="207">
        <v>0</v>
      </c>
      <c r="BP209" s="389">
        <v>0</v>
      </c>
      <c r="BQ209" s="389">
        <v>0</v>
      </c>
      <c r="BR209" s="389">
        <v>0</v>
      </c>
      <c r="BS209" s="296">
        <v>0</v>
      </c>
      <c r="BT209" s="296">
        <v>0</v>
      </c>
      <c r="BU209" s="296">
        <v>0</v>
      </c>
      <c r="BV209" s="409">
        <v>0</v>
      </c>
      <c r="BW209" s="1011">
        <f t="shared" si="1070"/>
        <v>0</v>
      </c>
      <c r="BX209" s="449" t="s">
        <v>1875</v>
      </c>
      <c r="BZ209" s="650"/>
    </row>
    <row r="210" spans="1:78" s="1" customFormat="1" ht="193.5" hidden="1" customHeight="1" outlineLevel="1" x14ac:dyDescent="0.25">
      <c r="A210" s="678">
        <v>99</v>
      </c>
      <c r="B210" s="702" t="s">
        <v>69</v>
      </c>
      <c r="C210" s="697" t="s">
        <v>1737</v>
      </c>
      <c r="D210" s="275">
        <v>44460</v>
      </c>
      <c r="E210" s="463" t="s">
        <v>1877</v>
      </c>
      <c r="F210" s="643" t="s">
        <v>1878</v>
      </c>
      <c r="G210" s="95" t="s">
        <v>24</v>
      </c>
      <c r="H210" s="311" t="s">
        <v>1798</v>
      </c>
      <c r="I210" s="335"/>
      <c r="J210" s="294">
        <f t="shared" si="1032"/>
        <v>0</v>
      </c>
      <c r="K210" s="52">
        <f t="shared" si="1045"/>
        <v>0</v>
      </c>
      <c r="L210" s="52">
        <f t="shared" si="1046"/>
        <v>0</v>
      </c>
      <c r="M210" s="52">
        <f t="shared" si="991"/>
        <v>0</v>
      </c>
      <c r="N210" s="52">
        <f t="shared" si="992"/>
        <v>0</v>
      </c>
      <c r="O210" s="52">
        <f t="shared" si="975"/>
        <v>1.5968787904633772E-4</v>
      </c>
      <c r="P210" s="52">
        <f t="shared" si="976"/>
        <v>1.6416594294322876E-4</v>
      </c>
      <c r="Q210" s="52">
        <f t="shared" si="977"/>
        <v>0</v>
      </c>
      <c r="R210" s="52">
        <f t="shared" si="978"/>
        <v>0</v>
      </c>
      <c r="S210" s="527">
        <f t="shared" si="1047"/>
        <v>0</v>
      </c>
      <c r="T210" s="533">
        <f t="shared" si="1048"/>
        <v>0</v>
      </c>
      <c r="U210" s="375">
        <f>BB210/U$8</f>
        <v>0</v>
      </c>
      <c r="V210" s="375">
        <f t="shared" si="1050"/>
        <v>0</v>
      </c>
      <c r="W210" s="386">
        <f t="shared" si="1051"/>
        <v>0</v>
      </c>
      <c r="X210" s="386">
        <f t="shared" si="1052"/>
        <v>0</v>
      </c>
      <c r="Y210" s="386">
        <f t="shared" si="1088"/>
        <v>0</v>
      </c>
      <c r="Z210" s="375">
        <f t="shared" si="993"/>
        <v>0</v>
      </c>
      <c r="AA210" s="375">
        <f t="shared" si="1053"/>
        <v>-1.5968787904633772E-4</v>
      </c>
      <c r="AB210" s="386">
        <f t="shared" si="1054"/>
        <v>0</v>
      </c>
      <c r="AC210" s="386">
        <f t="shared" si="979"/>
        <v>0</v>
      </c>
      <c r="AD210" s="386">
        <f t="shared" si="980"/>
        <v>0</v>
      </c>
      <c r="AE210" s="386">
        <f t="shared" si="981"/>
        <v>0</v>
      </c>
      <c r="AF210" s="386">
        <f t="shared" si="982"/>
        <v>0</v>
      </c>
      <c r="AG210" s="375">
        <f t="shared" si="983"/>
        <v>0</v>
      </c>
      <c r="AH210" s="375">
        <f t="shared" si="984"/>
        <v>0</v>
      </c>
      <c r="AI210" s="386">
        <f t="shared" si="985"/>
        <v>0</v>
      </c>
      <c r="AJ210" s="386">
        <f t="shared" si="986"/>
        <v>0</v>
      </c>
      <c r="AK210" s="386">
        <f t="shared" si="987"/>
        <v>0</v>
      </c>
      <c r="AL210" s="377">
        <f t="shared" si="988"/>
        <v>0</v>
      </c>
      <c r="AM210" s="377">
        <f t="shared" si="989"/>
        <v>0</v>
      </c>
      <c r="AN210" s="377">
        <f t="shared" si="990"/>
        <v>0</v>
      </c>
      <c r="AO210" s="283"/>
      <c r="AP210" s="295">
        <f t="shared" si="1027"/>
        <v>6.2979029999999998</v>
      </c>
      <c r="AQ210" s="183">
        <f t="shared" si="1065"/>
        <v>0</v>
      </c>
      <c r="AR210" s="94">
        <f t="shared" si="1066"/>
        <v>0</v>
      </c>
      <c r="AS210" s="94">
        <f t="shared" si="1113"/>
        <v>0</v>
      </c>
      <c r="AT210" s="94">
        <f t="shared" si="970"/>
        <v>0</v>
      </c>
      <c r="AU210" s="94">
        <f t="shared" si="1058"/>
        <v>0</v>
      </c>
      <c r="AV210" s="94">
        <f t="shared" si="1111"/>
        <v>6.2979029999999998</v>
      </c>
      <c r="AW210" s="94">
        <f t="shared" si="1067"/>
        <v>6.2979029999999998</v>
      </c>
      <c r="AX210" s="94">
        <f t="shared" si="1112"/>
        <v>0</v>
      </c>
      <c r="AY210" s="94">
        <f t="shared" si="1068"/>
        <v>0</v>
      </c>
      <c r="AZ210" s="433">
        <f t="shared" si="1069"/>
        <v>0</v>
      </c>
      <c r="BA210" s="1008">
        <v>0</v>
      </c>
      <c r="BB210" s="409">
        <v>0</v>
      </c>
      <c r="BC210" s="1035">
        <f>0</f>
        <v>0</v>
      </c>
      <c r="BD210" s="1030">
        <v>0</v>
      </c>
      <c r="BE210" s="389">
        <v>0</v>
      </c>
      <c r="BF210" s="516">
        <v>0</v>
      </c>
      <c r="BG210" s="207">
        <v>0</v>
      </c>
      <c r="BH210" s="207">
        <f>-14.636985+8.339082</f>
        <v>-6.2979029999999998</v>
      </c>
      <c r="BI210" s="389">
        <v>0</v>
      </c>
      <c r="BJ210" s="516">
        <v>0</v>
      </c>
      <c r="BK210" s="516">
        <v>0</v>
      </c>
      <c r="BL210" s="516">
        <v>0</v>
      </c>
      <c r="BM210" s="516">
        <v>0</v>
      </c>
      <c r="BN210" s="409">
        <v>0</v>
      </c>
      <c r="BO210" s="207">
        <v>0</v>
      </c>
      <c r="BP210" s="389">
        <v>0</v>
      </c>
      <c r="BQ210" s="389">
        <v>0</v>
      </c>
      <c r="BR210" s="389">
        <v>0</v>
      </c>
      <c r="BS210" s="296">
        <v>0</v>
      </c>
      <c r="BT210" s="296">
        <v>0</v>
      </c>
      <c r="BU210" s="296">
        <v>0</v>
      </c>
      <c r="BV210" s="409">
        <v>0</v>
      </c>
      <c r="BW210" s="1011">
        <f t="shared" si="1070"/>
        <v>0</v>
      </c>
      <c r="BX210" s="449" t="s">
        <v>1879</v>
      </c>
    </row>
    <row r="211" spans="1:78" s="1" customFormat="1" ht="193.5" hidden="1" customHeight="1" outlineLevel="1" x14ac:dyDescent="0.25">
      <c r="A211" s="678">
        <v>100</v>
      </c>
      <c r="B211" s="702" t="s">
        <v>69</v>
      </c>
      <c r="C211" s="697" t="s">
        <v>1737</v>
      </c>
      <c r="D211" s="275">
        <v>44495</v>
      </c>
      <c r="E211" s="463" t="s">
        <v>1880</v>
      </c>
      <c r="F211" s="648" t="s">
        <v>1924</v>
      </c>
      <c r="G211" s="95" t="s">
        <v>24</v>
      </c>
      <c r="H211" s="311" t="s">
        <v>1798</v>
      </c>
      <c r="I211" s="335"/>
      <c r="J211" s="294">
        <f t="shared" si="1032"/>
        <v>0</v>
      </c>
      <c r="K211" s="52">
        <f t="shared" si="1045"/>
        <v>0</v>
      </c>
      <c r="L211" s="52">
        <f t="shared" si="1046"/>
        <v>1.6112689764936338E-4</v>
      </c>
      <c r="M211" s="52">
        <f t="shared" si="991"/>
        <v>1.6784637762645493E-4</v>
      </c>
      <c r="N211" s="52">
        <f t="shared" si="992"/>
        <v>0</v>
      </c>
      <c r="O211" s="52">
        <f t="shared" si="975"/>
        <v>1.8084553040684177E-4</v>
      </c>
      <c r="P211" s="52">
        <f t="shared" si="976"/>
        <v>1.8591690993461418E-4</v>
      </c>
      <c r="Q211" s="52">
        <f t="shared" si="977"/>
        <v>0</v>
      </c>
      <c r="R211" s="52">
        <f t="shared" si="978"/>
        <v>0</v>
      </c>
      <c r="S211" s="527">
        <f t="shared" si="1047"/>
        <v>0</v>
      </c>
      <c r="T211" s="533">
        <f t="shared" ref="T211:T213" si="1114">BA211/T$8</f>
        <v>0</v>
      </c>
      <c r="U211" s="375">
        <f t="shared" ref="U211:U212" si="1115">BB211/U$8</f>
        <v>0</v>
      </c>
      <c r="V211" s="375">
        <f t="shared" si="1050"/>
        <v>-1.6112689764936338E-4</v>
      </c>
      <c r="W211" s="386">
        <f t="shared" si="1051"/>
        <v>0</v>
      </c>
      <c r="X211" s="386">
        <f t="shared" si="1052"/>
        <v>0</v>
      </c>
      <c r="Y211" s="386">
        <f t="shared" si="1088"/>
        <v>0</v>
      </c>
      <c r="Z211" s="375">
        <f t="shared" si="993"/>
        <v>0</v>
      </c>
      <c r="AA211" s="375">
        <f t="shared" si="1053"/>
        <v>-1.8084553040684177E-4</v>
      </c>
      <c r="AB211" s="386">
        <f t="shared" si="1054"/>
        <v>0</v>
      </c>
      <c r="AC211" s="386">
        <f t="shared" si="979"/>
        <v>0</v>
      </c>
      <c r="AD211" s="386">
        <f t="shared" si="980"/>
        <v>0</v>
      </c>
      <c r="AE211" s="386">
        <f t="shared" si="981"/>
        <v>0</v>
      </c>
      <c r="AF211" s="386">
        <f t="shared" si="982"/>
        <v>0</v>
      </c>
      <c r="AG211" s="375">
        <f t="shared" si="983"/>
        <v>0</v>
      </c>
      <c r="AH211" s="375">
        <f t="shared" si="984"/>
        <v>0</v>
      </c>
      <c r="AI211" s="386">
        <f t="shared" si="985"/>
        <v>0</v>
      </c>
      <c r="AJ211" s="386">
        <f t="shared" si="986"/>
        <v>0</v>
      </c>
      <c r="AK211" s="386">
        <f t="shared" si="987"/>
        <v>0</v>
      </c>
      <c r="AL211" s="377">
        <f t="shared" si="988"/>
        <v>0</v>
      </c>
      <c r="AM211" s="377">
        <f t="shared" si="989"/>
        <v>0</v>
      </c>
      <c r="AN211" s="377">
        <f t="shared" si="990"/>
        <v>0</v>
      </c>
      <c r="AO211" s="283"/>
      <c r="AP211" s="295">
        <f t="shared" si="1027"/>
        <v>7.1323359999999996</v>
      </c>
      <c r="AQ211" s="183">
        <f t="shared" si="1065"/>
        <v>0</v>
      </c>
      <c r="AR211" s="94">
        <f t="shared" si="1066"/>
        <v>0</v>
      </c>
      <c r="AS211" s="94">
        <f t="shared" si="1113"/>
        <v>5.2643380000000004</v>
      </c>
      <c r="AT211" s="94">
        <f t="shared" si="970"/>
        <v>5.2643380000000004</v>
      </c>
      <c r="AU211" s="94">
        <f t="shared" si="1058"/>
        <v>0</v>
      </c>
      <c r="AV211" s="94">
        <f t="shared" si="1111"/>
        <v>7.1323359999999996</v>
      </c>
      <c r="AW211" s="94">
        <f t="shared" ref="AW211:AW223" si="1116">-BH211</f>
        <v>7.1323359999999996</v>
      </c>
      <c r="AX211" s="94">
        <f t="shared" si="1112"/>
        <v>0</v>
      </c>
      <c r="AY211" s="94">
        <f t="shared" si="1068"/>
        <v>0</v>
      </c>
      <c r="AZ211" s="433">
        <f t="shared" si="1069"/>
        <v>0</v>
      </c>
      <c r="BA211" s="1008">
        <v>0</v>
      </c>
      <c r="BB211" s="409">
        <v>0</v>
      </c>
      <c r="BC211" s="1035">
        <f>-5.264338</f>
        <v>-5.2643380000000004</v>
      </c>
      <c r="BD211" s="1030">
        <v>0</v>
      </c>
      <c r="BE211" s="389">
        <v>0</v>
      </c>
      <c r="BF211" s="516">
        <v>0</v>
      </c>
      <c r="BG211" s="207">
        <v>0</v>
      </c>
      <c r="BH211" s="207">
        <v>-7.1323359999999996</v>
      </c>
      <c r="BI211" s="389">
        <v>0</v>
      </c>
      <c r="BJ211" s="516">
        <v>0</v>
      </c>
      <c r="BK211" s="516">
        <v>0</v>
      </c>
      <c r="BL211" s="516">
        <v>0</v>
      </c>
      <c r="BM211" s="516">
        <v>0</v>
      </c>
      <c r="BN211" s="409">
        <v>0</v>
      </c>
      <c r="BO211" s="207">
        <v>0</v>
      </c>
      <c r="BP211" s="389">
        <v>0</v>
      </c>
      <c r="BQ211" s="389">
        <v>0</v>
      </c>
      <c r="BR211" s="389">
        <v>0</v>
      </c>
      <c r="BS211" s="296">
        <v>0</v>
      </c>
      <c r="BT211" s="296">
        <v>0</v>
      </c>
      <c r="BU211" s="296">
        <v>0</v>
      </c>
      <c r="BV211" s="409">
        <v>0</v>
      </c>
      <c r="BW211" s="1011">
        <f t="shared" ref="BW211:BW221" si="1117">-BV211</f>
        <v>0</v>
      </c>
      <c r="BX211" s="449" t="s">
        <v>1923</v>
      </c>
    </row>
    <row r="212" spans="1:78" s="1" customFormat="1" ht="106.5" hidden="1" customHeight="1" outlineLevel="1" x14ac:dyDescent="0.25">
      <c r="A212" s="678">
        <v>101</v>
      </c>
      <c r="B212" s="702" t="s">
        <v>69</v>
      </c>
      <c r="C212" s="697" t="s">
        <v>1739</v>
      </c>
      <c r="D212" s="275" t="s">
        <v>2032</v>
      </c>
      <c r="E212" s="474" t="s">
        <v>2079</v>
      </c>
      <c r="F212" s="643" t="s">
        <v>1885</v>
      </c>
      <c r="G212" s="95" t="s">
        <v>142</v>
      </c>
      <c r="H212" s="311" t="s">
        <v>1798</v>
      </c>
      <c r="I212" s="335"/>
      <c r="J212" s="294">
        <f t="shared" si="1032"/>
        <v>0</v>
      </c>
      <c r="K212" s="52">
        <f t="shared" si="1045"/>
        <v>0</v>
      </c>
      <c r="L212" s="52">
        <f t="shared" si="1046"/>
        <v>0</v>
      </c>
      <c r="M212" s="52">
        <f t="shared" si="991"/>
        <v>0</v>
      </c>
      <c r="N212" s="52">
        <f t="shared" si="992"/>
        <v>0</v>
      </c>
      <c r="O212" s="52">
        <f t="shared" si="975"/>
        <v>3.7403240077913969E-4</v>
      </c>
      <c r="P212" s="52">
        <f t="shared" si="976"/>
        <v>3.8452124313962039E-4</v>
      </c>
      <c r="Q212" s="52">
        <f t="shared" si="977"/>
        <v>3.3962019776164777E-4</v>
      </c>
      <c r="R212" s="52">
        <f t="shared" si="978"/>
        <v>0</v>
      </c>
      <c r="S212" s="527">
        <f t="shared" si="1047"/>
        <v>0</v>
      </c>
      <c r="T212" s="533">
        <f t="shared" si="1114"/>
        <v>0</v>
      </c>
      <c r="U212" s="375">
        <f t="shared" si="1115"/>
        <v>0</v>
      </c>
      <c r="V212" s="375">
        <f t="shared" si="1050"/>
        <v>0</v>
      </c>
      <c r="W212" s="386">
        <f t="shared" si="1051"/>
        <v>0</v>
      </c>
      <c r="X212" s="386">
        <f t="shared" si="1052"/>
        <v>0</v>
      </c>
      <c r="Y212" s="386">
        <f t="shared" si="1088"/>
        <v>0</v>
      </c>
      <c r="Z212" s="375">
        <f t="shared" si="993"/>
        <v>0</v>
      </c>
      <c r="AA212" s="375">
        <f t="shared" si="1053"/>
        <v>-3.7403240077913969E-4</v>
      </c>
      <c r="AB212" s="386">
        <f t="shared" si="1054"/>
        <v>0</v>
      </c>
      <c r="AC212" s="386">
        <f t="shared" si="979"/>
        <v>0</v>
      </c>
      <c r="AD212" s="386">
        <f t="shared" si="980"/>
        <v>-4.3358708914877672E-4</v>
      </c>
      <c r="AE212" s="386">
        <f t="shared" si="981"/>
        <v>-3.8452124313962039E-4</v>
      </c>
      <c r="AF212" s="386">
        <f t="shared" si="982"/>
        <v>-3.7403240077913969E-4</v>
      </c>
      <c r="AG212" s="375">
        <f t="shared" si="983"/>
        <v>-3.4273213350425133E-4</v>
      </c>
      <c r="AH212" s="375">
        <f t="shared" si="984"/>
        <v>0</v>
      </c>
      <c r="AI212" s="386">
        <f t="shared" si="985"/>
        <v>0</v>
      </c>
      <c r="AJ212" s="386">
        <f t="shared" si="986"/>
        <v>0</v>
      </c>
      <c r="AK212" s="386">
        <f t="shared" si="987"/>
        <v>0</v>
      </c>
      <c r="AL212" s="377">
        <f t="shared" si="988"/>
        <v>0</v>
      </c>
      <c r="AM212" s="377">
        <f t="shared" si="989"/>
        <v>0</v>
      </c>
      <c r="AN212" s="377">
        <f t="shared" si="990"/>
        <v>0</v>
      </c>
      <c r="AO212" s="283"/>
      <c r="AP212" s="295">
        <f t="shared" si="1027"/>
        <v>14.7514</v>
      </c>
      <c r="AQ212" s="183">
        <f t="shared" si="1065"/>
        <v>0</v>
      </c>
      <c r="AR212" s="94">
        <f t="shared" si="1066"/>
        <v>0</v>
      </c>
      <c r="AS212" s="94">
        <f t="shared" si="1113"/>
        <v>0</v>
      </c>
      <c r="AT212" s="94">
        <f t="shared" si="970"/>
        <v>0</v>
      </c>
      <c r="AU212" s="94">
        <f t="shared" si="1058"/>
        <v>0</v>
      </c>
      <c r="AV212" s="94">
        <f t="shared" si="1111"/>
        <v>14.7514</v>
      </c>
      <c r="AW212" s="94">
        <f t="shared" si="1116"/>
        <v>14.7514</v>
      </c>
      <c r="AX212" s="94">
        <f t="shared" si="1112"/>
        <v>13.394223</v>
      </c>
      <c r="AY212" s="94">
        <f t="shared" ref="AY212:AY218" si="1118">-BO212</f>
        <v>0</v>
      </c>
      <c r="AZ212" s="433">
        <f t="shared" si="1069"/>
        <v>0</v>
      </c>
      <c r="BA212" s="1008">
        <v>0</v>
      </c>
      <c r="BB212" s="409">
        <v>0</v>
      </c>
      <c r="BC212" s="1035">
        <f>0</f>
        <v>0</v>
      </c>
      <c r="BD212" s="1030">
        <v>0</v>
      </c>
      <c r="BE212" s="389">
        <v>0</v>
      </c>
      <c r="BF212" s="516">
        <v>0</v>
      </c>
      <c r="BG212" s="207">
        <v>0</v>
      </c>
      <c r="BH212" s="207">
        <v>-14.7514</v>
      </c>
      <c r="BI212" s="389">
        <v>0</v>
      </c>
      <c r="BJ212" s="516">
        <v>0</v>
      </c>
      <c r="BK212" s="516">
        <v>-14.7514</v>
      </c>
      <c r="BL212" s="516">
        <v>-14.7514</v>
      </c>
      <c r="BM212" s="516">
        <v>-14.7514</v>
      </c>
      <c r="BN212" s="713">
        <f>-13.394223</f>
        <v>-13.394223</v>
      </c>
      <c r="BO212" s="207">
        <v>0</v>
      </c>
      <c r="BP212" s="389">
        <v>0</v>
      </c>
      <c r="BQ212" s="389">
        <v>0</v>
      </c>
      <c r="BR212" s="389">
        <v>0</v>
      </c>
      <c r="BS212" s="296">
        <v>0</v>
      </c>
      <c r="BT212" s="296">
        <v>0</v>
      </c>
      <c r="BU212" s="296">
        <v>0</v>
      </c>
      <c r="BV212" s="713">
        <v>0</v>
      </c>
      <c r="BW212" s="1011">
        <f t="shared" si="1117"/>
        <v>0</v>
      </c>
      <c r="BX212" s="449" t="s">
        <v>2031</v>
      </c>
    </row>
    <row r="213" spans="1:78" s="1" customFormat="1" ht="106.5" hidden="1" customHeight="1" outlineLevel="1" x14ac:dyDescent="0.25">
      <c r="A213" s="678">
        <v>102</v>
      </c>
      <c r="B213" s="702" t="s">
        <v>69</v>
      </c>
      <c r="C213" s="697" t="s">
        <v>1737</v>
      </c>
      <c r="D213" s="275">
        <v>44509</v>
      </c>
      <c r="E213" s="474" t="s">
        <v>1893</v>
      </c>
      <c r="F213" s="643" t="s">
        <v>1894</v>
      </c>
      <c r="G213" s="95" t="s">
        <v>24</v>
      </c>
      <c r="H213" s="311" t="s">
        <v>1798</v>
      </c>
      <c r="I213" s="335"/>
      <c r="J213" s="294">
        <f t="shared" si="1032"/>
        <v>0</v>
      </c>
      <c r="K213" s="52">
        <f t="shared" si="1045"/>
        <v>0</v>
      </c>
      <c r="L213" s="52">
        <f t="shared" si="1046"/>
        <v>0</v>
      </c>
      <c r="M213" s="52">
        <f t="shared" si="991"/>
        <v>0</v>
      </c>
      <c r="N213" s="52">
        <f t="shared" si="992"/>
        <v>0</v>
      </c>
      <c r="O213" s="52">
        <f t="shared" si="975"/>
        <v>2.7346222483120538E-5</v>
      </c>
      <c r="P213" s="52">
        <f t="shared" si="976"/>
        <v>2.8113081761040297E-5</v>
      </c>
      <c r="Q213" s="52">
        <f t="shared" si="977"/>
        <v>0</v>
      </c>
      <c r="R213" s="52">
        <f t="shared" si="978"/>
        <v>0</v>
      </c>
      <c r="S213" s="527">
        <f t="shared" ref="S213:S218" si="1119">AZ213/AN$8</f>
        <v>0</v>
      </c>
      <c r="T213" s="533">
        <f t="shared" si="1114"/>
        <v>0</v>
      </c>
      <c r="U213" s="375">
        <f>BB213/U$8</f>
        <v>0</v>
      </c>
      <c r="V213" s="375">
        <f t="shared" si="1050"/>
        <v>0</v>
      </c>
      <c r="W213" s="386">
        <f t="shared" si="1051"/>
        <v>0</v>
      </c>
      <c r="X213" s="386">
        <f t="shared" si="1052"/>
        <v>0</v>
      </c>
      <c r="Y213" s="386">
        <f t="shared" si="1088"/>
        <v>0</v>
      </c>
      <c r="Z213" s="375">
        <f t="shared" si="993"/>
        <v>0</v>
      </c>
      <c r="AA213" s="375">
        <f t="shared" si="1053"/>
        <v>-2.7346222483120538E-5</v>
      </c>
      <c r="AB213" s="386">
        <f t="shared" si="1054"/>
        <v>0</v>
      </c>
      <c r="AC213" s="386">
        <f t="shared" si="979"/>
        <v>0</v>
      </c>
      <c r="AD213" s="386">
        <f t="shared" si="980"/>
        <v>0</v>
      </c>
      <c r="AE213" s="386">
        <f t="shared" si="981"/>
        <v>0</v>
      </c>
      <c r="AF213" s="386">
        <f t="shared" si="982"/>
        <v>0</v>
      </c>
      <c r="AG213" s="375">
        <f t="shared" si="983"/>
        <v>0</v>
      </c>
      <c r="AH213" s="375">
        <f t="shared" si="984"/>
        <v>0</v>
      </c>
      <c r="AI213" s="386">
        <f t="shared" si="985"/>
        <v>0</v>
      </c>
      <c r="AJ213" s="386">
        <f t="shared" si="986"/>
        <v>0</v>
      </c>
      <c r="AK213" s="386">
        <f t="shared" si="987"/>
        <v>0</v>
      </c>
      <c r="AL213" s="377">
        <f t="shared" si="988"/>
        <v>0</v>
      </c>
      <c r="AM213" s="377">
        <f t="shared" si="989"/>
        <v>0</v>
      </c>
      <c r="AN213" s="377">
        <f t="shared" si="990"/>
        <v>0</v>
      </c>
      <c r="AO213" s="283"/>
      <c r="AP213" s="295">
        <f t="shared" si="1027"/>
        <v>1.0785029999999995</v>
      </c>
      <c r="AQ213" s="183">
        <f t="shared" si="1065"/>
        <v>0</v>
      </c>
      <c r="AR213" s="94">
        <f t="shared" si="1066"/>
        <v>0</v>
      </c>
      <c r="AS213" s="94">
        <f t="shared" si="1113"/>
        <v>0</v>
      </c>
      <c r="AT213" s="94">
        <f t="shared" si="970"/>
        <v>0</v>
      </c>
      <c r="AU213" s="94">
        <f t="shared" si="1058"/>
        <v>0</v>
      </c>
      <c r="AV213" s="94">
        <f t="shared" si="1111"/>
        <v>1.0785029999999995</v>
      </c>
      <c r="AW213" s="94">
        <f t="shared" si="1116"/>
        <v>1.0785029999999995</v>
      </c>
      <c r="AX213" s="94">
        <f t="shared" si="1112"/>
        <v>0</v>
      </c>
      <c r="AY213" s="94">
        <f t="shared" si="1118"/>
        <v>0</v>
      </c>
      <c r="AZ213" s="433">
        <f t="shared" si="1069"/>
        <v>0</v>
      </c>
      <c r="BA213" s="1008">
        <v>0</v>
      </c>
      <c r="BB213" s="409">
        <v>0</v>
      </c>
      <c r="BC213" s="1035">
        <f>0</f>
        <v>0</v>
      </c>
      <c r="BD213" s="1030">
        <v>0</v>
      </c>
      <c r="BE213" s="389">
        <v>0</v>
      </c>
      <c r="BF213" s="516">
        <v>0</v>
      </c>
      <c r="BG213" s="207">
        <v>0</v>
      </c>
      <c r="BH213" s="207">
        <f>-5.003416+3.924913</f>
        <v>-1.0785029999999995</v>
      </c>
      <c r="BI213" s="389">
        <v>0</v>
      </c>
      <c r="BJ213" s="516">
        <v>0</v>
      </c>
      <c r="BK213" s="516">
        <v>0</v>
      </c>
      <c r="BL213" s="516">
        <v>0</v>
      </c>
      <c r="BM213" s="516">
        <v>0</v>
      </c>
      <c r="BN213" s="409">
        <v>0</v>
      </c>
      <c r="BO213" s="207">
        <v>0</v>
      </c>
      <c r="BP213" s="389">
        <v>0</v>
      </c>
      <c r="BQ213" s="389">
        <v>0</v>
      </c>
      <c r="BR213" s="389">
        <v>0</v>
      </c>
      <c r="BS213" s="296">
        <v>0</v>
      </c>
      <c r="BT213" s="296">
        <v>0</v>
      </c>
      <c r="BU213" s="296">
        <v>0</v>
      </c>
      <c r="BV213" s="409">
        <v>0</v>
      </c>
      <c r="BW213" s="1011">
        <f t="shared" si="1117"/>
        <v>0</v>
      </c>
      <c r="BX213" s="449" t="s">
        <v>1892</v>
      </c>
    </row>
    <row r="214" spans="1:78" s="1" customFormat="1" ht="106.5" hidden="1" customHeight="1" outlineLevel="1" x14ac:dyDescent="0.25">
      <c r="A214" s="678">
        <v>103</v>
      </c>
      <c r="B214" s="702" t="s">
        <v>69</v>
      </c>
      <c r="C214" s="697" t="s">
        <v>1737</v>
      </c>
      <c r="D214" s="275">
        <v>44502</v>
      </c>
      <c r="E214" s="474" t="s">
        <v>1899</v>
      </c>
      <c r="F214" s="643" t="s">
        <v>1900</v>
      </c>
      <c r="G214" s="95" t="s">
        <v>24</v>
      </c>
      <c r="H214" s="311" t="s">
        <v>1798</v>
      </c>
      <c r="I214" s="335"/>
      <c r="J214" s="294">
        <f t="shared" si="1032"/>
        <v>0</v>
      </c>
      <c r="K214" s="52">
        <f t="shared" si="1045"/>
        <v>0</v>
      </c>
      <c r="L214" s="52">
        <f t="shared" si="1046"/>
        <v>0</v>
      </c>
      <c r="M214" s="52">
        <f t="shared" si="991"/>
        <v>0</v>
      </c>
      <c r="N214" s="52">
        <f t="shared" si="992"/>
        <v>0</v>
      </c>
      <c r="O214" s="52">
        <f t="shared" si="975"/>
        <v>3.0591983128980392E-5</v>
      </c>
      <c r="P214" s="52">
        <f t="shared" si="976"/>
        <v>3.1449861986175529E-5</v>
      </c>
      <c r="Q214" s="52">
        <f t="shared" si="977"/>
        <v>0</v>
      </c>
      <c r="R214" s="52">
        <f t="shared" si="978"/>
        <v>0</v>
      </c>
      <c r="S214" s="527">
        <f t="shared" si="1119"/>
        <v>0</v>
      </c>
      <c r="T214" s="533">
        <f t="shared" ref="T214:T218" si="1120">BA214/T$8</f>
        <v>0</v>
      </c>
      <c r="U214" s="375">
        <f t="shared" ref="U214:U218" si="1121">BB214/U$8</f>
        <v>0</v>
      </c>
      <c r="V214" s="375">
        <f t="shared" si="1050"/>
        <v>0</v>
      </c>
      <c r="W214" s="386">
        <f t="shared" si="1051"/>
        <v>0</v>
      </c>
      <c r="X214" s="386">
        <f>BE214/X$8</f>
        <v>0</v>
      </c>
      <c r="Y214" s="386">
        <f t="shared" si="1088"/>
        <v>0</v>
      </c>
      <c r="Z214" s="375">
        <f t="shared" si="993"/>
        <v>0</v>
      </c>
      <c r="AA214" s="375">
        <f t="shared" si="1053"/>
        <v>-3.0591983128980392E-5</v>
      </c>
      <c r="AB214" s="386">
        <f t="shared" si="1054"/>
        <v>0</v>
      </c>
      <c r="AC214" s="386">
        <f t="shared" si="979"/>
        <v>0</v>
      </c>
      <c r="AD214" s="386">
        <f t="shared" si="980"/>
        <v>0</v>
      </c>
      <c r="AE214" s="386">
        <f t="shared" si="981"/>
        <v>0</v>
      </c>
      <c r="AF214" s="386">
        <f t="shared" si="982"/>
        <v>0</v>
      </c>
      <c r="AG214" s="375">
        <f t="shared" si="983"/>
        <v>0</v>
      </c>
      <c r="AH214" s="375">
        <f t="shared" si="984"/>
        <v>0</v>
      </c>
      <c r="AI214" s="386">
        <f t="shared" si="985"/>
        <v>0</v>
      </c>
      <c r="AJ214" s="386">
        <f t="shared" si="986"/>
        <v>0</v>
      </c>
      <c r="AK214" s="386">
        <f t="shared" si="987"/>
        <v>0</v>
      </c>
      <c r="AL214" s="377">
        <f t="shared" si="988"/>
        <v>0</v>
      </c>
      <c r="AM214" s="377">
        <f t="shared" si="989"/>
        <v>0</v>
      </c>
      <c r="AN214" s="377">
        <f t="shared" si="990"/>
        <v>0</v>
      </c>
      <c r="AO214" s="283"/>
      <c r="AP214" s="295">
        <f t="shared" si="1027"/>
        <v>1.206512</v>
      </c>
      <c r="AQ214" s="183">
        <f t="shared" si="1065"/>
        <v>0</v>
      </c>
      <c r="AR214" s="94">
        <f t="shared" si="1066"/>
        <v>0</v>
      </c>
      <c r="AS214" s="94">
        <f t="shared" si="1113"/>
        <v>0</v>
      </c>
      <c r="AT214" s="94">
        <f t="shared" si="970"/>
        <v>0</v>
      </c>
      <c r="AU214" s="94">
        <f t="shared" si="1058"/>
        <v>0</v>
      </c>
      <c r="AV214" s="94">
        <f t="shared" si="1111"/>
        <v>1.206512</v>
      </c>
      <c r="AW214" s="94">
        <f t="shared" si="1116"/>
        <v>1.206512</v>
      </c>
      <c r="AX214" s="94">
        <f t="shared" si="1112"/>
        <v>0</v>
      </c>
      <c r="AY214" s="94">
        <f t="shared" si="1118"/>
        <v>0</v>
      </c>
      <c r="AZ214" s="433">
        <f t="shared" si="1069"/>
        <v>0</v>
      </c>
      <c r="BA214" s="1008">
        <v>0</v>
      </c>
      <c r="BB214" s="409">
        <v>0</v>
      </c>
      <c r="BC214" s="1035">
        <f>0</f>
        <v>0</v>
      </c>
      <c r="BD214" s="1030">
        <v>0</v>
      </c>
      <c r="BE214" s="389">
        <v>0</v>
      </c>
      <c r="BF214" s="516">
        <v>0</v>
      </c>
      <c r="BG214" s="207">
        <v>0</v>
      </c>
      <c r="BH214" s="207">
        <f>-1.976769+0.770257</f>
        <v>-1.206512</v>
      </c>
      <c r="BI214" s="389">
        <v>0</v>
      </c>
      <c r="BJ214" s="516">
        <v>0</v>
      </c>
      <c r="BK214" s="516">
        <v>0</v>
      </c>
      <c r="BL214" s="516">
        <v>0</v>
      </c>
      <c r="BM214" s="516">
        <v>0</v>
      </c>
      <c r="BN214" s="409">
        <v>0</v>
      </c>
      <c r="BO214" s="207">
        <v>0</v>
      </c>
      <c r="BP214" s="389">
        <v>0</v>
      </c>
      <c r="BQ214" s="389">
        <v>0</v>
      </c>
      <c r="BR214" s="389">
        <v>0</v>
      </c>
      <c r="BS214" s="296">
        <v>0</v>
      </c>
      <c r="BT214" s="296">
        <v>0</v>
      </c>
      <c r="BU214" s="296">
        <v>0</v>
      </c>
      <c r="BV214" s="409">
        <v>0</v>
      </c>
      <c r="BW214" s="1011">
        <f t="shared" si="1117"/>
        <v>0</v>
      </c>
      <c r="BX214" s="449" t="s">
        <v>1898</v>
      </c>
    </row>
    <row r="215" spans="1:78" s="1" customFormat="1" ht="106.5" hidden="1" customHeight="1" outlineLevel="1" x14ac:dyDescent="0.25">
      <c r="A215" s="678">
        <v>104</v>
      </c>
      <c r="B215" s="702" t="s">
        <v>69</v>
      </c>
      <c r="C215" s="697" t="s">
        <v>1737</v>
      </c>
      <c r="D215" s="275">
        <v>44502</v>
      </c>
      <c r="E215" s="474" t="s">
        <v>1899</v>
      </c>
      <c r="F215" s="643" t="s">
        <v>1902</v>
      </c>
      <c r="G215" s="95" t="s">
        <v>24</v>
      </c>
      <c r="H215" s="311" t="s">
        <v>1798</v>
      </c>
      <c r="I215" s="335"/>
      <c r="J215" s="294">
        <f t="shared" si="1032"/>
        <v>0</v>
      </c>
      <c r="K215" s="52">
        <f t="shared" si="1045"/>
        <v>0</v>
      </c>
      <c r="L215" s="52">
        <f t="shared" si="1046"/>
        <v>0</v>
      </c>
      <c r="M215" s="52">
        <f t="shared" si="991"/>
        <v>0</v>
      </c>
      <c r="N215" s="52">
        <f t="shared" si="992"/>
        <v>0</v>
      </c>
      <c r="O215" s="52">
        <f t="shared" si="975"/>
        <v>1.0974970806380603E-6</v>
      </c>
      <c r="P215" s="52">
        <f t="shared" si="976"/>
        <v>1.1282737562573946E-6</v>
      </c>
      <c r="Q215" s="52">
        <f t="shared" si="977"/>
        <v>0</v>
      </c>
      <c r="R215" s="52">
        <f t="shared" si="978"/>
        <v>0</v>
      </c>
      <c r="S215" s="527">
        <f t="shared" si="1119"/>
        <v>0</v>
      </c>
      <c r="T215" s="533">
        <f t="shared" si="1120"/>
        <v>0</v>
      </c>
      <c r="U215" s="375">
        <f t="shared" si="1121"/>
        <v>0</v>
      </c>
      <c r="V215" s="375">
        <f t="shared" si="1050"/>
        <v>0</v>
      </c>
      <c r="W215" s="386">
        <f>BD215/W$8</f>
        <v>0</v>
      </c>
      <c r="X215" s="386">
        <f t="shared" ref="X215:X217" si="1122">BE215/X$8</f>
        <v>0</v>
      </c>
      <c r="Y215" s="386">
        <f t="shared" si="1088"/>
        <v>0</v>
      </c>
      <c r="Z215" s="375">
        <f t="shared" si="993"/>
        <v>0</v>
      </c>
      <c r="AA215" s="375">
        <f t="shared" si="1053"/>
        <v>-1.0974970806380603E-6</v>
      </c>
      <c r="AB215" s="386">
        <f t="shared" si="1054"/>
        <v>0</v>
      </c>
      <c r="AC215" s="386">
        <f t="shared" si="979"/>
        <v>0</v>
      </c>
      <c r="AD215" s="386">
        <f t="shared" si="980"/>
        <v>0</v>
      </c>
      <c r="AE215" s="386">
        <f t="shared" si="981"/>
        <v>0</v>
      </c>
      <c r="AF215" s="386">
        <f t="shared" si="982"/>
        <v>0</v>
      </c>
      <c r="AG215" s="375">
        <f t="shared" si="983"/>
        <v>0</v>
      </c>
      <c r="AH215" s="375">
        <f t="shared" si="984"/>
        <v>0</v>
      </c>
      <c r="AI215" s="386">
        <f t="shared" si="985"/>
        <v>0</v>
      </c>
      <c r="AJ215" s="386">
        <f t="shared" si="986"/>
        <v>0</v>
      </c>
      <c r="AK215" s="386">
        <f t="shared" si="987"/>
        <v>0</v>
      </c>
      <c r="AL215" s="377">
        <f t="shared" si="988"/>
        <v>0</v>
      </c>
      <c r="AM215" s="377">
        <f t="shared" si="989"/>
        <v>0</v>
      </c>
      <c r="AN215" s="377">
        <f t="shared" si="990"/>
        <v>0</v>
      </c>
      <c r="AO215" s="283"/>
      <c r="AP215" s="295">
        <f t="shared" si="1027"/>
        <v>4.3284000000000003E-2</v>
      </c>
      <c r="AQ215" s="183">
        <f t="shared" si="1065"/>
        <v>0</v>
      </c>
      <c r="AR215" s="94">
        <f t="shared" si="1066"/>
        <v>0</v>
      </c>
      <c r="AS215" s="94">
        <f t="shared" si="1113"/>
        <v>0</v>
      </c>
      <c r="AT215" s="94">
        <f t="shared" si="970"/>
        <v>0</v>
      </c>
      <c r="AU215" s="94">
        <f t="shared" si="1058"/>
        <v>0</v>
      </c>
      <c r="AV215" s="94">
        <f t="shared" si="1111"/>
        <v>4.3284000000000003E-2</v>
      </c>
      <c r="AW215" s="94">
        <f t="shared" si="1116"/>
        <v>4.3284000000000003E-2</v>
      </c>
      <c r="AX215" s="94">
        <f t="shared" si="1112"/>
        <v>0</v>
      </c>
      <c r="AY215" s="94">
        <f t="shared" si="1118"/>
        <v>0</v>
      </c>
      <c r="AZ215" s="433">
        <f t="shared" si="1069"/>
        <v>0</v>
      </c>
      <c r="BA215" s="1008">
        <v>0</v>
      </c>
      <c r="BB215" s="409">
        <v>0</v>
      </c>
      <c r="BC215" s="1035">
        <f>0</f>
        <v>0</v>
      </c>
      <c r="BD215" s="1030">
        <v>0</v>
      </c>
      <c r="BE215" s="389">
        <v>0</v>
      </c>
      <c r="BF215" s="516">
        <v>0</v>
      </c>
      <c r="BG215" s="207">
        <v>0</v>
      </c>
      <c r="BH215" s="207">
        <f>-0.043284</f>
        <v>-4.3284000000000003E-2</v>
      </c>
      <c r="BI215" s="389">
        <v>0</v>
      </c>
      <c r="BJ215" s="516">
        <v>0</v>
      </c>
      <c r="BK215" s="516">
        <v>0</v>
      </c>
      <c r="BL215" s="516">
        <v>0</v>
      </c>
      <c r="BM215" s="516">
        <v>0</v>
      </c>
      <c r="BN215" s="409">
        <v>0</v>
      </c>
      <c r="BO215" s="207">
        <v>0</v>
      </c>
      <c r="BP215" s="389">
        <v>0</v>
      </c>
      <c r="BQ215" s="389">
        <v>0</v>
      </c>
      <c r="BR215" s="389">
        <v>0</v>
      </c>
      <c r="BS215" s="296">
        <v>0</v>
      </c>
      <c r="BT215" s="296">
        <v>0</v>
      </c>
      <c r="BU215" s="296">
        <v>0</v>
      </c>
      <c r="BV215" s="409">
        <v>0</v>
      </c>
      <c r="BW215" s="1011">
        <f t="shared" si="1117"/>
        <v>0</v>
      </c>
      <c r="BX215" s="449" t="s">
        <v>1901</v>
      </c>
    </row>
    <row r="216" spans="1:78" s="1" customFormat="1" ht="106.5" hidden="1" customHeight="1" outlineLevel="1" x14ac:dyDescent="0.25">
      <c r="A216" s="678">
        <v>106</v>
      </c>
      <c r="B216" s="702" t="s">
        <v>69</v>
      </c>
      <c r="C216" s="697" t="s">
        <v>1737</v>
      </c>
      <c r="D216" s="275">
        <v>44516</v>
      </c>
      <c r="E216" s="474" t="s">
        <v>1904</v>
      </c>
      <c r="F216" s="643" t="s">
        <v>1903</v>
      </c>
      <c r="G216" s="95" t="s">
        <v>24</v>
      </c>
      <c r="H216" s="311" t="s">
        <v>1798</v>
      </c>
      <c r="I216" s="335"/>
      <c r="J216" s="294">
        <f t="shared" si="1032"/>
        <v>0</v>
      </c>
      <c r="K216" s="52">
        <f t="shared" si="1045"/>
        <v>0</v>
      </c>
      <c r="L216" s="52">
        <f t="shared" si="1046"/>
        <v>0</v>
      </c>
      <c r="M216" s="52">
        <f t="shared" si="991"/>
        <v>0</v>
      </c>
      <c r="N216" s="52">
        <f t="shared" si="992"/>
        <v>0</v>
      </c>
      <c r="O216" s="52">
        <f t="shared" si="975"/>
        <v>1.5883344191891554E-4</v>
      </c>
      <c r="P216" s="52">
        <f t="shared" si="976"/>
        <v>1.6328754517411402E-4</v>
      </c>
      <c r="Q216" s="52">
        <f t="shared" si="977"/>
        <v>0</v>
      </c>
      <c r="R216" s="52">
        <f t="shared" si="978"/>
        <v>0</v>
      </c>
      <c r="S216" s="527">
        <f t="shared" si="1119"/>
        <v>0</v>
      </c>
      <c r="T216" s="533">
        <f t="shared" si="1120"/>
        <v>0</v>
      </c>
      <c r="U216" s="375">
        <f t="shared" si="1121"/>
        <v>0</v>
      </c>
      <c r="V216" s="375">
        <f t="shared" si="1050"/>
        <v>0</v>
      </c>
      <c r="W216" s="386">
        <f>BD216/W$8</f>
        <v>0</v>
      </c>
      <c r="X216" s="386">
        <f t="shared" si="1122"/>
        <v>0</v>
      </c>
      <c r="Y216" s="386">
        <f t="shared" si="1088"/>
        <v>0</v>
      </c>
      <c r="Z216" s="375">
        <f t="shared" si="993"/>
        <v>0</v>
      </c>
      <c r="AA216" s="375">
        <f t="shared" ref="AA216:AA218" si="1123">BH216/AA$8</f>
        <v>-1.5883344191891554E-4</v>
      </c>
      <c r="AB216" s="386">
        <f t="shared" si="1054"/>
        <v>0</v>
      </c>
      <c r="AC216" s="386">
        <f t="shared" si="979"/>
        <v>0</v>
      </c>
      <c r="AD216" s="386">
        <f t="shared" si="980"/>
        <v>0</v>
      </c>
      <c r="AE216" s="386">
        <f t="shared" si="981"/>
        <v>0</v>
      </c>
      <c r="AF216" s="386">
        <f t="shared" si="982"/>
        <v>0</v>
      </c>
      <c r="AG216" s="375">
        <f t="shared" si="983"/>
        <v>0</v>
      </c>
      <c r="AH216" s="375">
        <f t="shared" si="984"/>
        <v>0</v>
      </c>
      <c r="AI216" s="386">
        <f t="shared" si="985"/>
        <v>0</v>
      </c>
      <c r="AJ216" s="386">
        <f t="shared" si="986"/>
        <v>0</v>
      </c>
      <c r="AK216" s="386">
        <f t="shared" si="987"/>
        <v>0</v>
      </c>
      <c r="AL216" s="377">
        <f t="shared" si="988"/>
        <v>0</v>
      </c>
      <c r="AM216" s="377">
        <f t="shared" si="989"/>
        <v>0</v>
      </c>
      <c r="AN216" s="377">
        <f t="shared" si="990"/>
        <v>0</v>
      </c>
      <c r="AO216" s="283"/>
      <c r="AP216" s="295">
        <f t="shared" si="1027"/>
        <v>6.2642049999999996</v>
      </c>
      <c r="AQ216" s="183">
        <f t="shared" si="1065"/>
        <v>0</v>
      </c>
      <c r="AR216" s="94">
        <f t="shared" si="1066"/>
        <v>0</v>
      </c>
      <c r="AS216" s="94">
        <f t="shared" si="1113"/>
        <v>0</v>
      </c>
      <c r="AT216" s="94">
        <f t="shared" si="970"/>
        <v>0</v>
      </c>
      <c r="AU216" s="94">
        <f t="shared" si="1058"/>
        <v>0</v>
      </c>
      <c r="AV216" s="94">
        <f t="shared" si="1111"/>
        <v>6.2642049999999996</v>
      </c>
      <c r="AW216" s="94">
        <f t="shared" si="1116"/>
        <v>6.2642049999999996</v>
      </c>
      <c r="AX216" s="94">
        <f t="shared" si="1112"/>
        <v>0</v>
      </c>
      <c r="AY216" s="94">
        <f t="shared" si="1118"/>
        <v>0</v>
      </c>
      <c r="AZ216" s="433">
        <f t="shared" si="1069"/>
        <v>0</v>
      </c>
      <c r="BA216" s="1008">
        <v>0</v>
      </c>
      <c r="BB216" s="409">
        <v>0</v>
      </c>
      <c r="BC216" s="1035">
        <f>0</f>
        <v>0</v>
      </c>
      <c r="BD216" s="1030">
        <v>0</v>
      </c>
      <c r="BE216" s="389">
        <v>0</v>
      </c>
      <c r="BF216" s="516">
        <v>0</v>
      </c>
      <c r="BG216" s="207">
        <v>0</v>
      </c>
      <c r="BH216" s="207">
        <f>-6.264205</f>
        <v>-6.2642049999999996</v>
      </c>
      <c r="BI216" s="389">
        <v>0</v>
      </c>
      <c r="BJ216" s="516">
        <v>0</v>
      </c>
      <c r="BK216" s="516">
        <v>0</v>
      </c>
      <c r="BL216" s="516">
        <v>0</v>
      </c>
      <c r="BM216" s="516">
        <v>0</v>
      </c>
      <c r="BN216" s="409">
        <v>0</v>
      </c>
      <c r="BO216" s="207">
        <v>0</v>
      </c>
      <c r="BP216" s="389">
        <v>0</v>
      </c>
      <c r="BQ216" s="389">
        <v>0</v>
      </c>
      <c r="BR216" s="389">
        <v>0</v>
      </c>
      <c r="BS216" s="296">
        <v>0</v>
      </c>
      <c r="BT216" s="296">
        <v>0</v>
      </c>
      <c r="BU216" s="296">
        <v>0</v>
      </c>
      <c r="BV216" s="409">
        <v>0</v>
      </c>
      <c r="BW216" s="1011">
        <f t="shared" si="1117"/>
        <v>0</v>
      </c>
      <c r="BX216" s="449" t="s">
        <v>1905</v>
      </c>
    </row>
    <row r="217" spans="1:78" s="1" customFormat="1" ht="106.5" hidden="1" customHeight="1" outlineLevel="1" x14ac:dyDescent="0.25">
      <c r="A217" s="678">
        <v>107</v>
      </c>
      <c r="B217" s="702" t="s">
        <v>69</v>
      </c>
      <c r="C217" s="697" t="s">
        <v>1737</v>
      </c>
      <c r="D217" s="275">
        <v>44526</v>
      </c>
      <c r="E217" s="474" t="s">
        <v>1908</v>
      </c>
      <c r="F217" s="643" t="s">
        <v>1907</v>
      </c>
      <c r="G217" s="95" t="s">
        <v>24</v>
      </c>
      <c r="H217" s="311" t="s">
        <v>1798</v>
      </c>
      <c r="I217" s="335"/>
      <c r="J217" s="294">
        <f t="shared" si="1032"/>
        <v>0</v>
      </c>
      <c r="K217" s="52">
        <f t="shared" si="1045"/>
        <v>0</v>
      </c>
      <c r="L217" s="52">
        <f t="shared" si="1046"/>
        <v>0</v>
      </c>
      <c r="M217" s="52">
        <f t="shared" si="991"/>
        <v>0</v>
      </c>
      <c r="N217" s="52">
        <f t="shared" si="992"/>
        <v>0</v>
      </c>
      <c r="O217" s="52">
        <f t="shared" si="975"/>
        <v>2.2405076826638228E-6</v>
      </c>
      <c r="P217" s="52">
        <f t="shared" si="976"/>
        <v>2.3033373515426522E-6</v>
      </c>
      <c r="Q217" s="52">
        <f t="shared" si="977"/>
        <v>0</v>
      </c>
      <c r="R217" s="52">
        <f t="shared" si="978"/>
        <v>0</v>
      </c>
      <c r="S217" s="527">
        <f t="shared" si="1119"/>
        <v>0</v>
      </c>
      <c r="T217" s="533">
        <f t="shared" si="1120"/>
        <v>0</v>
      </c>
      <c r="U217" s="375">
        <f t="shared" si="1121"/>
        <v>0</v>
      </c>
      <c r="V217" s="375">
        <f>BC217/V$8</f>
        <v>0</v>
      </c>
      <c r="W217" s="386">
        <f t="shared" ref="W217:W218" si="1124">BD217/W$8</f>
        <v>0</v>
      </c>
      <c r="X217" s="386">
        <f t="shared" si="1122"/>
        <v>0</v>
      </c>
      <c r="Y217" s="386">
        <f t="shared" si="1088"/>
        <v>0</v>
      </c>
      <c r="Z217" s="375">
        <f t="shared" si="993"/>
        <v>0</v>
      </c>
      <c r="AA217" s="375">
        <f t="shared" si="1123"/>
        <v>-2.2405076826638228E-6</v>
      </c>
      <c r="AB217" s="386">
        <f t="shared" si="1054"/>
        <v>0</v>
      </c>
      <c r="AC217" s="386">
        <f t="shared" si="979"/>
        <v>0</v>
      </c>
      <c r="AD217" s="386">
        <f t="shared" si="980"/>
        <v>0</v>
      </c>
      <c r="AE217" s="386">
        <f t="shared" si="981"/>
        <v>0</v>
      </c>
      <c r="AF217" s="386">
        <f t="shared" si="982"/>
        <v>0</v>
      </c>
      <c r="AG217" s="375">
        <f t="shared" si="983"/>
        <v>0</v>
      </c>
      <c r="AH217" s="375">
        <f t="shared" si="984"/>
        <v>0</v>
      </c>
      <c r="AI217" s="386">
        <f t="shared" si="985"/>
        <v>0</v>
      </c>
      <c r="AJ217" s="386">
        <f t="shared" si="986"/>
        <v>0</v>
      </c>
      <c r="AK217" s="386">
        <f t="shared" si="987"/>
        <v>0</v>
      </c>
      <c r="AL217" s="377">
        <f t="shared" si="988"/>
        <v>0</v>
      </c>
      <c r="AM217" s="377">
        <f t="shared" si="989"/>
        <v>0</v>
      </c>
      <c r="AN217" s="377">
        <f t="shared" si="990"/>
        <v>0</v>
      </c>
      <c r="AO217" s="283"/>
      <c r="AP217" s="295">
        <f t="shared" si="1027"/>
        <v>8.8362999999999997E-2</v>
      </c>
      <c r="AQ217" s="183">
        <f t="shared" si="1065"/>
        <v>0</v>
      </c>
      <c r="AR217" s="94">
        <f t="shared" si="1066"/>
        <v>0</v>
      </c>
      <c r="AS217" s="94">
        <f t="shared" si="1113"/>
        <v>0</v>
      </c>
      <c r="AT217" s="94">
        <f t="shared" si="970"/>
        <v>0</v>
      </c>
      <c r="AU217" s="94">
        <f t="shared" si="1058"/>
        <v>0</v>
      </c>
      <c r="AV217" s="94">
        <f t="shared" si="1111"/>
        <v>8.8362999999999997E-2</v>
      </c>
      <c r="AW217" s="94">
        <f t="shared" si="1116"/>
        <v>8.8362999999999997E-2</v>
      </c>
      <c r="AX217" s="94">
        <f t="shared" si="1112"/>
        <v>0</v>
      </c>
      <c r="AY217" s="94">
        <f t="shared" si="1118"/>
        <v>0</v>
      </c>
      <c r="AZ217" s="433">
        <f t="shared" si="1069"/>
        <v>0</v>
      </c>
      <c r="BA217" s="1008">
        <v>0</v>
      </c>
      <c r="BB217" s="409">
        <v>0</v>
      </c>
      <c r="BC217" s="1035">
        <f>0</f>
        <v>0</v>
      </c>
      <c r="BD217" s="1030">
        <v>0</v>
      </c>
      <c r="BE217" s="389">
        <v>0</v>
      </c>
      <c r="BF217" s="516">
        <v>0</v>
      </c>
      <c r="BG217" s="207">
        <v>0</v>
      </c>
      <c r="BH217" s="207">
        <f>-0.120338+0.031975</f>
        <v>-8.8362999999999997E-2</v>
      </c>
      <c r="BI217" s="389">
        <v>0</v>
      </c>
      <c r="BJ217" s="516">
        <v>0</v>
      </c>
      <c r="BK217" s="516">
        <v>0</v>
      </c>
      <c r="BL217" s="516">
        <v>0</v>
      </c>
      <c r="BM217" s="516">
        <v>0</v>
      </c>
      <c r="BN217" s="409">
        <v>0</v>
      </c>
      <c r="BO217" s="207">
        <v>0</v>
      </c>
      <c r="BP217" s="389">
        <v>0</v>
      </c>
      <c r="BQ217" s="389">
        <v>0</v>
      </c>
      <c r="BR217" s="389">
        <v>0</v>
      </c>
      <c r="BS217" s="296">
        <v>0</v>
      </c>
      <c r="BT217" s="296">
        <v>0</v>
      </c>
      <c r="BU217" s="296">
        <v>0</v>
      </c>
      <c r="BV217" s="409">
        <v>0</v>
      </c>
      <c r="BW217" s="1011">
        <f t="shared" si="1117"/>
        <v>0</v>
      </c>
      <c r="BX217" s="449" t="s">
        <v>1906</v>
      </c>
    </row>
    <row r="218" spans="1:78" s="1" customFormat="1" ht="104.45" hidden="1" customHeight="1" outlineLevel="1" x14ac:dyDescent="0.25">
      <c r="A218" s="678">
        <v>108</v>
      </c>
      <c r="B218" s="702" t="s">
        <v>69</v>
      </c>
      <c r="C218" s="697" t="s">
        <v>1737</v>
      </c>
      <c r="D218" s="275">
        <v>44644</v>
      </c>
      <c r="E218" s="463" t="s">
        <v>2085</v>
      </c>
      <c r="F218" s="643" t="s">
        <v>1909</v>
      </c>
      <c r="G218" s="95" t="s">
        <v>24</v>
      </c>
      <c r="H218" s="311" t="s">
        <v>1798</v>
      </c>
      <c r="I218" s="335"/>
      <c r="J218" s="294">
        <f t="shared" si="1032"/>
        <v>0</v>
      </c>
      <c r="K218" s="52">
        <f t="shared" si="1045"/>
        <v>0</v>
      </c>
      <c r="L218" s="52">
        <f t="shared" si="1046"/>
        <v>0</v>
      </c>
      <c r="M218" s="52">
        <f t="shared" si="991"/>
        <v>0</v>
      </c>
      <c r="N218" s="52">
        <f t="shared" si="992"/>
        <v>0</v>
      </c>
      <c r="O218" s="52">
        <f t="shared" si="975"/>
        <v>8.0892740939280414E-5</v>
      </c>
      <c r="P218" s="52">
        <f t="shared" si="976"/>
        <v>8.3161184010126362E-5</v>
      </c>
      <c r="Q218" s="52">
        <f t="shared" si="977"/>
        <v>8.0892690227835971E-5</v>
      </c>
      <c r="R218" s="52">
        <f t="shared" si="978"/>
        <v>0</v>
      </c>
      <c r="S218" s="527">
        <f t="shared" si="1119"/>
        <v>0</v>
      </c>
      <c r="T218" s="533">
        <f t="shared" si="1120"/>
        <v>0</v>
      </c>
      <c r="U218" s="375">
        <f t="shared" si="1121"/>
        <v>0</v>
      </c>
      <c r="V218" s="375">
        <f t="shared" ref="V218" si="1125">BC218/V$8</f>
        <v>0</v>
      </c>
      <c r="W218" s="386">
        <f t="shared" si="1124"/>
        <v>0</v>
      </c>
      <c r="X218" s="386">
        <f>BE218/X$8</f>
        <v>0</v>
      </c>
      <c r="Y218" s="386">
        <f t="shared" si="1088"/>
        <v>0</v>
      </c>
      <c r="Z218" s="375">
        <f t="shared" si="993"/>
        <v>0</v>
      </c>
      <c r="AA218" s="375">
        <f t="shared" si="1123"/>
        <v>-8.0892740939280414E-5</v>
      </c>
      <c r="AB218" s="386">
        <f t="shared" si="1054"/>
        <v>0</v>
      </c>
      <c r="AC218" s="386">
        <f t="shared" si="979"/>
        <v>0</v>
      </c>
      <c r="AD218" s="386">
        <f t="shared" si="980"/>
        <v>0</v>
      </c>
      <c r="AE218" s="386">
        <f t="shared" si="981"/>
        <v>0</v>
      </c>
      <c r="AF218" s="386">
        <f t="shared" si="982"/>
        <v>0</v>
      </c>
      <c r="AG218" s="375">
        <f t="shared" si="983"/>
        <v>-8.1633908964808826E-5</v>
      </c>
      <c r="AH218" s="375">
        <f t="shared" si="984"/>
        <v>0</v>
      </c>
      <c r="AI218" s="386">
        <f t="shared" si="985"/>
        <v>0</v>
      </c>
      <c r="AJ218" s="386">
        <f t="shared" si="986"/>
        <v>0</v>
      </c>
      <c r="AK218" s="386">
        <f t="shared" si="987"/>
        <v>0</v>
      </c>
      <c r="AL218" s="377">
        <f t="shared" si="988"/>
        <v>0</v>
      </c>
      <c r="AM218" s="377">
        <f t="shared" si="989"/>
        <v>0</v>
      </c>
      <c r="AN218" s="377">
        <f t="shared" si="990"/>
        <v>0</v>
      </c>
      <c r="AO218" s="283"/>
      <c r="AP218" s="295">
        <f t="shared" si="1027"/>
        <v>3.190315</v>
      </c>
      <c r="AQ218" s="183">
        <f t="shared" si="1065"/>
        <v>0</v>
      </c>
      <c r="AR218" s="94">
        <f t="shared" si="1066"/>
        <v>0</v>
      </c>
      <c r="AS218" s="94">
        <f t="shared" si="1113"/>
        <v>0</v>
      </c>
      <c r="AT218" s="94">
        <f t="shared" si="970"/>
        <v>0</v>
      </c>
      <c r="AU218" s="94">
        <f t="shared" si="1058"/>
        <v>0</v>
      </c>
      <c r="AV218" s="94">
        <f t="shared" si="1111"/>
        <v>3.190315</v>
      </c>
      <c r="AW218" s="94">
        <f t="shared" si="1116"/>
        <v>3.190315</v>
      </c>
      <c r="AX218" s="94">
        <f t="shared" si="1112"/>
        <v>3.1903130000000002</v>
      </c>
      <c r="AY218" s="94">
        <f t="shared" si="1118"/>
        <v>0</v>
      </c>
      <c r="AZ218" s="433">
        <f t="shared" si="1069"/>
        <v>0</v>
      </c>
      <c r="BA218" s="1008">
        <v>0</v>
      </c>
      <c r="BB218" s="409">
        <v>0</v>
      </c>
      <c r="BC218" s="1035">
        <f>0</f>
        <v>0</v>
      </c>
      <c r="BD218" s="1030">
        <v>0</v>
      </c>
      <c r="BE218" s="389">
        <v>0</v>
      </c>
      <c r="BF218" s="516">
        <v>0</v>
      </c>
      <c r="BG218" s="207">
        <v>0</v>
      </c>
      <c r="BH218" s="207">
        <f>-3.190315</f>
        <v>-3.190315</v>
      </c>
      <c r="BI218" s="389">
        <v>0</v>
      </c>
      <c r="BJ218" s="516">
        <v>0</v>
      </c>
      <c r="BK218" s="516">
        <v>0</v>
      </c>
      <c r="BL218" s="516">
        <v>0</v>
      </c>
      <c r="BM218" s="516">
        <v>0</v>
      </c>
      <c r="BN218" s="713">
        <f>-3.190313</f>
        <v>-3.1903130000000002</v>
      </c>
      <c r="BO218" s="207">
        <v>0</v>
      </c>
      <c r="BP218" s="389">
        <v>0</v>
      </c>
      <c r="BQ218" s="389">
        <v>0</v>
      </c>
      <c r="BR218" s="389">
        <v>0</v>
      </c>
      <c r="BS218" s="296">
        <v>0</v>
      </c>
      <c r="BT218" s="296">
        <v>0</v>
      </c>
      <c r="BU218" s="296">
        <v>0</v>
      </c>
      <c r="BV218" s="713">
        <v>0</v>
      </c>
      <c r="BW218" s="1011">
        <f t="shared" si="1117"/>
        <v>0</v>
      </c>
      <c r="BX218" s="449" t="s">
        <v>2086</v>
      </c>
    </row>
    <row r="219" spans="1:78" s="1" customFormat="1" ht="83.45" hidden="1" customHeight="1" outlineLevel="1" x14ac:dyDescent="0.25">
      <c r="A219" s="678">
        <v>109</v>
      </c>
      <c r="B219" s="702" t="s">
        <v>69</v>
      </c>
      <c r="C219" s="697" t="s">
        <v>1737</v>
      </c>
      <c r="D219" s="275"/>
      <c r="E219" s="474" t="s">
        <v>1926</v>
      </c>
      <c r="F219" s="643" t="s">
        <v>1911</v>
      </c>
      <c r="G219" s="95" t="s">
        <v>24</v>
      </c>
      <c r="H219" s="311" t="s">
        <v>1798</v>
      </c>
      <c r="I219" s="335"/>
      <c r="J219" s="294">
        <f t="shared" ref="J219:J221" si="1126">AQ219/T$8</f>
        <v>0</v>
      </c>
      <c r="K219" s="52">
        <f t="shared" ref="K219:K250" si="1127">AR219/U$8</f>
        <v>0</v>
      </c>
      <c r="L219" s="52">
        <f t="shared" ref="L219:L250" si="1128">AS219/V$8</f>
        <v>0</v>
      </c>
      <c r="M219" s="52">
        <f t="shared" si="991"/>
        <v>0</v>
      </c>
      <c r="N219" s="52">
        <f t="shared" si="992"/>
        <v>0</v>
      </c>
      <c r="O219" s="52">
        <f t="shared" ref="O219:O251" si="1129">AV219/AA$8</f>
        <v>3.031877522204307E-5</v>
      </c>
      <c r="P219" s="52">
        <f t="shared" si="976"/>
        <v>3.1168992618194905E-5</v>
      </c>
      <c r="Q219" s="52">
        <f t="shared" si="977"/>
        <v>0</v>
      </c>
      <c r="R219" s="52">
        <f t="shared" ref="R219:R251" si="1130">AY219/AH$8</f>
        <v>0</v>
      </c>
      <c r="S219" s="527">
        <f t="shared" ref="S219:S250" si="1131">AZ219/AN$8</f>
        <v>0</v>
      </c>
      <c r="T219" s="533">
        <f t="shared" ref="T219:T250" si="1132">BA219/T$8</f>
        <v>0</v>
      </c>
      <c r="U219" s="375">
        <f t="shared" ref="U219:U250" si="1133">BB219/U$8</f>
        <v>0</v>
      </c>
      <c r="V219" s="375">
        <f t="shared" ref="V219:V235" si="1134">BC219/V$8</f>
        <v>0</v>
      </c>
      <c r="W219" s="386">
        <f t="shared" ref="W219:W250" si="1135">BD219/W$8</f>
        <v>0</v>
      </c>
      <c r="X219" s="386">
        <f>BE219/X$8</f>
        <v>0</v>
      </c>
      <c r="Y219" s="386">
        <f t="shared" ref="Y219:Y227" si="1136">BF219/Y$8</f>
        <v>0</v>
      </c>
      <c r="Z219" s="375">
        <f t="shared" ref="Z219:Z222" si="1137">BG219/Z$8</f>
        <v>0</v>
      </c>
      <c r="AA219" s="375">
        <f t="shared" ref="AA219:AA250" si="1138">BH219/AA$8</f>
        <v>-3.031877522204307E-5</v>
      </c>
      <c r="AB219" s="386">
        <f t="shared" ref="AB219:AB250" si="1139">BI219/AB$8</f>
        <v>0</v>
      </c>
      <c r="AC219" s="386">
        <f t="shared" si="979"/>
        <v>0</v>
      </c>
      <c r="AD219" s="386">
        <f t="shared" si="980"/>
        <v>0</v>
      </c>
      <c r="AE219" s="386">
        <f t="shared" ref="AE219:AE251" si="1140">BL219/AE$8</f>
        <v>0</v>
      </c>
      <c r="AF219" s="386">
        <f t="shared" si="982"/>
        <v>0</v>
      </c>
      <c r="AG219" s="375">
        <f t="shared" si="983"/>
        <v>0</v>
      </c>
      <c r="AH219" s="375">
        <f t="shared" ref="AH219:AH251" si="1141">BO219/AH$8</f>
        <v>0</v>
      </c>
      <c r="AI219" s="386">
        <f t="shared" si="985"/>
        <v>0</v>
      </c>
      <c r="AJ219" s="386">
        <f t="shared" si="986"/>
        <v>0</v>
      </c>
      <c r="AK219" s="386">
        <f t="shared" si="987"/>
        <v>0</v>
      </c>
      <c r="AL219" s="377">
        <f t="shared" si="988"/>
        <v>0</v>
      </c>
      <c r="AM219" s="377">
        <f t="shared" si="989"/>
        <v>0</v>
      </c>
      <c r="AN219" s="377">
        <f t="shared" si="990"/>
        <v>0</v>
      </c>
      <c r="AO219" s="283"/>
      <c r="AP219" s="295">
        <f t="shared" si="1027"/>
        <v>1.195737</v>
      </c>
      <c r="AQ219" s="183">
        <f t="shared" si="1065"/>
        <v>0</v>
      </c>
      <c r="AR219" s="94">
        <f t="shared" si="1066"/>
        <v>0</v>
      </c>
      <c r="AS219" s="94">
        <f t="shared" ref="AS219:AS244" si="1142">-BC219</f>
        <v>0</v>
      </c>
      <c r="AT219" s="94">
        <f t="shared" si="970"/>
        <v>0</v>
      </c>
      <c r="AU219" s="94">
        <f t="shared" si="1058"/>
        <v>0</v>
      </c>
      <c r="AV219" s="94">
        <f t="shared" si="1111"/>
        <v>1.195737</v>
      </c>
      <c r="AW219" s="94">
        <f t="shared" si="1116"/>
        <v>1.195737</v>
      </c>
      <c r="AX219" s="94">
        <f t="shared" si="1112"/>
        <v>0</v>
      </c>
      <c r="AY219" s="94">
        <f t="shared" ref="AY219:AY245" si="1143">-BO219</f>
        <v>0</v>
      </c>
      <c r="AZ219" s="433">
        <f t="shared" si="1069"/>
        <v>0</v>
      </c>
      <c r="BA219" s="1008">
        <v>0</v>
      </c>
      <c r="BB219" s="409">
        <v>0</v>
      </c>
      <c r="BC219" s="1035">
        <f>0</f>
        <v>0</v>
      </c>
      <c r="BD219" s="1030">
        <v>0</v>
      </c>
      <c r="BE219" s="389">
        <v>0</v>
      </c>
      <c r="BF219" s="516">
        <v>0</v>
      </c>
      <c r="BG219" s="207">
        <v>0</v>
      </c>
      <c r="BH219" s="207">
        <f>-1.195737</f>
        <v>-1.195737</v>
      </c>
      <c r="BI219" s="389">
        <v>0</v>
      </c>
      <c r="BJ219" s="516">
        <v>0</v>
      </c>
      <c r="BK219" s="516">
        <v>0</v>
      </c>
      <c r="BL219" s="516">
        <v>0</v>
      </c>
      <c r="BM219" s="516">
        <v>0</v>
      </c>
      <c r="BN219" s="409">
        <v>0</v>
      </c>
      <c r="BO219" s="207">
        <v>0</v>
      </c>
      <c r="BP219" s="389">
        <v>0</v>
      </c>
      <c r="BQ219" s="389">
        <v>0</v>
      </c>
      <c r="BR219" s="389">
        <v>0</v>
      </c>
      <c r="BS219" s="296">
        <v>0</v>
      </c>
      <c r="BT219" s="296">
        <v>0</v>
      </c>
      <c r="BU219" s="296">
        <v>0</v>
      </c>
      <c r="BV219" s="409">
        <v>0</v>
      </c>
      <c r="BW219" s="1011">
        <f t="shared" si="1117"/>
        <v>0</v>
      </c>
      <c r="BX219" s="449" t="s">
        <v>1910</v>
      </c>
    </row>
    <row r="220" spans="1:78" s="1" customFormat="1" ht="83.45" hidden="1" customHeight="1" outlineLevel="1" x14ac:dyDescent="0.25">
      <c r="A220" s="678">
        <v>110</v>
      </c>
      <c r="B220" s="702" t="s">
        <v>69</v>
      </c>
      <c r="C220" s="697" t="s">
        <v>1737</v>
      </c>
      <c r="D220" s="275">
        <v>44552</v>
      </c>
      <c r="E220" s="463" t="s">
        <v>1927</v>
      </c>
      <c r="F220" s="643" t="s">
        <v>1925</v>
      </c>
      <c r="G220" s="95" t="s">
        <v>24</v>
      </c>
      <c r="H220" s="311" t="s">
        <v>1798</v>
      </c>
      <c r="I220" s="335"/>
      <c r="J220" s="294">
        <f t="shared" si="1126"/>
        <v>0</v>
      </c>
      <c r="K220" s="52">
        <f t="shared" si="1127"/>
        <v>0</v>
      </c>
      <c r="L220" s="52">
        <f t="shared" si="1128"/>
        <v>0</v>
      </c>
      <c r="M220" s="52">
        <f t="shared" si="991"/>
        <v>0</v>
      </c>
      <c r="N220" s="52">
        <f t="shared" si="992"/>
        <v>0</v>
      </c>
      <c r="O220" s="52">
        <f t="shared" si="1129"/>
        <v>3.8605709848549292E-5</v>
      </c>
      <c r="P220" s="52">
        <f t="shared" ref="P220:P251" si="1144">AW220/AE$8</f>
        <v>3.9688314467754452E-5</v>
      </c>
      <c r="Q220" s="52">
        <f t="shared" ref="Q220:Q251" si="1145">AX220/AF$8</f>
        <v>0</v>
      </c>
      <c r="R220" s="52">
        <f t="shared" si="1130"/>
        <v>0</v>
      </c>
      <c r="S220" s="527">
        <f t="shared" si="1131"/>
        <v>0</v>
      </c>
      <c r="T220" s="533">
        <f t="shared" si="1132"/>
        <v>0</v>
      </c>
      <c r="U220" s="375">
        <f t="shared" si="1133"/>
        <v>0</v>
      </c>
      <c r="V220" s="375">
        <f t="shared" si="1134"/>
        <v>0</v>
      </c>
      <c r="W220" s="386">
        <f t="shared" si="1135"/>
        <v>0</v>
      </c>
      <c r="X220" s="386">
        <f>BE220/X$8</f>
        <v>0</v>
      </c>
      <c r="Y220" s="386">
        <f t="shared" si="1136"/>
        <v>0</v>
      </c>
      <c r="Z220" s="375">
        <f t="shared" si="1137"/>
        <v>0</v>
      </c>
      <c r="AA220" s="375">
        <f t="shared" si="1138"/>
        <v>-3.8605709848549292E-5</v>
      </c>
      <c r="AB220" s="386">
        <f t="shared" si="1139"/>
        <v>0</v>
      </c>
      <c r="AC220" s="386">
        <f t="shared" ref="AC220:AC256" si="1146">BJ220/AC$8</f>
        <v>0</v>
      </c>
      <c r="AD220" s="386">
        <f t="shared" ref="AD220:AD256" si="1147">BK220/AD$8</f>
        <v>0</v>
      </c>
      <c r="AE220" s="386">
        <f t="shared" si="1140"/>
        <v>0</v>
      </c>
      <c r="AF220" s="386">
        <f t="shared" ref="AF220:AF251" si="1148">BM220/AF$8</f>
        <v>0</v>
      </c>
      <c r="AG220" s="375">
        <f t="shared" ref="AG220:AG251" si="1149">BN220/AG$8</f>
        <v>0</v>
      </c>
      <c r="AH220" s="375">
        <f t="shared" si="1141"/>
        <v>0</v>
      </c>
      <c r="AI220" s="386">
        <f t="shared" ref="AI220:AI254" si="1150">BP220/AI$8</f>
        <v>0</v>
      </c>
      <c r="AJ220" s="386">
        <f t="shared" ref="AJ220:AJ254" si="1151">BQ220/AJ$8</f>
        <v>0</v>
      </c>
      <c r="AK220" s="386">
        <f t="shared" ref="AK220:AK254" si="1152">BR220/AK$8</f>
        <v>0</v>
      </c>
      <c r="AL220" s="377">
        <f t="shared" ref="AL220:AL251" si="1153">BS220/AL$8</f>
        <v>0</v>
      </c>
      <c r="AM220" s="377">
        <f t="shared" ref="AM220:AM251" si="1154">BT220/AM$8</f>
        <v>0</v>
      </c>
      <c r="AN220" s="377">
        <f t="shared" ref="AN220:AN251" si="1155">BU220/AN$8</f>
        <v>0</v>
      </c>
      <c r="AO220" s="283"/>
      <c r="AP220" s="295">
        <f t="shared" si="1027"/>
        <v>1.522564</v>
      </c>
      <c r="AQ220" s="183">
        <f t="shared" si="1065"/>
        <v>0</v>
      </c>
      <c r="AR220" s="94">
        <f t="shared" si="1066"/>
        <v>0</v>
      </c>
      <c r="AS220" s="94">
        <f t="shared" si="1142"/>
        <v>0</v>
      </c>
      <c r="AT220" s="94">
        <f t="shared" si="970"/>
        <v>0</v>
      </c>
      <c r="AU220" s="94">
        <f t="shared" si="1058"/>
        <v>0</v>
      </c>
      <c r="AV220" s="94">
        <f t="shared" si="1111"/>
        <v>1.522564</v>
      </c>
      <c r="AW220" s="94">
        <f t="shared" si="1116"/>
        <v>1.522564</v>
      </c>
      <c r="AX220" s="94">
        <f t="shared" si="1112"/>
        <v>0</v>
      </c>
      <c r="AY220" s="94">
        <f t="shared" si="1143"/>
        <v>0</v>
      </c>
      <c r="AZ220" s="433">
        <f t="shared" si="1069"/>
        <v>0</v>
      </c>
      <c r="BA220" s="1008">
        <v>0</v>
      </c>
      <c r="BB220" s="409">
        <v>0</v>
      </c>
      <c r="BC220" s="1035">
        <f>0</f>
        <v>0</v>
      </c>
      <c r="BD220" s="1030">
        <v>0</v>
      </c>
      <c r="BE220" s="389">
        <v>0</v>
      </c>
      <c r="BF220" s="516">
        <v>0</v>
      </c>
      <c r="BG220" s="207">
        <v>0</v>
      </c>
      <c r="BH220" s="207">
        <f>-7.760334+6.23777</f>
        <v>-1.522564</v>
      </c>
      <c r="BI220" s="389">
        <v>0</v>
      </c>
      <c r="BJ220" s="516">
        <v>0</v>
      </c>
      <c r="BK220" s="516">
        <v>0</v>
      </c>
      <c r="BL220" s="516">
        <v>0</v>
      </c>
      <c r="BM220" s="516">
        <v>0</v>
      </c>
      <c r="BN220" s="409">
        <v>0</v>
      </c>
      <c r="BO220" s="207">
        <v>0</v>
      </c>
      <c r="BP220" s="389">
        <v>0</v>
      </c>
      <c r="BQ220" s="389">
        <v>0</v>
      </c>
      <c r="BR220" s="389">
        <v>0</v>
      </c>
      <c r="BS220" s="296">
        <v>0</v>
      </c>
      <c r="BT220" s="296">
        <v>0</v>
      </c>
      <c r="BU220" s="296">
        <v>0</v>
      </c>
      <c r="BV220" s="409">
        <v>0</v>
      </c>
      <c r="BW220" s="1011">
        <f t="shared" si="1117"/>
        <v>0</v>
      </c>
      <c r="BX220" s="449" t="s">
        <v>1922</v>
      </c>
    </row>
    <row r="221" spans="1:78" s="1" customFormat="1" ht="135.6" hidden="1" customHeight="1" outlineLevel="1" x14ac:dyDescent="0.25">
      <c r="A221" s="678">
        <v>111</v>
      </c>
      <c r="B221" s="702" t="s">
        <v>69</v>
      </c>
      <c r="C221" s="697" t="s">
        <v>1737</v>
      </c>
      <c r="D221" s="275" t="s">
        <v>1986</v>
      </c>
      <c r="E221" s="463" t="s">
        <v>1929</v>
      </c>
      <c r="F221" s="643" t="s">
        <v>1928</v>
      </c>
      <c r="G221" s="95" t="s">
        <v>24</v>
      </c>
      <c r="H221" s="311" t="s">
        <v>1798</v>
      </c>
      <c r="I221" s="335"/>
      <c r="J221" s="294">
        <f t="shared" si="1126"/>
        <v>0</v>
      </c>
      <c r="K221" s="52">
        <f t="shared" si="1127"/>
        <v>0</v>
      </c>
      <c r="L221" s="52">
        <f t="shared" si="1128"/>
        <v>0</v>
      </c>
      <c r="M221" s="52">
        <f t="shared" ref="M221:M250" si="1156">AT221/Y$8</f>
        <v>0</v>
      </c>
      <c r="N221" s="52">
        <f t="shared" ref="N221:N250" si="1157">AU221/Z$8</f>
        <v>0</v>
      </c>
      <c r="O221" s="52">
        <f t="shared" si="1129"/>
        <v>1.5825901056755831E-3</v>
      </c>
      <c r="P221" s="52">
        <f t="shared" si="1144"/>
        <v>1.6269700527205705E-3</v>
      </c>
      <c r="Q221" s="52">
        <f t="shared" si="1145"/>
        <v>0</v>
      </c>
      <c r="R221" s="52">
        <f t="shared" si="1130"/>
        <v>0</v>
      </c>
      <c r="S221" s="527">
        <f t="shared" si="1131"/>
        <v>0</v>
      </c>
      <c r="T221" s="533">
        <f t="shared" si="1132"/>
        <v>0</v>
      </c>
      <c r="U221" s="375">
        <f t="shared" si="1133"/>
        <v>0</v>
      </c>
      <c r="V221" s="375">
        <f t="shared" si="1134"/>
        <v>0</v>
      </c>
      <c r="W221" s="386">
        <f t="shared" si="1135"/>
        <v>0</v>
      </c>
      <c r="X221" s="386">
        <f t="shared" ref="X221:X250" si="1158">BE221/X$8</f>
        <v>0</v>
      </c>
      <c r="Y221" s="386">
        <f t="shared" si="1136"/>
        <v>0</v>
      </c>
      <c r="Z221" s="375">
        <f t="shared" si="1137"/>
        <v>0</v>
      </c>
      <c r="AA221" s="375">
        <f t="shared" si="1138"/>
        <v>-1.5825901056755831E-3</v>
      </c>
      <c r="AB221" s="386">
        <f t="shared" si="1139"/>
        <v>0</v>
      </c>
      <c r="AC221" s="386">
        <f t="shared" si="1146"/>
        <v>0</v>
      </c>
      <c r="AD221" s="386">
        <f t="shared" si="1147"/>
        <v>0</v>
      </c>
      <c r="AE221" s="386">
        <f t="shared" si="1140"/>
        <v>0</v>
      </c>
      <c r="AF221" s="386">
        <f t="shared" si="1148"/>
        <v>0</v>
      </c>
      <c r="AG221" s="375">
        <f t="shared" si="1149"/>
        <v>0</v>
      </c>
      <c r="AH221" s="375">
        <f t="shared" si="1141"/>
        <v>0</v>
      </c>
      <c r="AI221" s="386">
        <f t="shared" si="1150"/>
        <v>0</v>
      </c>
      <c r="AJ221" s="386">
        <f t="shared" si="1151"/>
        <v>0</v>
      </c>
      <c r="AK221" s="386">
        <f t="shared" si="1152"/>
        <v>0</v>
      </c>
      <c r="AL221" s="377">
        <f t="shared" si="1153"/>
        <v>0</v>
      </c>
      <c r="AM221" s="377">
        <f t="shared" si="1154"/>
        <v>0</v>
      </c>
      <c r="AN221" s="377">
        <f t="shared" si="1155"/>
        <v>0</v>
      </c>
      <c r="AO221" s="283"/>
      <c r="AP221" s="295">
        <f t="shared" ref="AP221:AP235" si="1159">AR221+AU221+AZ221+AW221+AY221</f>
        <v>62.415501000000006</v>
      </c>
      <c r="AQ221" s="183">
        <f t="shared" si="1065"/>
        <v>0</v>
      </c>
      <c r="AR221" s="94">
        <f t="shared" si="1066"/>
        <v>0</v>
      </c>
      <c r="AS221" s="94">
        <f t="shared" si="1142"/>
        <v>0</v>
      </c>
      <c r="AT221" s="94">
        <f t="shared" ref="AT221:AT244" si="1160">-BC221</f>
        <v>0</v>
      </c>
      <c r="AU221" s="94">
        <f t="shared" ref="AU221:AU244" si="1161">-BG221</f>
        <v>0</v>
      </c>
      <c r="AV221" s="94">
        <f t="shared" si="1111"/>
        <v>62.415501000000006</v>
      </c>
      <c r="AW221" s="94">
        <f>-BH221</f>
        <v>62.415501000000006</v>
      </c>
      <c r="AX221" s="94">
        <f t="shared" si="1112"/>
        <v>0</v>
      </c>
      <c r="AY221" s="94">
        <f t="shared" si="1143"/>
        <v>0</v>
      </c>
      <c r="AZ221" s="433">
        <f t="shared" si="1069"/>
        <v>0</v>
      </c>
      <c r="BA221" s="1008">
        <v>0</v>
      </c>
      <c r="BB221" s="409">
        <v>0</v>
      </c>
      <c r="BC221" s="1035">
        <f>0</f>
        <v>0</v>
      </c>
      <c r="BD221" s="1030">
        <v>0</v>
      </c>
      <c r="BE221" s="389">
        <v>0</v>
      </c>
      <c r="BF221" s="516">
        <v>0</v>
      </c>
      <c r="BG221" s="207">
        <v>0</v>
      </c>
      <c r="BH221" s="207">
        <f>-124.831005+62.415504</f>
        <v>-62.415501000000006</v>
      </c>
      <c r="BI221" s="389">
        <v>0</v>
      </c>
      <c r="BJ221" s="516">
        <v>0</v>
      </c>
      <c r="BK221" s="516">
        <v>0</v>
      </c>
      <c r="BL221" s="516">
        <v>0</v>
      </c>
      <c r="BM221" s="516">
        <v>0</v>
      </c>
      <c r="BN221" s="409">
        <v>0</v>
      </c>
      <c r="BO221" s="207">
        <v>0</v>
      </c>
      <c r="BP221" s="389">
        <v>0</v>
      </c>
      <c r="BQ221" s="389">
        <v>0</v>
      </c>
      <c r="BR221" s="389">
        <v>0</v>
      </c>
      <c r="BS221" s="296">
        <v>0</v>
      </c>
      <c r="BT221" s="296">
        <v>0</v>
      </c>
      <c r="BU221" s="296">
        <v>0</v>
      </c>
      <c r="BV221" s="409">
        <v>0</v>
      </c>
      <c r="BW221" s="1011">
        <f t="shared" si="1117"/>
        <v>0</v>
      </c>
      <c r="BX221" s="449" t="s">
        <v>1987</v>
      </c>
    </row>
    <row r="222" spans="1:78" s="1" customFormat="1" ht="83.45" hidden="1" customHeight="1" outlineLevel="1" x14ac:dyDescent="0.25">
      <c r="A222" s="678">
        <v>112</v>
      </c>
      <c r="B222" s="702" t="s">
        <v>69</v>
      </c>
      <c r="C222" s="697" t="s">
        <v>1736</v>
      </c>
      <c r="D222" s="275">
        <v>44586</v>
      </c>
      <c r="E222" s="463" t="s">
        <v>1965</v>
      </c>
      <c r="F222" s="643" t="s">
        <v>1953</v>
      </c>
      <c r="G222" s="95" t="s">
        <v>24</v>
      </c>
      <c r="H222" s="311" t="s">
        <v>130</v>
      </c>
      <c r="I222" s="335"/>
      <c r="J222" s="294">
        <f t="shared" ref="J222:J225" si="1162">AQ222/T$8</f>
        <v>0</v>
      </c>
      <c r="K222" s="52">
        <f t="shared" si="1127"/>
        <v>0</v>
      </c>
      <c r="L222" s="52">
        <f t="shared" si="1128"/>
        <v>0</v>
      </c>
      <c r="M222" s="52">
        <f t="shared" si="1156"/>
        <v>0</v>
      </c>
      <c r="N222" s="52">
        <f t="shared" si="1157"/>
        <v>0</v>
      </c>
      <c r="O222" s="52">
        <f t="shared" si="1129"/>
        <v>1.2556719076722708E-3</v>
      </c>
      <c r="P222" s="52">
        <f t="shared" si="1144"/>
        <v>1.2908842172706459E-3</v>
      </c>
      <c r="Q222" s="52">
        <f t="shared" si="1145"/>
        <v>1.654758069377035E-3</v>
      </c>
      <c r="R222" s="52">
        <f t="shared" si="1130"/>
        <v>0</v>
      </c>
      <c r="S222" s="527">
        <f t="shared" si="1131"/>
        <v>0</v>
      </c>
      <c r="T222" s="533">
        <f t="shared" si="1132"/>
        <v>0</v>
      </c>
      <c r="U222" s="375">
        <f t="shared" si="1133"/>
        <v>0</v>
      </c>
      <c r="V222" s="375">
        <f t="shared" si="1134"/>
        <v>0</v>
      </c>
      <c r="W222" s="386">
        <f t="shared" si="1135"/>
        <v>0</v>
      </c>
      <c r="X222" s="386">
        <f t="shared" si="1158"/>
        <v>0</v>
      </c>
      <c r="Y222" s="386">
        <f t="shared" si="1136"/>
        <v>0</v>
      </c>
      <c r="Z222" s="375">
        <f t="shared" si="1137"/>
        <v>0</v>
      </c>
      <c r="AA222" s="375">
        <f t="shared" si="1138"/>
        <v>-1.2556719076722708E-3</v>
      </c>
      <c r="AB222" s="386">
        <f t="shared" si="1139"/>
        <v>0</v>
      </c>
      <c r="AC222" s="386">
        <f t="shared" si="1146"/>
        <v>0</v>
      </c>
      <c r="AD222" s="386">
        <f t="shared" si="1147"/>
        <v>-1.4556041835931657E-3</v>
      </c>
      <c r="AE222" s="386">
        <f t="shared" si="1140"/>
        <v>-1.2908842172706459E-3</v>
      </c>
      <c r="AF222" s="386">
        <f t="shared" si="1148"/>
        <v>-1.2556719076722708E-3</v>
      </c>
      <c r="AG222" s="375">
        <f t="shared" si="1149"/>
        <v>-1.6699205974463169E-3</v>
      </c>
      <c r="AH222" s="375">
        <f t="shared" si="1141"/>
        <v>0</v>
      </c>
      <c r="AI222" s="386">
        <f t="shared" si="1150"/>
        <v>0</v>
      </c>
      <c r="AJ222" s="386">
        <f t="shared" si="1151"/>
        <v>0</v>
      </c>
      <c r="AK222" s="386">
        <f t="shared" si="1152"/>
        <v>0</v>
      </c>
      <c r="AL222" s="377">
        <f t="shared" si="1153"/>
        <v>0</v>
      </c>
      <c r="AM222" s="377">
        <f t="shared" si="1154"/>
        <v>0</v>
      </c>
      <c r="AN222" s="377">
        <f t="shared" si="1155"/>
        <v>0</v>
      </c>
      <c r="AO222" s="283"/>
      <c r="AP222" s="295">
        <f t="shared" si="1159"/>
        <v>49.52223</v>
      </c>
      <c r="AQ222" s="183">
        <f t="shared" si="1065"/>
        <v>0</v>
      </c>
      <c r="AR222" s="94">
        <f t="shared" si="1066"/>
        <v>0</v>
      </c>
      <c r="AS222" s="94">
        <f t="shared" si="1142"/>
        <v>0</v>
      </c>
      <c r="AT222" s="94">
        <f t="shared" si="1160"/>
        <v>0</v>
      </c>
      <c r="AU222" s="94">
        <f t="shared" si="1161"/>
        <v>0</v>
      </c>
      <c r="AV222" s="94">
        <f t="shared" si="1111"/>
        <v>49.52223</v>
      </c>
      <c r="AW222" s="94">
        <f t="shared" si="1116"/>
        <v>49.52223</v>
      </c>
      <c r="AX222" s="94">
        <f t="shared" si="1112"/>
        <v>65.261720999999994</v>
      </c>
      <c r="AY222" s="94">
        <f t="shared" si="1143"/>
        <v>0</v>
      </c>
      <c r="AZ222" s="433">
        <f t="shared" si="1069"/>
        <v>0</v>
      </c>
      <c r="BA222" s="1008">
        <v>0</v>
      </c>
      <c r="BB222" s="409">
        <v>0</v>
      </c>
      <c r="BC222" s="1035">
        <f>0</f>
        <v>0</v>
      </c>
      <c r="BD222" s="1030">
        <v>0</v>
      </c>
      <c r="BE222" s="389">
        <v>0</v>
      </c>
      <c r="BF222" s="516">
        <v>0</v>
      </c>
      <c r="BG222" s="207">
        <v>0</v>
      </c>
      <c r="BH222" s="207">
        <v>-49.52223</v>
      </c>
      <c r="BI222" s="389">
        <v>0</v>
      </c>
      <c r="BJ222" s="516">
        <v>0</v>
      </c>
      <c r="BK222" s="516">
        <v>-49.52223</v>
      </c>
      <c r="BL222" s="516">
        <v>-49.52223</v>
      </c>
      <c r="BM222" s="516">
        <v>-49.52223</v>
      </c>
      <c r="BN222" s="713">
        <f>-0.007539-0.000737-0.029909-0.029787-0.02837-0.065789-0.065784-0.061923-0.012524-6.164709-58.79465</f>
        <v>-65.261720999999994</v>
      </c>
      <c r="BO222" s="207">
        <v>0</v>
      </c>
      <c r="BP222" s="389">
        <v>0</v>
      </c>
      <c r="BQ222" s="389">
        <v>0</v>
      </c>
      <c r="BR222" s="389">
        <v>0</v>
      </c>
      <c r="BS222" s="296">
        <v>0</v>
      </c>
      <c r="BT222" s="296">
        <v>0</v>
      </c>
      <c r="BU222" s="296">
        <v>0</v>
      </c>
      <c r="BV222" s="713">
        <v>0</v>
      </c>
      <c r="BW222" s="1011">
        <f>-BV222</f>
        <v>0</v>
      </c>
      <c r="BX222" s="449" t="s">
        <v>1952</v>
      </c>
    </row>
    <row r="223" spans="1:78" s="1" customFormat="1" ht="83.45" hidden="1" customHeight="1" outlineLevel="1" x14ac:dyDescent="0.25">
      <c r="A223" s="678">
        <v>113</v>
      </c>
      <c r="B223" s="702" t="s">
        <v>69</v>
      </c>
      <c r="C223" s="697" t="s">
        <v>1740</v>
      </c>
      <c r="D223" s="275">
        <v>44593</v>
      </c>
      <c r="E223" s="463" t="s">
        <v>1963</v>
      </c>
      <c r="F223" s="643" t="s">
        <v>1964</v>
      </c>
      <c r="G223" s="95" t="s">
        <v>24</v>
      </c>
      <c r="H223" s="311" t="s">
        <v>129</v>
      </c>
      <c r="I223" s="335"/>
      <c r="J223" s="294">
        <f t="shared" si="1162"/>
        <v>0</v>
      </c>
      <c r="K223" s="52">
        <f t="shared" si="1127"/>
        <v>0</v>
      </c>
      <c r="L223" s="52">
        <f t="shared" si="1128"/>
        <v>0</v>
      </c>
      <c r="M223" s="52">
        <f t="shared" si="1156"/>
        <v>0</v>
      </c>
      <c r="N223" s="52">
        <f t="shared" si="1157"/>
        <v>0</v>
      </c>
      <c r="O223" s="52">
        <f t="shared" si="1129"/>
        <v>1.1316765941927248E-5</v>
      </c>
      <c r="P223" s="52">
        <f t="shared" si="1144"/>
        <v>1.1634117523629987E-5</v>
      </c>
      <c r="Q223" s="52">
        <f t="shared" si="1145"/>
        <v>0</v>
      </c>
      <c r="R223" s="52">
        <f t="shared" si="1130"/>
        <v>0</v>
      </c>
      <c r="S223" s="527">
        <f t="shared" si="1131"/>
        <v>0</v>
      </c>
      <c r="T223" s="533">
        <f t="shared" si="1132"/>
        <v>0</v>
      </c>
      <c r="U223" s="375">
        <f t="shared" si="1133"/>
        <v>0</v>
      </c>
      <c r="V223" s="375">
        <f t="shared" si="1134"/>
        <v>0</v>
      </c>
      <c r="W223" s="386">
        <f t="shared" si="1135"/>
        <v>0</v>
      </c>
      <c r="X223" s="386">
        <f t="shared" si="1158"/>
        <v>0</v>
      </c>
      <c r="Y223" s="386">
        <f t="shared" si="1136"/>
        <v>0</v>
      </c>
      <c r="Z223" s="375">
        <f t="shared" ref="Z223:Z227" si="1163">BG223/Z$8</f>
        <v>0</v>
      </c>
      <c r="AA223" s="375">
        <f t="shared" si="1138"/>
        <v>-1.1316765941927248E-5</v>
      </c>
      <c r="AB223" s="386">
        <f t="shared" si="1139"/>
        <v>0</v>
      </c>
      <c r="AC223" s="386">
        <f t="shared" si="1146"/>
        <v>0</v>
      </c>
      <c r="AD223" s="386">
        <f t="shared" si="1147"/>
        <v>-1.311865922074393E-5</v>
      </c>
      <c r="AE223" s="386">
        <f t="shared" si="1140"/>
        <v>-1.1634117523629987E-5</v>
      </c>
      <c r="AF223" s="386">
        <f t="shared" si="1148"/>
        <v>-1.1316765941927248E-5</v>
      </c>
      <c r="AG223" s="375">
        <f t="shared" si="1149"/>
        <v>0</v>
      </c>
      <c r="AH223" s="375">
        <f t="shared" si="1141"/>
        <v>0</v>
      </c>
      <c r="AI223" s="386">
        <f t="shared" si="1150"/>
        <v>0</v>
      </c>
      <c r="AJ223" s="386">
        <f t="shared" si="1151"/>
        <v>0</v>
      </c>
      <c r="AK223" s="386">
        <f t="shared" si="1152"/>
        <v>0</v>
      </c>
      <c r="AL223" s="377">
        <f t="shared" si="1153"/>
        <v>0</v>
      </c>
      <c r="AM223" s="377">
        <f t="shared" si="1154"/>
        <v>0</v>
      </c>
      <c r="AN223" s="377">
        <f t="shared" si="1155"/>
        <v>0</v>
      </c>
      <c r="AO223" s="283"/>
      <c r="AP223" s="295">
        <f t="shared" si="1159"/>
        <v>0.44631999999999999</v>
      </c>
      <c r="AQ223" s="183">
        <f t="shared" si="1065"/>
        <v>0</v>
      </c>
      <c r="AR223" s="94">
        <f t="shared" si="1066"/>
        <v>0</v>
      </c>
      <c r="AS223" s="94">
        <f t="shared" si="1142"/>
        <v>0</v>
      </c>
      <c r="AT223" s="94">
        <f t="shared" si="1160"/>
        <v>0</v>
      </c>
      <c r="AU223" s="94">
        <f t="shared" si="1161"/>
        <v>0</v>
      </c>
      <c r="AV223" s="94">
        <f t="shared" si="1111"/>
        <v>0.44631999999999999</v>
      </c>
      <c r="AW223" s="94">
        <f t="shared" si="1116"/>
        <v>0.44631999999999999</v>
      </c>
      <c r="AX223" s="94">
        <f t="shared" si="1112"/>
        <v>0</v>
      </c>
      <c r="AY223" s="94">
        <f t="shared" si="1143"/>
        <v>0</v>
      </c>
      <c r="AZ223" s="433">
        <f t="shared" si="1069"/>
        <v>0</v>
      </c>
      <c r="BA223" s="1008">
        <v>0</v>
      </c>
      <c r="BB223" s="409">
        <v>0</v>
      </c>
      <c r="BC223" s="1035">
        <f>0</f>
        <v>0</v>
      </c>
      <c r="BD223" s="1030">
        <v>0</v>
      </c>
      <c r="BE223" s="389">
        <v>0</v>
      </c>
      <c r="BF223" s="516">
        <v>0</v>
      </c>
      <c r="BG223" s="207">
        <v>0</v>
      </c>
      <c r="BH223" s="207">
        <v>-0.44631999999999999</v>
      </c>
      <c r="BI223" s="389">
        <v>0</v>
      </c>
      <c r="BJ223" s="516">
        <v>0</v>
      </c>
      <c r="BK223" s="516">
        <v>-0.44631999999999999</v>
      </c>
      <c r="BL223" s="516">
        <v>-0.44631999999999999</v>
      </c>
      <c r="BM223" s="516">
        <v>-0.44631999999999999</v>
      </c>
      <c r="BN223" s="409">
        <v>0</v>
      </c>
      <c r="BO223" s="207">
        <v>0</v>
      </c>
      <c r="BP223" s="389">
        <v>0</v>
      </c>
      <c r="BQ223" s="389">
        <v>0</v>
      </c>
      <c r="BR223" s="389">
        <v>0</v>
      </c>
      <c r="BS223" s="296">
        <v>0</v>
      </c>
      <c r="BT223" s="296">
        <v>0</v>
      </c>
      <c r="BU223" s="296">
        <v>0</v>
      </c>
      <c r="BV223" s="409">
        <v>0</v>
      </c>
      <c r="BW223" s="1011">
        <f t="shared" ref="BW223:BW226" si="1164">-BV223</f>
        <v>0</v>
      </c>
      <c r="BX223" s="449" t="s">
        <v>1962</v>
      </c>
    </row>
    <row r="224" spans="1:78" s="1" customFormat="1" ht="83.45" hidden="1" customHeight="1" outlineLevel="1" x14ac:dyDescent="0.25">
      <c r="A224" s="678">
        <v>114</v>
      </c>
      <c r="B224" s="702" t="s">
        <v>69</v>
      </c>
      <c r="C224" s="697" t="s">
        <v>1737</v>
      </c>
      <c r="D224" s="275">
        <v>44593</v>
      </c>
      <c r="E224" s="463" t="s">
        <v>1968</v>
      </c>
      <c r="F224" s="643" t="s">
        <v>1967</v>
      </c>
      <c r="G224" s="95" t="s">
        <v>24</v>
      </c>
      <c r="H224" s="311" t="s">
        <v>129</v>
      </c>
      <c r="I224" s="335"/>
      <c r="J224" s="294">
        <f t="shared" si="1162"/>
        <v>0</v>
      </c>
      <c r="K224" s="52">
        <f t="shared" si="1127"/>
        <v>0</v>
      </c>
      <c r="L224" s="52">
        <f t="shared" si="1128"/>
        <v>0</v>
      </c>
      <c r="M224" s="52">
        <f t="shared" si="1156"/>
        <v>0</v>
      </c>
      <c r="N224" s="52">
        <f t="shared" si="1157"/>
        <v>0</v>
      </c>
      <c r="O224" s="52">
        <f t="shared" si="1129"/>
        <v>1.8358785318799254E-5</v>
      </c>
      <c r="P224" s="52">
        <f t="shared" si="1144"/>
        <v>1.8873613458654708E-5</v>
      </c>
      <c r="Q224" s="52">
        <f t="shared" si="1145"/>
        <v>6.7001481741586925E-6</v>
      </c>
      <c r="R224" s="52">
        <f t="shared" si="1130"/>
        <v>0</v>
      </c>
      <c r="S224" s="527">
        <f t="shared" si="1131"/>
        <v>0</v>
      </c>
      <c r="T224" s="533">
        <f t="shared" si="1132"/>
        <v>0</v>
      </c>
      <c r="U224" s="375">
        <f t="shared" si="1133"/>
        <v>0</v>
      </c>
      <c r="V224" s="375">
        <f t="shared" si="1134"/>
        <v>0</v>
      </c>
      <c r="W224" s="386">
        <f t="shared" si="1135"/>
        <v>0</v>
      </c>
      <c r="X224" s="386">
        <f t="shared" si="1158"/>
        <v>0</v>
      </c>
      <c r="Y224" s="386">
        <f t="shared" si="1136"/>
        <v>0</v>
      </c>
      <c r="Z224" s="375">
        <f t="shared" si="1163"/>
        <v>0</v>
      </c>
      <c r="AA224" s="375">
        <f t="shared" si="1138"/>
        <v>-1.8358785318799254E-5</v>
      </c>
      <c r="AB224" s="386">
        <f t="shared" si="1139"/>
        <v>0</v>
      </c>
      <c r="AC224" s="386">
        <f t="shared" si="1146"/>
        <v>0</v>
      </c>
      <c r="AD224" s="386">
        <f t="shared" si="1147"/>
        <v>-2.1281932447841062E-5</v>
      </c>
      <c r="AE224" s="386">
        <f t="shared" si="1140"/>
        <v>-1.8873613458654708E-5</v>
      </c>
      <c r="AF224" s="386">
        <f t="shared" si="1148"/>
        <v>-1.8358785318799254E-5</v>
      </c>
      <c r="AG224" s="375">
        <f t="shared" si="1149"/>
        <v>-6.7615415504105303E-6</v>
      </c>
      <c r="AH224" s="375">
        <f t="shared" si="1141"/>
        <v>0</v>
      </c>
      <c r="AI224" s="386">
        <f t="shared" si="1150"/>
        <v>0</v>
      </c>
      <c r="AJ224" s="386">
        <f t="shared" si="1151"/>
        <v>0</v>
      </c>
      <c r="AK224" s="386">
        <f t="shared" si="1152"/>
        <v>0</v>
      </c>
      <c r="AL224" s="377">
        <f t="shared" si="1153"/>
        <v>0</v>
      </c>
      <c r="AM224" s="377">
        <f t="shared" si="1154"/>
        <v>0</v>
      </c>
      <c r="AN224" s="377">
        <f t="shared" si="1155"/>
        <v>0</v>
      </c>
      <c r="AO224" s="283"/>
      <c r="AP224" s="295">
        <f t="shared" si="1159"/>
        <v>0.72404900000000005</v>
      </c>
      <c r="AQ224" s="183">
        <f t="shared" si="1065"/>
        <v>0</v>
      </c>
      <c r="AR224" s="94">
        <f t="shared" si="1066"/>
        <v>0</v>
      </c>
      <c r="AS224" s="94">
        <f t="shared" si="1142"/>
        <v>0</v>
      </c>
      <c r="AT224" s="94">
        <f t="shared" si="1160"/>
        <v>0</v>
      </c>
      <c r="AU224" s="94">
        <f t="shared" si="1161"/>
        <v>0</v>
      </c>
      <c r="AV224" s="94">
        <f t="shared" si="1111"/>
        <v>0.72404900000000005</v>
      </c>
      <c r="AW224" s="94">
        <f>-BH224</f>
        <v>0.72404900000000005</v>
      </c>
      <c r="AX224" s="94">
        <f t="shared" si="1112"/>
        <v>0.26424599999999998</v>
      </c>
      <c r="AY224" s="94">
        <f t="shared" si="1143"/>
        <v>0</v>
      </c>
      <c r="AZ224" s="433">
        <f t="shared" si="1069"/>
        <v>0</v>
      </c>
      <c r="BA224" s="1008">
        <v>0</v>
      </c>
      <c r="BB224" s="409">
        <v>0</v>
      </c>
      <c r="BC224" s="1035">
        <f>0</f>
        <v>0</v>
      </c>
      <c r="BD224" s="1030">
        <v>0</v>
      </c>
      <c r="BE224" s="389">
        <v>0</v>
      </c>
      <c r="BF224" s="516">
        <v>0</v>
      </c>
      <c r="BG224" s="207">
        <v>0</v>
      </c>
      <c r="BH224" s="207">
        <v>-0.72404900000000005</v>
      </c>
      <c r="BI224" s="389">
        <v>0</v>
      </c>
      <c r="BJ224" s="516">
        <v>0</v>
      </c>
      <c r="BK224" s="516">
        <v>-0.72404900000000005</v>
      </c>
      <c r="BL224" s="516">
        <v>-0.72404900000000005</v>
      </c>
      <c r="BM224" s="516">
        <v>-0.72404900000000005</v>
      </c>
      <c r="BN224" s="713">
        <f>-0.034265-0.229981</f>
        <v>-0.26424599999999998</v>
      </c>
      <c r="BO224" s="207">
        <v>0</v>
      </c>
      <c r="BP224" s="389">
        <v>0</v>
      </c>
      <c r="BQ224" s="389">
        <v>0</v>
      </c>
      <c r="BR224" s="389">
        <v>0</v>
      </c>
      <c r="BS224" s="296">
        <v>0</v>
      </c>
      <c r="BT224" s="296">
        <v>0</v>
      </c>
      <c r="BU224" s="296">
        <v>0</v>
      </c>
      <c r="BV224" s="713">
        <v>0</v>
      </c>
      <c r="BW224" s="1011">
        <f t="shared" si="1164"/>
        <v>0</v>
      </c>
      <c r="BX224" s="449" t="s">
        <v>1966</v>
      </c>
    </row>
    <row r="225" spans="1:76" s="1" customFormat="1" ht="83.45" hidden="1" customHeight="1" outlineLevel="1" x14ac:dyDescent="0.25">
      <c r="A225" s="678">
        <v>115</v>
      </c>
      <c r="B225" s="702" t="s">
        <v>69</v>
      </c>
      <c r="C225" s="697" t="s">
        <v>1737</v>
      </c>
      <c r="D225" s="671">
        <v>44600</v>
      </c>
      <c r="E225" s="672" t="s">
        <v>1974</v>
      </c>
      <c r="F225" s="643" t="s">
        <v>1970</v>
      </c>
      <c r="G225" s="95" t="s">
        <v>24</v>
      </c>
      <c r="H225" s="311" t="s">
        <v>129</v>
      </c>
      <c r="I225" s="335"/>
      <c r="J225" s="294">
        <f t="shared" si="1162"/>
        <v>0</v>
      </c>
      <c r="K225" s="52">
        <f t="shared" si="1127"/>
        <v>0</v>
      </c>
      <c r="L225" s="52">
        <f t="shared" si="1128"/>
        <v>0</v>
      </c>
      <c r="M225" s="52">
        <f t="shared" si="1156"/>
        <v>0</v>
      </c>
      <c r="N225" s="52">
        <f t="shared" si="1157"/>
        <v>0</v>
      </c>
      <c r="O225" s="52">
        <f t="shared" si="1129"/>
        <v>1.5825901817427496E-3</v>
      </c>
      <c r="P225" s="52">
        <f t="shared" si="1144"/>
        <v>1.6269701309208583E-3</v>
      </c>
      <c r="Q225" s="52">
        <f t="shared" si="1145"/>
        <v>1.9626588418211206E-3</v>
      </c>
      <c r="R225" s="52">
        <f t="shared" si="1130"/>
        <v>0</v>
      </c>
      <c r="S225" s="527">
        <f t="shared" si="1131"/>
        <v>0</v>
      </c>
      <c r="T225" s="533">
        <f t="shared" si="1132"/>
        <v>0</v>
      </c>
      <c r="U225" s="375">
        <f t="shared" si="1133"/>
        <v>0</v>
      </c>
      <c r="V225" s="375">
        <f t="shared" si="1134"/>
        <v>0</v>
      </c>
      <c r="W225" s="386">
        <f t="shared" si="1135"/>
        <v>0</v>
      </c>
      <c r="X225" s="386">
        <f t="shared" si="1158"/>
        <v>0</v>
      </c>
      <c r="Y225" s="386">
        <f t="shared" si="1136"/>
        <v>0</v>
      </c>
      <c r="Z225" s="375">
        <f t="shared" si="1163"/>
        <v>0</v>
      </c>
      <c r="AA225" s="375">
        <f t="shared" si="1138"/>
        <v>-1.5825901817427496E-3</v>
      </c>
      <c r="AB225" s="386">
        <f t="shared" si="1139"/>
        <v>0</v>
      </c>
      <c r="AC225" s="386">
        <f t="shared" si="1146"/>
        <v>0</v>
      </c>
      <c r="AD225" s="386">
        <f t="shared" si="1147"/>
        <v>-1.8345754773861347E-3</v>
      </c>
      <c r="AE225" s="386">
        <f t="shared" si="1140"/>
        <v>-1.6269701309208583E-3</v>
      </c>
      <c r="AF225" s="386">
        <f t="shared" si="1148"/>
        <v>-1.5825901817427496E-3</v>
      </c>
      <c r="AG225" s="375">
        <f t="shared" si="1149"/>
        <v>-1.9806426609245021E-3</v>
      </c>
      <c r="AH225" s="375">
        <f t="shared" si="1141"/>
        <v>0</v>
      </c>
      <c r="AI225" s="386">
        <f t="shared" si="1150"/>
        <v>0</v>
      </c>
      <c r="AJ225" s="386">
        <f t="shared" si="1151"/>
        <v>0</v>
      </c>
      <c r="AK225" s="386">
        <f t="shared" si="1152"/>
        <v>0</v>
      </c>
      <c r="AL225" s="377">
        <f t="shared" si="1153"/>
        <v>0</v>
      </c>
      <c r="AM225" s="377">
        <f t="shared" si="1154"/>
        <v>0</v>
      </c>
      <c r="AN225" s="377">
        <f t="shared" si="1155"/>
        <v>0</v>
      </c>
      <c r="AO225" s="283"/>
      <c r="AP225" s="295">
        <f t="shared" si="1159"/>
        <v>62.415503999999999</v>
      </c>
      <c r="AQ225" s="183">
        <f t="shared" si="1065"/>
        <v>0</v>
      </c>
      <c r="AR225" s="94">
        <f t="shared" si="1066"/>
        <v>0</v>
      </c>
      <c r="AS225" s="94">
        <f t="shared" si="1142"/>
        <v>0</v>
      </c>
      <c r="AT225" s="94">
        <f t="shared" si="1160"/>
        <v>0</v>
      </c>
      <c r="AU225" s="94">
        <f t="shared" si="1161"/>
        <v>0</v>
      </c>
      <c r="AV225" s="94">
        <f t="shared" si="1111"/>
        <v>62.415503999999999</v>
      </c>
      <c r="AW225" s="94">
        <f t="shared" ref="AW225:AW230" si="1165">-BH225</f>
        <v>62.415503999999999</v>
      </c>
      <c r="AX225" s="94">
        <f t="shared" si="1112"/>
        <v>77.404966999999999</v>
      </c>
      <c r="AY225" s="94">
        <f t="shared" si="1143"/>
        <v>0</v>
      </c>
      <c r="AZ225" s="433">
        <f t="shared" si="1069"/>
        <v>0</v>
      </c>
      <c r="BA225" s="1008">
        <v>0</v>
      </c>
      <c r="BB225" s="409">
        <v>0</v>
      </c>
      <c r="BC225" s="1035">
        <f>0</f>
        <v>0</v>
      </c>
      <c r="BD225" s="1030">
        <v>0</v>
      </c>
      <c r="BE225" s="389">
        <v>0</v>
      </c>
      <c r="BF225" s="516">
        <v>0</v>
      </c>
      <c r="BG225" s="207">
        <v>0</v>
      </c>
      <c r="BH225" s="207">
        <v>-62.415503999999999</v>
      </c>
      <c r="BI225" s="389">
        <v>0</v>
      </c>
      <c r="BJ225" s="516">
        <v>0</v>
      </c>
      <c r="BK225" s="516">
        <v>-62.415503999999999</v>
      </c>
      <c r="BL225" s="516">
        <v>-62.415503999999999</v>
      </c>
      <c r="BM225" s="516">
        <v>-62.415503999999999</v>
      </c>
      <c r="BN225" s="713">
        <f>-0.225149-77.179818</f>
        <v>-77.404966999999999</v>
      </c>
      <c r="BO225" s="207">
        <v>0</v>
      </c>
      <c r="BP225" s="389">
        <v>0</v>
      </c>
      <c r="BQ225" s="389">
        <v>0</v>
      </c>
      <c r="BR225" s="389">
        <v>0</v>
      </c>
      <c r="BS225" s="296">
        <v>0</v>
      </c>
      <c r="BT225" s="296">
        <v>0</v>
      </c>
      <c r="BU225" s="296">
        <v>0</v>
      </c>
      <c r="BV225" s="713">
        <v>0</v>
      </c>
      <c r="BW225" s="1011">
        <f t="shared" si="1164"/>
        <v>0</v>
      </c>
      <c r="BX225" s="449" t="s">
        <v>1969</v>
      </c>
    </row>
    <row r="226" spans="1:76" s="1" customFormat="1" ht="83.45" hidden="1" customHeight="1" outlineLevel="1" x14ac:dyDescent="0.25">
      <c r="A226" s="678">
        <v>116</v>
      </c>
      <c r="B226" s="702" t="s">
        <v>69</v>
      </c>
      <c r="C226" s="697" t="s">
        <v>1737</v>
      </c>
      <c r="D226" s="671">
        <v>44601</v>
      </c>
      <c r="E226" s="672" t="s">
        <v>1975</v>
      </c>
      <c r="F226" s="643" t="s">
        <v>1570</v>
      </c>
      <c r="G226" s="95" t="s">
        <v>24</v>
      </c>
      <c r="H226" s="311" t="s">
        <v>129</v>
      </c>
      <c r="I226" s="335"/>
      <c r="J226" s="294"/>
      <c r="K226" s="52">
        <f t="shared" si="1127"/>
        <v>0</v>
      </c>
      <c r="L226" s="52">
        <f t="shared" si="1128"/>
        <v>0</v>
      </c>
      <c r="M226" s="52">
        <f t="shared" si="1156"/>
        <v>0</v>
      </c>
      <c r="N226" s="52">
        <f t="shared" si="1157"/>
        <v>0</v>
      </c>
      <c r="O226" s="52">
        <f t="shared" si="1129"/>
        <v>2.1397572275308938E-4</v>
      </c>
      <c r="P226" s="52">
        <f t="shared" si="1144"/>
        <v>2.1997615913307118E-4</v>
      </c>
      <c r="Q226" s="52">
        <f t="shared" si="1145"/>
        <v>1.1471068189506559E-4</v>
      </c>
      <c r="R226" s="52">
        <f t="shared" si="1130"/>
        <v>0</v>
      </c>
      <c r="S226" s="527">
        <f t="shared" si="1131"/>
        <v>0</v>
      </c>
      <c r="T226" s="533">
        <f t="shared" si="1132"/>
        <v>0</v>
      </c>
      <c r="U226" s="375">
        <f t="shared" si="1133"/>
        <v>0</v>
      </c>
      <c r="V226" s="375">
        <f t="shared" si="1134"/>
        <v>0</v>
      </c>
      <c r="W226" s="386">
        <f t="shared" si="1135"/>
        <v>0</v>
      </c>
      <c r="X226" s="386">
        <f t="shared" si="1158"/>
        <v>0</v>
      </c>
      <c r="Y226" s="386">
        <f t="shared" si="1136"/>
        <v>0</v>
      </c>
      <c r="Z226" s="375">
        <f t="shared" si="1163"/>
        <v>0</v>
      </c>
      <c r="AA226" s="375">
        <f t="shared" si="1138"/>
        <v>-2.1397572275308938E-4</v>
      </c>
      <c r="AB226" s="386">
        <f t="shared" si="1139"/>
        <v>0</v>
      </c>
      <c r="AC226" s="386">
        <f t="shared" si="1146"/>
        <v>0</v>
      </c>
      <c r="AD226" s="386">
        <f t="shared" si="1147"/>
        <v>-2.4804565215140581E-4</v>
      </c>
      <c r="AE226" s="386">
        <f t="shared" si="1140"/>
        <v>-2.1997615913307118E-4</v>
      </c>
      <c r="AF226" s="386">
        <f t="shared" si="1148"/>
        <v>-2.1397572275308938E-4</v>
      </c>
      <c r="AG226" s="375">
        <f t="shared" si="1149"/>
        <v>-1.157617744784879E-4</v>
      </c>
      <c r="AH226" s="375">
        <f t="shared" si="1141"/>
        <v>0</v>
      </c>
      <c r="AI226" s="386">
        <f t="shared" si="1150"/>
        <v>0</v>
      </c>
      <c r="AJ226" s="386">
        <f t="shared" si="1151"/>
        <v>0</v>
      </c>
      <c r="AK226" s="386">
        <f t="shared" si="1152"/>
        <v>0</v>
      </c>
      <c r="AL226" s="377">
        <f t="shared" si="1153"/>
        <v>0</v>
      </c>
      <c r="AM226" s="377">
        <f t="shared" si="1154"/>
        <v>0</v>
      </c>
      <c r="AN226" s="377">
        <f t="shared" si="1155"/>
        <v>0</v>
      </c>
      <c r="AO226" s="283"/>
      <c r="AP226" s="295">
        <f t="shared" si="1159"/>
        <v>8.4389520000000005</v>
      </c>
      <c r="AQ226" s="183">
        <f t="shared" si="1065"/>
        <v>0</v>
      </c>
      <c r="AR226" s="94">
        <f t="shared" si="1066"/>
        <v>0</v>
      </c>
      <c r="AS226" s="94">
        <f t="shared" si="1142"/>
        <v>0</v>
      </c>
      <c r="AT226" s="94">
        <f t="shared" si="1160"/>
        <v>0</v>
      </c>
      <c r="AU226" s="94">
        <f t="shared" si="1161"/>
        <v>0</v>
      </c>
      <c r="AV226" s="94">
        <f t="shared" si="1111"/>
        <v>8.4389520000000005</v>
      </c>
      <c r="AW226" s="94">
        <f t="shared" si="1165"/>
        <v>8.4389520000000005</v>
      </c>
      <c r="AX226" s="94">
        <f t="shared" si="1112"/>
        <v>4.5240549999999997</v>
      </c>
      <c r="AY226" s="94">
        <f t="shared" si="1143"/>
        <v>0</v>
      </c>
      <c r="AZ226" s="433">
        <f t="shared" si="1069"/>
        <v>0</v>
      </c>
      <c r="BA226" s="1008">
        <v>0</v>
      </c>
      <c r="BB226" s="409">
        <v>0</v>
      </c>
      <c r="BC226" s="1035">
        <f>0</f>
        <v>0</v>
      </c>
      <c r="BD226" s="1030">
        <v>0</v>
      </c>
      <c r="BE226" s="389">
        <v>0</v>
      </c>
      <c r="BF226" s="516">
        <v>0</v>
      </c>
      <c r="BG226" s="207">
        <v>0</v>
      </c>
      <c r="BH226" s="207">
        <v>-8.4389520000000005</v>
      </c>
      <c r="BI226" s="389">
        <v>0</v>
      </c>
      <c r="BJ226" s="516">
        <v>0</v>
      </c>
      <c r="BK226" s="516">
        <v>-8.4389520000000005</v>
      </c>
      <c r="BL226" s="516">
        <v>-8.4389520000000005</v>
      </c>
      <c r="BM226" s="516">
        <v>-8.4389520000000005</v>
      </c>
      <c r="BN226" s="713">
        <f>-4.524055</f>
        <v>-4.5240549999999997</v>
      </c>
      <c r="BO226" s="207">
        <v>0</v>
      </c>
      <c r="BP226" s="389">
        <v>0</v>
      </c>
      <c r="BQ226" s="389">
        <v>0</v>
      </c>
      <c r="BR226" s="389">
        <v>0</v>
      </c>
      <c r="BS226" s="296">
        <v>0</v>
      </c>
      <c r="BT226" s="296">
        <v>0</v>
      </c>
      <c r="BU226" s="296">
        <v>0</v>
      </c>
      <c r="BV226" s="713">
        <v>0</v>
      </c>
      <c r="BW226" s="1011">
        <f t="shared" si="1164"/>
        <v>0</v>
      </c>
      <c r="BX226" s="449" t="s">
        <v>1973</v>
      </c>
    </row>
    <row r="227" spans="1:76" s="1" customFormat="1" ht="83.45" hidden="1" customHeight="1" outlineLevel="1" x14ac:dyDescent="0.25">
      <c r="A227" s="678">
        <v>117</v>
      </c>
      <c r="B227" s="702" t="s">
        <v>69</v>
      </c>
      <c r="C227" s="697" t="s">
        <v>1737</v>
      </c>
      <c r="D227" s="671">
        <v>44593</v>
      </c>
      <c r="E227" s="672" t="s">
        <v>1983</v>
      </c>
      <c r="F227" s="643" t="s">
        <v>1984</v>
      </c>
      <c r="G227" s="95" t="s">
        <v>28</v>
      </c>
      <c r="H227" s="311" t="s">
        <v>129</v>
      </c>
      <c r="I227" s="335"/>
      <c r="J227" s="294"/>
      <c r="K227" s="52">
        <f t="shared" si="1127"/>
        <v>0</v>
      </c>
      <c r="L227" s="52">
        <f t="shared" si="1128"/>
        <v>0</v>
      </c>
      <c r="M227" s="52">
        <f t="shared" si="1156"/>
        <v>0</v>
      </c>
      <c r="N227" s="52">
        <f t="shared" si="1157"/>
        <v>0</v>
      </c>
      <c r="O227" s="52">
        <f t="shared" si="1129"/>
        <v>1.6442425189015871E-6</v>
      </c>
      <c r="P227" s="52">
        <f t="shared" si="1144"/>
        <v>1.6903513601336121E-6</v>
      </c>
      <c r="Q227" s="52">
        <f t="shared" si="1145"/>
        <v>1.2005934471909287E-6</v>
      </c>
      <c r="R227" s="52">
        <f t="shared" si="1130"/>
        <v>0</v>
      </c>
      <c r="S227" s="527">
        <f t="shared" si="1131"/>
        <v>0</v>
      </c>
      <c r="T227" s="533">
        <f t="shared" si="1132"/>
        <v>0</v>
      </c>
      <c r="U227" s="375">
        <f t="shared" si="1133"/>
        <v>0</v>
      </c>
      <c r="V227" s="375">
        <f t="shared" si="1134"/>
        <v>0</v>
      </c>
      <c r="W227" s="386">
        <f t="shared" si="1135"/>
        <v>0</v>
      </c>
      <c r="X227" s="386">
        <f t="shared" si="1158"/>
        <v>0</v>
      </c>
      <c r="Y227" s="386">
        <f t="shared" si="1136"/>
        <v>0</v>
      </c>
      <c r="Z227" s="375">
        <f t="shared" si="1163"/>
        <v>0</v>
      </c>
      <c r="AA227" s="375">
        <f t="shared" si="1138"/>
        <v>-1.6442425189015871E-6</v>
      </c>
      <c r="AB227" s="386">
        <f t="shared" si="1139"/>
        <v>0</v>
      </c>
      <c r="AC227" s="386">
        <f t="shared" si="1146"/>
        <v>0</v>
      </c>
      <c r="AD227" s="386">
        <f t="shared" si="1147"/>
        <v>-1.9060443056273115E-6</v>
      </c>
      <c r="AE227" s="386">
        <f t="shared" si="1140"/>
        <v>-1.6903513601336121E-6</v>
      </c>
      <c r="AF227" s="386">
        <f t="shared" si="1148"/>
        <v>-1.6442425189015871E-6</v>
      </c>
      <c r="AG227" s="375">
        <f t="shared" si="1149"/>
        <v>-1.2115944703493664E-6</v>
      </c>
      <c r="AH227" s="375">
        <f t="shared" si="1141"/>
        <v>0</v>
      </c>
      <c r="AI227" s="386">
        <f t="shared" si="1150"/>
        <v>0</v>
      </c>
      <c r="AJ227" s="386">
        <f t="shared" si="1151"/>
        <v>0</v>
      </c>
      <c r="AK227" s="386">
        <f t="shared" si="1152"/>
        <v>0</v>
      </c>
      <c r="AL227" s="377">
        <f t="shared" si="1153"/>
        <v>0</v>
      </c>
      <c r="AM227" s="377">
        <f t="shared" si="1154"/>
        <v>0</v>
      </c>
      <c r="AN227" s="377">
        <f t="shared" si="1155"/>
        <v>0</v>
      </c>
      <c r="AO227" s="283"/>
      <c r="AP227" s="295">
        <f t="shared" si="1159"/>
        <v>6.4847000000000002E-2</v>
      </c>
      <c r="AQ227" s="183">
        <f t="shared" si="1065"/>
        <v>0</v>
      </c>
      <c r="AR227" s="94">
        <f t="shared" si="1066"/>
        <v>0</v>
      </c>
      <c r="AS227" s="94">
        <f t="shared" si="1142"/>
        <v>0</v>
      </c>
      <c r="AT227" s="94">
        <f t="shared" si="1160"/>
        <v>0</v>
      </c>
      <c r="AU227" s="94">
        <f t="shared" si="1161"/>
        <v>0</v>
      </c>
      <c r="AV227" s="94">
        <f t="shared" si="1111"/>
        <v>6.4847000000000002E-2</v>
      </c>
      <c r="AW227" s="94">
        <f t="shared" si="1165"/>
        <v>6.4847000000000002E-2</v>
      </c>
      <c r="AX227" s="94">
        <f t="shared" si="1112"/>
        <v>4.7350000000000003E-2</v>
      </c>
      <c r="AY227" s="94">
        <f t="shared" si="1143"/>
        <v>0</v>
      </c>
      <c r="AZ227" s="433">
        <f t="shared" si="1069"/>
        <v>0</v>
      </c>
      <c r="BA227" s="1008">
        <v>0</v>
      </c>
      <c r="BB227" s="409">
        <v>0</v>
      </c>
      <c r="BC227" s="1035">
        <f>0</f>
        <v>0</v>
      </c>
      <c r="BD227" s="1030">
        <v>0</v>
      </c>
      <c r="BE227" s="389">
        <v>0</v>
      </c>
      <c r="BF227" s="516">
        <v>0</v>
      </c>
      <c r="BG227" s="207">
        <v>0</v>
      </c>
      <c r="BH227" s="207">
        <v>-6.4847000000000002E-2</v>
      </c>
      <c r="BI227" s="389">
        <v>0</v>
      </c>
      <c r="BJ227" s="516">
        <v>0</v>
      </c>
      <c r="BK227" s="516">
        <v>-6.4847000000000002E-2</v>
      </c>
      <c r="BL227" s="516">
        <v>-6.4847000000000002E-2</v>
      </c>
      <c r="BM227" s="516">
        <v>-6.4847000000000002E-2</v>
      </c>
      <c r="BN227" s="713">
        <v>-4.7350000000000003E-2</v>
      </c>
      <c r="BO227" s="207">
        <v>0</v>
      </c>
      <c r="BP227" s="389">
        <v>0</v>
      </c>
      <c r="BQ227" s="389">
        <v>0</v>
      </c>
      <c r="BR227" s="389">
        <v>0</v>
      </c>
      <c r="BS227" s="296">
        <v>0</v>
      </c>
      <c r="BT227" s="296">
        <v>0</v>
      </c>
      <c r="BU227" s="296">
        <v>0</v>
      </c>
      <c r="BV227" s="713">
        <v>0</v>
      </c>
      <c r="BW227" s="1011">
        <f>-BV227</f>
        <v>0</v>
      </c>
      <c r="BX227" s="449" t="s">
        <v>1985</v>
      </c>
    </row>
    <row r="228" spans="1:76" s="1" customFormat="1" ht="43.5" hidden="1" customHeight="1" outlineLevel="1" x14ac:dyDescent="0.25">
      <c r="A228" s="678">
        <v>118</v>
      </c>
      <c r="B228" s="702" t="s">
        <v>69</v>
      </c>
      <c r="C228" s="697" t="s">
        <v>1737</v>
      </c>
      <c r="D228" s="671">
        <v>44551</v>
      </c>
      <c r="E228" s="672" t="s">
        <v>1989</v>
      </c>
      <c r="F228" s="643" t="s">
        <v>1990</v>
      </c>
      <c r="G228" s="95" t="s">
        <v>24</v>
      </c>
      <c r="H228" s="311" t="s">
        <v>129</v>
      </c>
      <c r="I228" s="335"/>
      <c r="J228" s="294">
        <f t="shared" ref="J228:J231" si="1166">AQ228/T$8</f>
        <v>0</v>
      </c>
      <c r="K228" s="52">
        <f t="shared" si="1127"/>
        <v>0</v>
      </c>
      <c r="L228" s="52">
        <f t="shared" si="1128"/>
        <v>0</v>
      </c>
      <c r="M228" s="52">
        <f t="shared" si="1156"/>
        <v>0</v>
      </c>
      <c r="N228" s="52">
        <f t="shared" si="1157"/>
        <v>0</v>
      </c>
      <c r="O228" s="52">
        <f t="shared" si="1129"/>
        <v>4.4105771689961483E-5</v>
      </c>
      <c r="P228" s="52">
        <f t="shared" si="1144"/>
        <v>4.5342612363335469E-5</v>
      </c>
      <c r="Q228" s="52">
        <f t="shared" si="1145"/>
        <v>0</v>
      </c>
      <c r="R228" s="52">
        <f t="shared" si="1130"/>
        <v>0</v>
      </c>
      <c r="S228" s="527">
        <f t="shared" si="1131"/>
        <v>0</v>
      </c>
      <c r="T228" s="533">
        <f t="shared" si="1132"/>
        <v>0</v>
      </c>
      <c r="U228" s="375">
        <f t="shared" si="1133"/>
        <v>0</v>
      </c>
      <c r="V228" s="375">
        <f t="shared" si="1134"/>
        <v>0</v>
      </c>
      <c r="W228" s="386">
        <f t="shared" si="1135"/>
        <v>0</v>
      </c>
      <c r="X228" s="386">
        <f t="shared" si="1158"/>
        <v>0</v>
      </c>
      <c r="Y228" s="386">
        <f t="shared" ref="Y228:Y234" si="1167">BF228/Y$8</f>
        <v>0</v>
      </c>
      <c r="Z228" s="375">
        <f t="shared" ref="Z228:Z250" si="1168">BG228/Z$8</f>
        <v>0</v>
      </c>
      <c r="AA228" s="375">
        <f t="shared" si="1138"/>
        <v>-4.4105771689961483E-5</v>
      </c>
      <c r="AB228" s="386">
        <f t="shared" si="1139"/>
        <v>0</v>
      </c>
      <c r="AC228" s="386">
        <f t="shared" si="1146"/>
        <v>0</v>
      </c>
      <c r="AD228" s="386">
        <f t="shared" si="1147"/>
        <v>0</v>
      </c>
      <c r="AE228" s="386">
        <f t="shared" si="1140"/>
        <v>0</v>
      </c>
      <c r="AF228" s="386">
        <f t="shared" si="1148"/>
        <v>0</v>
      </c>
      <c r="AG228" s="375">
        <f t="shared" si="1149"/>
        <v>0</v>
      </c>
      <c r="AH228" s="375">
        <f t="shared" si="1141"/>
        <v>0</v>
      </c>
      <c r="AI228" s="386">
        <f t="shared" si="1150"/>
        <v>0</v>
      </c>
      <c r="AJ228" s="386">
        <f t="shared" si="1151"/>
        <v>0</v>
      </c>
      <c r="AK228" s="386">
        <f t="shared" si="1152"/>
        <v>0</v>
      </c>
      <c r="AL228" s="377">
        <f t="shared" si="1153"/>
        <v>0</v>
      </c>
      <c r="AM228" s="377">
        <f t="shared" si="1154"/>
        <v>0</v>
      </c>
      <c r="AN228" s="377">
        <f t="shared" si="1155"/>
        <v>0</v>
      </c>
      <c r="AO228" s="283"/>
      <c r="AP228" s="295">
        <f t="shared" si="1159"/>
        <v>1.7394799999999999</v>
      </c>
      <c r="AQ228" s="183">
        <f t="shared" si="1065"/>
        <v>0</v>
      </c>
      <c r="AR228" s="94">
        <f t="shared" si="1066"/>
        <v>0</v>
      </c>
      <c r="AS228" s="94">
        <f t="shared" si="1142"/>
        <v>0</v>
      </c>
      <c r="AT228" s="94">
        <f t="shared" si="1160"/>
        <v>0</v>
      </c>
      <c r="AU228" s="94">
        <f t="shared" si="1161"/>
        <v>0</v>
      </c>
      <c r="AV228" s="94">
        <f t="shared" si="1111"/>
        <v>1.7394799999999999</v>
      </c>
      <c r="AW228" s="94">
        <f t="shared" si="1165"/>
        <v>1.7394799999999999</v>
      </c>
      <c r="AX228" s="94">
        <f t="shared" si="1112"/>
        <v>0</v>
      </c>
      <c r="AY228" s="94">
        <f t="shared" si="1143"/>
        <v>0</v>
      </c>
      <c r="AZ228" s="433">
        <f t="shared" si="1069"/>
        <v>0</v>
      </c>
      <c r="BA228" s="1008">
        <v>0</v>
      </c>
      <c r="BB228" s="409">
        <v>0</v>
      </c>
      <c r="BC228" s="1035">
        <f>0</f>
        <v>0</v>
      </c>
      <c r="BD228" s="1030">
        <v>0</v>
      </c>
      <c r="BE228" s="389">
        <v>0</v>
      </c>
      <c r="BF228" s="516">
        <v>0</v>
      </c>
      <c r="BG228" s="207">
        <v>0</v>
      </c>
      <c r="BH228" s="207">
        <v>-1.7394799999999999</v>
      </c>
      <c r="BI228" s="389">
        <v>0</v>
      </c>
      <c r="BJ228" s="516">
        <v>0</v>
      </c>
      <c r="BK228" s="516">
        <v>0</v>
      </c>
      <c r="BL228" s="516">
        <v>0</v>
      </c>
      <c r="BM228" s="516">
        <v>0</v>
      </c>
      <c r="BN228" s="409">
        <v>0</v>
      </c>
      <c r="BO228" s="207">
        <v>0</v>
      </c>
      <c r="BP228" s="389">
        <v>0</v>
      </c>
      <c r="BQ228" s="389">
        <v>0</v>
      </c>
      <c r="BR228" s="389">
        <v>0</v>
      </c>
      <c r="BS228" s="296">
        <v>0</v>
      </c>
      <c r="BT228" s="296">
        <v>0</v>
      </c>
      <c r="BU228" s="296">
        <v>0</v>
      </c>
      <c r="BV228" s="409">
        <v>0</v>
      </c>
      <c r="BW228" s="1011">
        <f t="shared" ref="BW228:BW245" si="1169">-BV228</f>
        <v>0</v>
      </c>
      <c r="BX228" s="449" t="s">
        <v>1988</v>
      </c>
    </row>
    <row r="229" spans="1:76" s="1" customFormat="1" ht="101.45" hidden="1" customHeight="1" outlineLevel="1" x14ac:dyDescent="0.25">
      <c r="A229" s="678">
        <v>119</v>
      </c>
      <c r="B229" s="702" t="s">
        <v>69</v>
      </c>
      <c r="C229" s="697" t="s">
        <v>1735</v>
      </c>
      <c r="D229" s="671">
        <v>44614</v>
      </c>
      <c r="E229" s="672" t="s">
        <v>2030</v>
      </c>
      <c r="F229" s="643" t="s">
        <v>2005</v>
      </c>
      <c r="G229" s="95" t="s">
        <v>142</v>
      </c>
      <c r="H229" s="311" t="s">
        <v>129</v>
      </c>
      <c r="I229" s="335"/>
      <c r="J229" s="294">
        <f t="shared" si="1166"/>
        <v>0</v>
      </c>
      <c r="K229" s="52">
        <f t="shared" si="1127"/>
        <v>0</v>
      </c>
      <c r="L229" s="52">
        <f t="shared" si="1128"/>
        <v>0</v>
      </c>
      <c r="M229" s="52">
        <f t="shared" si="1156"/>
        <v>0</v>
      </c>
      <c r="N229" s="52">
        <f t="shared" si="1157"/>
        <v>0</v>
      </c>
      <c r="O229" s="52">
        <f t="shared" si="1129"/>
        <v>3.3306871018687409E-5</v>
      </c>
      <c r="P229" s="52">
        <f t="shared" si="1144"/>
        <v>3.4240882400878234E-5</v>
      </c>
      <c r="Q229" s="52">
        <f t="shared" si="1145"/>
        <v>0</v>
      </c>
      <c r="R229" s="52">
        <f t="shared" si="1130"/>
        <v>0</v>
      </c>
      <c r="S229" s="527">
        <f t="shared" si="1131"/>
        <v>0</v>
      </c>
      <c r="T229" s="533">
        <f t="shared" si="1132"/>
        <v>0</v>
      </c>
      <c r="U229" s="375">
        <f t="shared" si="1133"/>
        <v>0</v>
      </c>
      <c r="V229" s="375">
        <f t="shared" si="1134"/>
        <v>0</v>
      </c>
      <c r="W229" s="386">
        <f t="shared" si="1135"/>
        <v>0</v>
      </c>
      <c r="X229" s="386">
        <f t="shared" si="1158"/>
        <v>0</v>
      </c>
      <c r="Y229" s="386">
        <f t="shared" si="1167"/>
        <v>0</v>
      </c>
      <c r="Z229" s="375">
        <f t="shared" si="1168"/>
        <v>0</v>
      </c>
      <c r="AA229" s="375">
        <f t="shared" si="1138"/>
        <v>-3.3306871018687409E-5</v>
      </c>
      <c r="AB229" s="386">
        <f t="shared" si="1139"/>
        <v>0</v>
      </c>
      <c r="AC229" s="386">
        <f t="shared" si="1146"/>
        <v>0</v>
      </c>
      <c r="AD229" s="386">
        <f t="shared" si="1147"/>
        <v>-3.8610102289437389E-5</v>
      </c>
      <c r="AE229" s="386">
        <f t="shared" si="1140"/>
        <v>-3.4240882400878234E-5</v>
      </c>
      <c r="AF229" s="386">
        <f t="shared" si="1148"/>
        <v>-3.3306871018687409E-5</v>
      </c>
      <c r="AG229" s="375">
        <f t="shared" si="1149"/>
        <v>0</v>
      </c>
      <c r="AH229" s="375">
        <f t="shared" si="1141"/>
        <v>0</v>
      </c>
      <c r="AI229" s="386">
        <f t="shared" si="1150"/>
        <v>0</v>
      </c>
      <c r="AJ229" s="386">
        <f t="shared" si="1151"/>
        <v>0</v>
      </c>
      <c r="AK229" s="386">
        <f t="shared" si="1152"/>
        <v>0</v>
      </c>
      <c r="AL229" s="377">
        <f t="shared" si="1153"/>
        <v>0</v>
      </c>
      <c r="AM229" s="377">
        <f t="shared" si="1154"/>
        <v>0</v>
      </c>
      <c r="AN229" s="377">
        <f t="shared" si="1155"/>
        <v>0</v>
      </c>
      <c r="AO229" s="283"/>
      <c r="AP229" s="295">
        <f t="shared" si="1159"/>
        <v>1.3135840000000001</v>
      </c>
      <c r="AQ229" s="183">
        <f t="shared" si="1065"/>
        <v>0</v>
      </c>
      <c r="AR229" s="94">
        <f t="shared" si="1066"/>
        <v>0</v>
      </c>
      <c r="AS229" s="94">
        <f t="shared" si="1142"/>
        <v>0</v>
      </c>
      <c r="AT229" s="94">
        <f t="shared" si="1160"/>
        <v>0</v>
      </c>
      <c r="AU229" s="94">
        <f t="shared" si="1161"/>
        <v>0</v>
      </c>
      <c r="AV229" s="94">
        <f t="shared" si="1111"/>
        <v>1.3135840000000001</v>
      </c>
      <c r="AW229" s="94">
        <f t="shared" si="1165"/>
        <v>1.3135840000000001</v>
      </c>
      <c r="AX229" s="94">
        <f t="shared" si="1112"/>
        <v>0</v>
      </c>
      <c r="AY229" s="94">
        <f t="shared" si="1143"/>
        <v>0</v>
      </c>
      <c r="AZ229" s="433">
        <f t="shared" si="1069"/>
        <v>0</v>
      </c>
      <c r="BA229" s="1008">
        <v>0</v>
      </c>
      <c r="BB229" s="409">
        <v>0</v>
      </c>
      <c r="BC229" s="1035">
        <f>0</f>
        <v>0</v>
      </c>
      <c r="BD229" s="1030">
        <v>0</v>
      </c>
      <c r="BE229" s="389">
        <v>0</v>
      </c>
      <c r="BF229" s="516">
        <v>0</v>
      </c>
      <c r="BG229" s="207">
        <v>0</v>
      </c>
      <c r="BH229" s="207">
        <v>-1.3135840000000001</v>
      </c>
      <c r="BI229" s="389">
        <v>0</v>
      </c>
      <c r="BJ229" s="516">
        <v>0</v>
      </c>
      <c r="BK229" s="516">
        <v>-1.3135840000000001</v>
      </c>
      <c r="BL229" s="516">
        <v>-1.3135840000000001</v>
      </c>
      <c r="BM229" s="516">
        <v>-1.3135840000000001</v>
      </c>
      <c r="BN229" s="409">
        <v>0</v>
      </c>
      <c r="BO229" s="207">
        <v>0</v>
      </c>
      <c r="BP229" s="389">
        <v>0</v>
      </c>
      <c r="BQ229" s="389">
        <v>0</v>
      </c>
      <c r="BR229" s="389">
        <v>0</v>
      </c>
      <c r="BS229" s="296">
        <v>0</v>
      </c>
      <c r="BT229" s="296">
        <v>0</v>
      </c>
      <c r="BU229" s="296">
        <v>0</v>
      </c>
      <c r="BV229" s="409">
        <v>0</v>
      </c>
      <c r="BW229" s="1011">
        <f t="shared" si="1169"/>
        <v>0</v>
      </c>
      <c r="BX229" s="449" t="s">
        <v>2006</v>
      </c>
    </row>
    <row r="230" spans="1:76" s="1" customFormat="1" ht="43.5" hidden="1" customHeight="1" outlineLevel="1" x14ac:dyDescent="0.25">
      <c r="A230" s="678">
        <v>120</v>
      </c>
      <c r="B230" s="702" t="s">
        <v>69</v>
      </c>
      <c r="C230" s="697" t="s">
        <v>1738</v>
      </c>
      <c r="D230" s="671">
        <v>44614</v>
      </c>
      <c r="E230" s="672" t="s">
        <v>2081</v>
      </c>
      <c r="F230" s="643" t="s">
        <v>2015</v>
      </c>
      <c r="G230" s="95" t="s">
        <v>24</v>
      </c>
      <c r="H230" s="311" t="s">
        <v>130</v>
      </c>
      <c r="I230" s="335"/>
      <c r="J230" s="294">
        <f t="shared" si="1166"/>
        <v>0</v>
      </c>
      <c r="K230" s="52">
        <f t="shared" si="1127"/>
        <v>0</v>
      </c>
      <c r="L230" s="52">
        <f t="shared" si="1128"/>
        <v>0</v>
      </c>
      <c r="M230" s="52">
        <f t="shared" si="1156"/>
        <v>0</v>
      </c>
      <c r="N230" s="52">
        <f t="shared" si="1157"/>
        <v>0</v>
      </c>
      <c r="O230" s="52">
        <f t="shared" si="1129"/>
        <v>6.3883640714334871E-5</v>
      </c>
      <c r="P230" s="52">
        <f t="shared" si="1144"/>
        <v>6.5675104329439995E-5</v>
      </c>
      <c r="Q230" s="52">
        <f t="shared" si="1145"/>
        <v>2.6181532738595353E-5</v>
      </c>
      <c r="R230" s="52">
        <f t="shared" si="1130"/>
        <v>0</v>
      </c>
      <c r="S230" s="527">
        <f t="shared" si="1131"/>
        <v>0</v>
      </c>
      <c r="T230" s="533">
        <f t="shared" si="1132"/>
        <v>0</v>
      </c>
      <c r="U230" s="375">
        <f t="shared" si="1133"/>
        <v>0</v>
      </c>
      <c r="V230" s="375">
        <f t="shared" si="1134"/>
        <v>0</v>
      </c>
      <c r="W230" s="386">
        <f t="shared" si="1135"/>
        <v>0</v>
      </c>
      <c r="X230" s="386">
        <f t="shared" si="1158"/>
        <v>0</v>
      </c>
      <c r="Y230" s="386">
        <f t="shared" si="1167"/>
        <v>0</v>
      </c>
      <c r="Z230" s="375">
        <f t="shared" si="1168"/>
        <v>0</v>
      </c>
      <c r="AA230" s="375">
        <f t="shared" si="1138"/>
        <v>-6.3883640714334871E-5</v>
      </c>
      <c r="AB230" s="386">
        <f t="shared" si="1139"/>
        <v>0</v>
      </c>
      <c r="AC230" s="386">
        <f t="shared" si="1146"/>
        <v>0</v>
      </c>
      <c r="AD230" s="386">
        <f t="shared" si="1147"/>
        <v>-7.4055407402821854E-5</v>
      </c>
      <c r="AE230" s="386">
        <f t="shared" si="1140"/>
        <v>-6.5675104329439995E-5</v>
      </c>
      <c r="AF230" s="386">
        <f t="shared" si="1148"/>
        <v>-6.3883640714334871E-5</v>
      </c>
      <c r="AG230" s="375">
        <f t="shared" si="1149"/>
        <v>-2.642143380473442E-5</v>
      </c>
      <c r="AH230" s="375">
        <f t="shared" si="1141"/>
        <v>0</v>
      </c>
      <c r="AI230" s="386">
        <f t="shared" si="1150"/>
        <v>0</v>
      </c>
      <c r="AJ230" s="386">
        <f t="shared" si="1151"/>
        <v>0</v>
      </c>
      <c r="AK230" s="386">
        <f t="shared" si="1152"/>
        <v>0</v>
      </c>
      <c r="AL230" s="377">
        <f t="shared" si="1153"/>
        <v>0</v>
      </c>
      <c r="AM230" s="377">
        <f t="shared" si="1154"/>
        <v>0</v>
      </c>
      <c r="AN230" s="377">
        <f t="shared" si="1155"/>
        <v>0</v>
      </c>
      <c r="AO230" s="283"/>
      <c r="AP230" s="295">
        <f t="shared" si="1159"/>
        <v>2.5194960000000002</v>
      </c>
      <c r="AQ230" s="183">
        <f t="shared" si="1065"/>
        <v>0</v>
      </c>
      <c r="AR230" s="94">
        <f t="shared" si="1066"/>
        <v>0</v>
      </c>
      <c r="AS230" s="94">
        <f t="shared" si="1142"/>
        <v>0</v>
      </c>
      <c r="AT230" s="94">
        <f t="shared" si="1160"/>
        <v>0</v>
      </c>
      <c r="AU230" s="94">
        <f t="shared" si="1161"/>
        <v>0</v>
      </c>
      <c r="AV230" s="94">
        <f t="shared" si="1111"/>
        <v>2.5194960000000002</v>
      </c>
      <c r="AW230" s="94">
        <f t="shared" si="1165"/>
        <v>2.5194960000000002</v>
      </c>
      <c r="AX230" s="94">
        <f t="shared" si="1112"/>
        <v>1.0325690000000001</v>
      </c>
      <c r="AY230" s="94">
        <f t="shared" si="1143"/>
        <v>0</v>
      </c>
      <c r="AZ230" s="433">
        <f t="shared" si="1069"/>
        <v>0</v>
      </c>
      <c r="BA230" s="1008">
        <v>0</v>
      </c>
      <c r="BB230" s="409">
        <v>0</v>
      </c>
      <c r="BC230" s="1035">
        <f>0</f>
        <v>0</v>
      </c>
      <c r="BD230" s="1030">
        <v>0</v>
      </c>
      <c r="BE230" s="389">
        <v>0</v>
      </c>
      <c r="BF230" s="516">
        <v>0</v>
      </c>
      <c r="BG230" s="207">
        <v>0</v>
      </c>
      <c r="BH230" s="207">
        <v>-2.5194960000000002</v>
      </c>
      <c r="BI230" s="389">
        <v>0</v>
      </c>
      <c r="BJ230" s="516">
        <v>0</v>
      </c>
      <c r="BK230" s="516">
        <v>-2.5194960000000002</v>
      </c>
      <c r="BL230" s="516">
        <v>-2.5194960000000002</v>
      </c>
      <c r="BM230" s="516">
        <v>-2.5194960000000002</v>
      </c>
      <c r="BN230" s="713">
        <f>-1.032569</f>
        <v>-1.0325690000000001</v>
      </c>
      <c r="BO230" s="207">
        <v>0</v>
      </c>
      <c r="BP230" s="389">
        <v>0</v>
      </c>
      <c r="BQ230" s="389">
        <v>0</v>
      </c>
      <c r="BR230" s="389">
        <v>0</v>
      </c>
      <c r="BS230" s="296">
        <v>0</v>
      </c>
      <c r="BT230" s="296">
        <v>0</v>
      </c>
      <c r="BU230" s="296">
        <v>0</v>
      </c>
      <c r="BV230" s="713">
        <v>0</v>
      </c>
      <c r="BW230" s="1011">
        <f t="shared" si="1169"/>
        <v>0</v>
      </c>
      <c r="BX230" s="449" t="s">
        <v>2014</v>
      </c>
    </row>
    <row r="231" spans="1:76" s="1" customFormat="1" ht="116.1" hidden="1" customHeight="1" outlineLevel="1" x14ac:dyDescent="0.25">
      <c r="A231" s="678">
        <v>121</v>
      </c>
      <c r="B231" s="702" t="s">
        <v>69</v>
      </c>
      <c r="C231" s="697" t="s">
        <v>1737</v>
      </c>
      <c r="D231" s="671">
        <v>44628</v>
      </c>
      <c r="E231" s="672" t="s">
        <v>2033</v>
      </c>
      <c r="F231" s="643" t="s">
        <v>1658</v>
      </c>
      <c r="G231" s="95" t="s">
        <v>24</v>
      </c>
      <c r="H231" s="311" t="s">
        <v>129</v>
      </c>
      <c r="I231" s="335"/>
      <c r="J231" s="294">
        <f t="shared" si="1166"/>
        <v>0</v>
      </c>
      <c r="K231" s="52">
        <f t="shared" si="1127"/>
        <v>0</v>
      </c>
      <c r="L231" s="52">
        <f t="shared" si="1128"/>
        <v>0</v>
      </c>
      <c r="M231" s="52">
        <f t="shared" si="1156"/>
        <v>0</v>
      </c>
      <c r="N231" s="52">
        <f t="shared" si="1157"/>
        <v>0</v>
      </c>
      <c r="O231" s="52">
        <f t="shared" si="1129"/>
        <v>1.2939471310373843E-4</v>
      </c>
      <c r="P231" s="52">
        <f t="shared" si="1144"/>
        <v>1.3302327775535039E-4</v>
      </c>
      <c r="Q231" s="52">
        <f t="shared" si="1145"/>
        <v>1.2939443419079398E-4</v>
      </c>
      <c r="R231" s="52">
        <f t="shared" si="1130"/>
        <v>0</v>
      </c>
      <c r="S231" s="527">
        <f t="shared" si="1131"/>
        <v>0</v>
      </c>
      <c r="T231" s="533">
        <f t="shared" si="1132"/>
        <v>0</v>
      </c>
      <c r="U231" s="375">
        <f t="shared" si="1133"/>
        <v>0</v>
      </c>
      <c r="V231" s="375">
        <f t="shared" si="1134"/>
        <v>0</v>
      </c>
      <c r="W231" s="386">
        <f t="shared" si="1135"/>
        <v>0</v>
      </c>
      <c r="X231" s="386">
        <f t="shared" si="1158"/>
        <v>0</v>
      </c>
      <c r="Y231" s="386">
        <f t="shared" si="1167"/>
        <v>0</v>
      </c>
      <c r="Z231" s="375">
        <f t="shared" si="1168"/>
        <v>0</v>
      </c>
      <c r="AA231" s="375">
        <f t="shared" si="1138"/>
        <v>-1.2939471310373843E-4</v>
      </c>
      <c r="AB231" s="386">
        <f t="shared" si="1139"/>
        <v>0</v>
      </c>
      <c r="AC231" s="386">
        <f t="shared" si="1146"/>
        <v>0</v>
      </c>
      <c r="AD231" s="386">
        <f t="shared" si="1147"/>
        <v>-1.4999737158872362E-4</v>
      </c>
      <c r="AE231" s="386">
        <f t="shared" si="1140"/>
        <v>-1.3302327775535039E-4</v>
      </c>
      <c r="AF231" s="386">
        <f t="shared" si="1148"/>
        <v>-1.2939471310373843E-4</v>
      </c>
      <c r="AG231" s="375">
        <f t="shared" si="1149"/>
        <v>-1.3058007381796036E-4</v>
      </c>
      <c r="AH231" s="375">
        <f t="shared" si="1141"/>
        <v>0</v>
      </c>
      <c r="AI231" s="386">
        <f t="shared" si="1150"/>
        <v>0</v>
      </c>
      <c r="AJ231" s="386">
        <f t="shared" si="1151"/>
        <v>0</v>
      </c>
      <c r="AK231" s="386">
        <f t="shared" si="1152"/>
        <v>0</v>
      </c>
      <c r="AL231" s="377">
        <f t="shared" si="1153"/>
        <v>0</v>
      </c>
      <c r="AM231" s="377">
        <f t="shared" si="1154"/>
        <v>0</v>
      </c>
      <c r="AN231" s="377">
        <f t="shared" si="1155"/>
        <v>0</v>
      </c>
      <c r="AO231" s="283"/>
      <c r="AP231" s="295">
        <f t="shared" si="1159"/>
        <v>5.1031760000000004</v>
      </c>
      <c r="AQ231" s="183">
        <f t="shared" si="1065"/>
        <v>0</v>
      </c>
      <c r="AR231" s="94">
        <f t="shared" si="1066"/>
        <v>0</v>
      </c>
      <c r="AS231" s="94">
        <f t="shared" si="1142"/>
        <v>0</v>
      </c>
      <c r="AT231" s="94">
        <f t="shared" si="1160"/>
        <v>0</v>
      </c>
      <c r="AU231" s="94">
        <f t="shared" si="1161"/>
        <v>0</v>
      </c>
      <c r="AV231" s="94">
        <f t="shared" si="1111"/>
        <v>5.1031760000000004</v>
      </c>
      <c r="AW231" s="94">
        <f>-BH231</f>
        <v>5.1031760000000004</v>
      </c>
      <c r="AX231" s="94">
        <f t="shared" si="1112"/>
        <v>5.1031649999999997</v>
      </c>
      <c r="AY231" s="94">
        <f t="shared" si="1143"/>
        <v>0</v>
      </c>
      <c r="AZ231" s="433">
        <f t="shared" si="1069"/>
        <v>0</v>
      </c>
      <c r="BA231" s="1008">
        <v>0</v>
      </c>
      <c r="BB231" s="409">
        <v>0</v>
      </c>
      <c r="BC231" s="1035">
        <f>0</f>
        <v>0</v>
      </c>
      <c r="BD231" s="1030">
        <v>0</v>
      </c>
      <c r="BE231" s="389">
        <v>0</v>
      </c>
      <c r="BF231" s="516">
        <v>0</v>
      </c>
      <c r="BG231" s="207">
        <v>0</v>
      </c>
      <c r="BH231" s="207">
        <v>-5.1031760000000004</v>
      </c>
      <c r="BI231" s="389">
        <v>0</v>
      </c>
      <c r="BJ231" s="516">
        <v>0</v>
      </c>
      <c r="BK231" s="516">
        <v>-5.1031760000000004</v>
      </c>
      <c r="BL231" s="516">
        <v>-5.1031760000000004</v>
      </c>
      <c r="BM231" s="516">
        <v>-5.1031760000000004</v>
      </c>
      <c r="BN231" s="713">
        <f>-0.013607-3.058906-1.920319-0.110333</f>
        <v>-5.1031649999999997</v>
      </c>
      <c r="BO231" s="207">
        <v>0</v>
      </c>
      <c r="BP231" s="389">
        <v>0</v>
      </c>
      <c r="BQ231" s="389">
        <v>0</v>
      </c>
      <c r="BR231" s="389">
        <v>0</v>
      </c>
      <c r="BS231" s="296">
        <v>0</v>
      </c>
      <c r="BT231" s="296">
        <v>0</v>
      </c>
      <c r="BU231" s="296">
        <v>0</v>
      </c>
      <c r="BV231" s="713">
        <v>0</v>
      </c>
      <c r="BW231" s="1011">
        <f t="shared" si="1169"/>
        <v>0</v>
      </c>
      <c r="BX231" s="449" t="s">
        <v>2017</v>
      </c>
    </row>
    <row r="232" spans="1:76" s="1" customFormat="1" ht="174" hidden="1" customHeight="1" outlineLevel="1" x14ac:dyDescent="0.25">
      <c r="A232" s="678">
        <v>122</v>
      </c>
      <c r="B232" s="702" t="s">
        <v>69</v>
      </c>
      <c r="C232" s="697" t="s">
        <v>701</v>
      </c>
      <c r="D232" s="671">
        <v>44635</v>
      </c>
      <c r="E232" s="672" t="s">
        <v>2022</v>
      </c>
      <c r="F232" s="643" t="s">
        <v>1658</v>
      </c>
      <c r="G232" s="95" t="s">
        <v>24</v>
      </c>
      <c r="H232" s="311" t="s">
        <v>129</v>
      </c>
      <c r="I232" s="335"/>
      <c r="J232" s="294"/>
      <c r="K232" s="52">
        <f t="shared" si="1127"/>
        <v>0</v>
      </c>
      <c r="L232" s="52">
        <f t="shared" si="1128"/>
        <v>0</v>
      </c>
      <c r="M232" s="52">
        <f t="shared" si="1156"/>
        <v>0</v>
      </c>
      <c r="N232" s="52">
        <f t="shared" si="1157"/>
        <v>0</v>
      </c>
      <c r="O232" s="52">
        <f t="shared" si="1129"/>
        <v>2.9281832677214545E-4</v>
      </c>
      <c r="P232" s="52">
        <f t="shared" si="1144"/>
        <v>3.0102971504592852E-4</v>
      </c>
      <c r="Q232" s="52">
        <f t="shared" si="1145"/>
        <v>0</v>
      </c>
      <c r="R232" s="52">
        <f t="shared" si="1130"/>
        <v>0</v>
      </c>
      <c r="S232" s="527">
        <f t="shared" si="1131"/>
        <v>0</v>
      </c>
      <c r="T232" s="533">
        <f t="shared" si="1132"/>
        <v>0</v>
      </c>
      <c r="U232" s="375">
        <f t="shared" si="1133"/>
        <v>0</v>
      </c>
      <c r="V232" s="375">
        <f t="shared" si="1134"/>
        <v>0</v>
      </c>
      <c r="W232" s="386">
        <f t="shared" si="1135"/>
        <v>0</v>
      </c>
      <c r="X232" s="386">
        <f t="shared" si="1158"/>
        <v>0</v>
      </c>
      <c r="Y232" s="386">
        <f t="shared" si="1167"/>
        <v>0</v>
      </c>
      <c r="Z232" s="375">
        <f t="shared" si="1168"/>
        <v>0</v>
      </c>
      <c r="AA232" s="375">
        <f t="shared" si="1138"/>
        <v>-2.9281832677214545E-4</v>
      </c>
      <c r="AB232" s="386">
        <f t="shared" si="1139"/>
        <v>0</v>
      </c>
      <c r="AC232" s="386">
        <f t="shared" si="1146"/>
        <v>0</v>
      </c>
      <c r="AD232" s="386">
        <f t="shared" si="1147"/>
        <v>0</v>
      </c>
      <c r="AE232" s="386">
        <f t="shared" si="1140"/>
        <v>-3.0102971504592852E-4</v>
      </c>
      <c r="AF232" s="386">
        <f t="shared" si="1148"/>
        <v>-2.9281832677214545E-4</v>
      </c>
      <c r="AG232" s="375">
        <f t="shared" si="1149"/>
        <v>0</v>
      </c>
      <c r="AH232" s="375">
        <f t="shared" si="1141"/>
        <v>0</v>
      </c>
      <c r="AI232" s="386">
        <f t="shared" si="1150"/>
        <v>0</v>
      </c>
      <c r="AJ232" s="386">
        <f t="shared" si="1151"/>
        <v>0</v>
      </c>
      <c r="AK232" s="386">
        <f t="shared" si="1152"/>
        <v>0</v>
      </c>
      <c r="AL232" s="377">
        <f t="shared" si="1153"/>
        <v>0</v>
      </c>
      <c r="AM232" s="377">
        <f t="shared" si="1154"/>
        <v>0</v>
      </c>
      <c r="AN232" s="377">
        <f t="shared" si="1155"/>
        <v>0</v>
      </c>
      <c r="AO232" s="283"/>
      <c r="AP232" s="295">
        <f t="shared" si="1159"/>
        <v>11.548412000000001</v>
      </c>
      <c r="AQ232" s="183">
        <f t="shared" si="1065"/>
        <v>0</v>
      </c>
      <c r="AR232" s="94">
        <f t="shared" si="1066"/>
        <v>0</v>
      </c>
      <c r="AS232" s="94">
        <f t="shared" si="1142"/>
        <v>0</v>
      </c>
      <c r="AT232" s="94">
        <f t="shared" si="1160"/>
        <v>0</v>
      </c>
      <c r="AU232" s="94">
        <f t="shared" si="1161"/>
        <v>0</v>
      </c>
      <c r="AV232" s="94">
        <f t="shared" si="1111"/>
        <v>11.548412000000001</v>
      </c>
      <c r="AW232" s="94">
        <f t="shared" ref="AW232:AW234" si="1170">-BH232</f>
        <v>11.548412000000001</v>
      </c>
      <c r="AX232" s="94">
        <f t="shared" si="1112"/>
        <v>0</v>
      </c>
      <c r="AY232" s="94">
        <f t="shared" si="1143"/>
        <v>0</v>
      </c>
      <c r="AZ232" s="433">
        <f t="shared" si="1069"/>
        <v>0</v>
      </c>
      <c r="BA232" s="1008">
        <v>0</v>
      </c>
      <c r="BB232" s="409">
        <v>0</v>
      </c>
      <c r="BC232" s="1035">
        <f>0</f>
        <v>0</v>
      </c>
      <c r="BD232" s="1030">
        <v>0</v>
      </c>
      <c r="BE232" s="389">
        <v>0</v>
      </c>
      <c r="BF232" s="516">
        <v>0</v>
      </c>
      <c r="BG232" s="207">
        <v>0</v>
      </c>
      <c r="BH232" s="207">
        <v>-11.548412000000001</v>
      </c>
      <c r="BI232" s="389">
        <v>0</v>
      </c>
      <c r="BJ232" s="516">
        <v>0</v>
      </c>
      <c r="BK232" s="516">
        <v>0</v>
      </c>
      <c r="BL232" s="516">
        <v>-11.548412000000001</v>
      </c>
      <c r="BM232" s="516">
        <v>-11.548412000000001</v>
      </c>
      <c r="BN232" s="409">
        <v>0</v>
      </c>
      <c r="BO232" s="207">
        <v>0</v>
      </c>
      <c r="BP232" s="389">
        <v>0</v>
      </c>
      <c r="BQ232" s="389">
        <v>0</v>
      </c>
      <c r="BR232" s="389">
        <v>0</v>
      </c>
      <c r="BS232" s="296">
        <v>0</v>
      </c>
      <c r="BT232" s="296">
        <v>0</v>
      </c>
      <c r="BU232" s="296">
        <v>0</v>
      </c>
      <c r="BV232" s="409">
        <v>0</v>
      </c>
      <c r="BW232" s="1011">
        <f t="shared" si="1169"/>
        <v>0</v>
      </c>
      <c r="BX232" s="449" t="s">
        <v>2021</v>
      </c>
    </row>
    <row r="233" spans="1:76" s="1" customFormat="1" ht="72.599999999999994" hidden="1" customHeight="1" outlineLevel="1" x14ac:dyDescent="0.25">
      <c r="A233" s="678">
        <v>123</v>
      </c>
      <c r="B233" s="702" t="s">
        <v>69</v>
      </c>
      <c r="C233" s="697" t="s">
        <v>701</v>
      </c>
      <c r="D233" s="671">
        <v>44635</v>
      </c>
      <c r="E233" s="672" t="s">
        <v>2035</v>
      </c>
      <c r="F233" s="643" t="s">
        <v>2036</v>
      </c>
      <c r="G233" s="95" t="s">
        <v>24</v>
      </c>
      <c r="H233" s="311" t="s">
        <v>129</v>
      </c>
      <c r="I233" s="335"/>
      <c r="J233" s="294"/>
      <c r="K233" s="52">
        <f t="shared" si="1127"/>
        <v>0</v>
      </c>
      <c r="L233" s="52">
        <f t="shared" si="1128"/>
        <v>0</v>
      </c>
      <c r="M233" s="52">
        <f t="shared" si="1156"/>
        <v>0</v>
      </c>
      <c r="N233" s="52">
        <f t="shared" si="1157"/>
        <v>0</v>
      </c>
      <c r="O233" s="52">
        <f t="shared" si="1129"/>
        <v>1.5816316340198856E-4</v>
      </c>
      <c r="P233" s="52">
        <f t="shared" si="1144"/>
        <v>1.6259847030241403E-4</v>
      </c>
      <c r="Q233" s="52">
        <f t="shared" si="1145"/>
        <v>8.2600905233902555E-5</v>
      </c>
      <c r="R233" s="52">
        <f t="shared" si="1130"/>
        <v>0</v>
      </c>
      <c r="S233" s="527">
        <f t="shared" si="1131"/>
        <v>0</v>
      </c>
      <c r="T233" s="533">
        <f t="shared" si="1132"/>
        <v>0</v>
      </c>
      <c r="U233" s="375">
        <f t="shared" si="1133"/>
        <v>0</v>
      </c>
      <c r="V233" s="375">
        <f t="shared" si="1134"/>
        <v>0</v>
      </c>
      <c r="W233" s="386">
        <f t="shared" si="1135"/>
        <v>0</v>
      </c>
      <c r="X233" s="386">
        <f t="shared" si="1158"/>
        <v>0</v>
      </c>
      <c r="Y233" s="386">
        <f t="shared" si="1167"/>
        <v>0</v>
      </c>
      <c r="Z233" s="375">
        <f t="shared" si="1168"/>
        <v>0</v>
      </c>
      <c r="AA233" s="375">
        <f t="shared" si="1138"/>
        <v>-1.5816316340198856E-4</v>
      </c>
      <c r="AB233" s="386">
        <f t="shared" si="1139"/>
        <v>0</v>
      </c>
      <c r="AC233" s="386">
        <f t="shared" si="1146"/>
        <v>0</v>
      </c>
      <c r="AD233" s="386">
        <f t="shared" si="1147"/>
        <v>0</v>
      </c>
      <c r="AE233" s="386">
        <f t="shared" si="1140"/>
        <v>-1.6259847030241403E-4</v>
      </c>
      <c r="AF233" s="386">
        <f t="shared" si="1148"/>
        <v>-1.5816316340198856E-4</v>
      </c>
      <c r="AG233" s="375">
        <f t="shared" si="1149"/>
        <v>-8.3357776324205585E-5</v>
      </c>
      <c r="AH233" s="375">
        <f t="shared" si="1141"/>
        <v>0</v>
      </c>
      <c r="AI233" s="386">
        <f t="shared" si="1150"/>
        <v>0</v>
      </c>
      <c r="AJ233" s="386">
        <f t="shared" si="1151"/>
        <v>0</v>
      </c>
      <c r="AK233" s="386">
        <f t="shared" si="1152"/>
        <v>0</v>
      </c>
      <c r="AL233" s="377">
        <f t="shared" si="1153"/>
        <v>0</v>
      </c>
      <c r="AM233" s="377">
        <f t="shared" si="1154"/>
        <v>0</v>
      </c>
      <c r="AN233" s="377">
        <f t="shared" si="1155"/>
        <v>0</v>
      </c>
      <c r="AO233" s="283"/>
      <c r="AP233" s="295">
        <f t="shared" si="1159"/>
        <v>6.2377700000000003</v>
      </c>
      <c r="AQ233" s="183">
        <f t="shared" si="1065"/>
        <v>0</v>
      </c>
      <c r="AR233" s="94">
        <f t="shared" si="1066"/>
        <v>0</v>
      </c>
      <c r="AS233" s="94">
        <f t="shared" si="1142"/>
        <v>0</v>
      </c>
      <c r="AT233" s="94">
        <f t="shared" si="1160"/>
        <v>0</v>
      </c>
      <c r="AU233" s="94">
        <f t="shared" si="1161"/>
        <v>0</v>
      </c>
      <c r="AV233" s="94">
        <f t="shared" si="1111"/>
        <v>6.2377700000000003</v>
      </c>
      <c r="AW233" s="94">
        <f t="shared" si="1170"/>
        <v>6.2377700000000003</v>
      </c>
      <c r="AX233" s="94">
        <f t="shared" si="1112"/>
        <v>3.2576830000000001</v>
      </c>
      <c r="AY233" s="94">
        <f t="shared" si="1143"/>
        <v>0</v>
      </c>
      <c r="AZ233" s="433">
        <f t="shared" si="1069"/>
        <v>0</v>
      </c>
      <c r="BA233" s="1008">
        <v>0</v>
      </c>
      <c r="BB233" s="409">
        <v>0</v>
      </c>
      <c r="BC233" s="1035">
        <f>0</f>
        <v>0</v>
      </c>
      <c r="BD233" s="1030">
        <v>0</v>
      </c>
      <c r="BE233" s="389">
        <v>0</v>
      </c>
      <c r="BF233" s="516">
        <v>0</v>
      </c>
      <c r="BG233" s="207">
        <v>0</v>
      </c>
      <c r="BH233" s="207">
        <v>-6.2377700000000003</v>
      </c>
      <c r="BI233" s="389">
        <v>0</v>
      </c>
      <c r="BJ233" s="516">
        <v>0</v>
      </c>
      <c r="BK233" s="516">
        <v>0</v>
      </c>
      <c r="BL233" s="516">
        <v>-6.2377700000000003</v>
      </c>
      <c r="BM233" s="516">
        <v>-6.2377700000000003</v>
      </c>
      <c r="BN233" s="713">
        <f>-0.010108-0.005831-3.241744</f>
        <v>-3.2576830000000001</v>
      </c>
      <c r="BO233" s="207">
        <v>0</v>
      </c>
      <c r="BP233" s="389">
        <v>0</v>
      </c>
      <c r="BQ233" s="389">
        <v>0</v>
      </c>
      <c r="BR233" s="389">
        <v>0</v>
      </c>
      <c r="BS233" s="296">
        <v>0</v>
      </c>
      <c r="BT233" s="296">
        <v>0</v>
      </c>
      <c r="BU233" s="296">
        <v>0</v>
      </c>
      <c r="BV233" s="713">
        <v>0</v>
      </c>
      <c r="BW233" s="1011">
        <f t="shared" si="1169"/>
        <v>0</v>
      </c>
      <c r="BX233" s="449" t="s">
        <v>2037</v>
      </c>
    </row>
    <row r="234" spans="1:76" s="1" customFormat="1" ht="72.599999999999994" hidden="1" customHeight="1" outlineLevel="1" x14ac:dyDescent="0.25">
      <c r="A234" s="678">
        <v>124</v>
      </c>
      <c r="B234" s="702" t="s">
        <v>69</v>
      </c>
      <c r="C234" s="697" t="s">
        <v>701</v>
      </c>
      <c r="D234" s="671">
        <v>44635</v>
      </c>
      <c r="E234" s="672" t="s">
        <v>2038</v>
      </c>
      <c r="F234" s="643" t="s">
        <v>2039</v>
      </c>
      <c r="G234" s="95" t="s">
        <v>24</v>
      </c>
      <c r="H234" s="311" t="s">
        <v>129</v>
      </c>
      <c r="I234" s="335"/>
      <c r="J234" s="294"/>
      <c r="K234" s="52">
        <f t="shared" si="1127"/>
        <v>0</v>
      </c>
      <c r="L234" s="52">
        <f t="shared" si="1128"/>
        <v>0</v>
      </c>
      <c r="M234" s="52">
        <f t="shared" si="1156"/>
        <v>0</v>
      </c>
      <c r="N234" s="52">
        <f t="shared" si="1157"/>
        <v>0</v>
      </c>
      <c r="O234" s="52">
        <f t="shared" si="1129"/>
        <v>2.1196597749836396E-5</v>
      </c>
      <c r="P234" s="52">
        <f t="shared" si="1144"/>
        <v>2.1791005538876671E-5</v>
      </c>
      <c r="Q234" s="52">
        <f t="shared" si="1145"/>
        <v>2.1196597749836396E-5</v>
      </c>
      <c r="R234" s="52">
        <f t="shared" si="1130"/>
        <v>0</v>
      </c>
      <c r="S234" s="527">
        <f t="shared" si="1131"/>
        <v>0</v>
      </c>
      <c r="T234" s="533">
        <f t="shared" si="1132"/>
        <v>0</v>
      </c>
      <c r="U234" s="375">
        <f t="shared" si="1133"/>
        <v>0</v>
      </c>
      <c r="V234" s="375">
        <f t="shared" si="1134"/>
        <v>0</v>
      </c>
      <c r="W234" s="386">
        <f t="shared" si="1135"/>
        <v>0</v>
      </c>
      <c r="X234" s="386">
        <f t="shared" si="1158"/>
        <v>0</v>
      </c>
      <c r="Y234" s="386">
        <f t="shared" si="1167"/>
        <v>0</v>
      </c>
      <c r="Z234" s="375">
        <f t="shared" si="1168"/>
        <v>0</v>
      </c>
      <c r="AA234" s="375">
        <f t="shared" si="1138"/>
        <v>-2.1196597749836396E-5</v>
      </c>
      <c r="AB234" s="386">
        <f t="shared" si="1139"/>
        <v>0</v>
      </c>
      <c r="AC234" s="386">
        <f t="shared" si="1146"/>
        <v>0</v>
      </c>
      <c r="AD234" s="386">
        <f t="shared" si="1147"/>
        <v>0</v>
      </c>
      <c r="AE234" s="386">
        <f t="shared" si="1140"/>
        <v>-2.1791005538876671E-5</v>
      </c>
      <c r="AF234" s="386">
        <f t="shared" si="1148"/>
        <v>-2.1196597749836396E-5</v>
      </c>
      <c r="AG234" s="375">
        <f t="shared" si="1149"/>
        <v>-2.1390821917285941E-5</v>
      </c>
      <c r="AH234" s="375">
        <f t="shared" si="1141"/>
        <v>0</v>
      </c>
      <c r="AI234" s="386">
        <f t="shared" si="1150"/>
        <v>0</v>
      </c>
      <c r="AJ234" s="386">
        <f t="shared" si="1151"/>
        <v>0</v>
      </c>
      <c r="AK234" s="386">
        <f t="shared" si="1152"/>
        <v>0</v>
      </c>
      <c r="AL234" s="377">
        <f t="shared" si="1153"/>
        <v>0</v>
      </c>
      <c r="AM234" s="377">
        <f t="shared" si="1154"/>
        <v>0</v>
      </c>
      <c r="AN234" s="377">
        <f t="shared" si="1155"/>
        <v>0</v>
      </c>
      <c r="AO234" s="283"/>
      <c r="AP234" s="295">
        <f t="shared" si="1159"/>
        <v>0.83596899999999996</v>
      </c>
      <c r="AQ234" s="183">
        <f t="shared" si="1065"/>
        <v>0</v>
      </c>
      <c r="AR234" s="94">
        <f t="shared" si="1066"/>
        <v>0</v>
      </c>
      <c r="AS234" s="94">
        <f t="shared" si="1142"/>
        <v>0</v>
      </c>
      <c r="AT234" s="94">
        <f t="shared" si="1160"/>
        <v>0</v>
      </c>
      <c r="AU234" s="94">
        <f t="shared" si="1161"/>
        <v>0</v>
      </c>
      <c r="AV234" s="94">
        <f t="shared" si="1111"/>
        <v>0.83596899999999996</v>
      </c>
      <c r="AW234" s="94">
        <f t="shared" si="1170"/>
        <v>0.83596899999999996</v>
      </c>
      <c r="AX234" s="94">
        <f t="shared" si="1112"/>
        <v>0.83596899999999996</v>
      </c>
      <c r="AY234" s="94">
        <f t="shared" si="1143"/>
        <v>0</v>
      </c>
      <c r="AZ234" s="433">
        <f t="shared" si="1069"/>
        <v>0</v>
      </c>
      <c r="BA234" s="1008">
        <v>0</v>
      </c>
      <c r="BB234" s="409">
        <v>0</v>
      </c>
      <c r="BC234" s="1035">
        <f>0</f>
        <v>0</v>
      </c>
      <c r="BD234" s="1030">
        <v>0</v>
      </c>
      <c r="BE234" s="389">
        <v>0</v>
      </c>
      <c r="BF234" s="516">
        <v>0</v>
      </c>
      <c r="BG234" s="207">
        <v>0</v>
      </c>
      <c r="BH234" s="207">
        <v>-0.83596899999999996</v>
      </c>
      <c r="BI234" s="389">
        <v>0</v>
      </c>
      <c r="BJ234" s="516">
        <v>0</v>
      </c>
      <c r="BK234" s="516">
        <v>0</v>
      </c>
      <c r="BL234" s="516">
        <v>-0.83596899999999996</v>
      </c>
      <c r="BM234" s="516">
        <v>-0.83596899999999996</v>
      </c>
      <c r="BN234" s="713">
        <f>-0.835969</f>
        <v>-0.83596899999999996</v>
      </c>
      <c r="BO234" s="207">
        <v>0</v>
      </c>
      <c r="BP234" s="389">
        <v>0</v>
      </c>
      <c r="BQ234" s="389">
        <v>0</v>
      </c>
      <c r="BR234" s="389">
        <v>0</v>
      </c>
      <c r="BS234" s="296">
        <v>0</v>
      </c>
      <c r="BT234" s="296">
        <v>0</v>
      </c>
      <c r="BU234" s="296">
        <v>0</v>
      </c>
      <c r="BV234" s="713">
        <v>0</v>
      </c>
      <c r="BW234" s="1011">
        <f t="shared" si="1169"/>
        <v>0</v>
      </c>
      <c r="BX234" s="449" t="s">
        <v>2040</v>
      </c>
    </row>
    <row r="235" spans="1:76" s="1" customFormat="1" ht="144.94999999999999" hidden="1" customHeight="1" outlineLevel="1" x14ac:dyDescent="0.25">
      <c r="A235" s="678">
        <v>125</v>
      </c>
      <c r="B235" s="702" t="s">
        <v>69</v>
      </c>
      <c r="C235" s="697" t="s">
        <v>701</v>
      </c>
      <c r="D235" s="671" t="s">
        <v>2042</v>
      </c>
      <c r="E235" s="672" t="s">
        <v>2041</v>
      </c>
      <c r="F235" s="643" t="s">
        <v>2043</v>
      </c>
      <c r="G235" s="95" t="s">
        <v>24</v>
      </c>
      <c r="H235" s="311" t="s">
        <v>129</v>
      </c>
      <c r="I235" s="335"/>
      <c r="J235" s="294"/>
      <c r="K235" s="52">
        <f t="shared" si="1127"/>
        <v>0</v>
      </c>
      <c r="L235" s="52">
        <f t="shared" si="1128"/>
        <v>0</v>
      </c>
      <c r="M235" s="52">
        <f t="shared" si="1156"/>
        <v>0</v>
      </c>
      <c r="N235" s="52">
        <f t="shared" si="1157"/>
        <v>0</v>
      </c>
      <c r="O235" s="52">
        <f t="shared" si="1129"/>
        <v>9.7264550441909239E-5</v>
      </c>
      <c r="P235" s="52">
        <f t="shared" si="1144"/>
        <v>9.9992101677371913E-5</v>
      </c>
      <c r="Q235" s="52">
        <f t="shared" si="1145"/>
        <v>0</v>
      </c>
      <c r="R235" s="52">
        <f t="shared" si="1130"/>
        <v>0</v>
      </c>
      <c r="S235" s="527">
        <f t="shared" si="1131"/>
        <v>0</v>
      </c>
      <c r="T235" s="533">
        <f t="shared" si="1132"/>
        <v>0</v>
      </c>
      <c r="U235" s="375">
        <f t="shared" si="1133"/>
        <v>0</v>
      </c>
      <c r="V235" s="375">
        <f t="shared" si="1134"/>
        <v>0</v>
      </c>
      <c r="W235" s="386">
        <f t="shared" si="1135"/>
        <v>0</v>
      </c>
      <c r="X235" s="386">
        <f t="shared" si="1158"/>
        <v>0</v>
      </c>
      <c r="Y235" s="386">
        <f t="shared" ref="Y235:Y250" si="1171">BF235/Y$8</f>
        <v>0</v>
      </c>
      <c r="Z235" s="375">
        <f t="shared" si="1168"/>
        <v>0</v>
      </c>
      <c r="AA235" s="375">
        <f t="shared" si="1138"/>
        <v>-9.7264550441909239E-5</v>
      </c>
      <c r="AB235" s="386">
        <f t="shared" si="1139"/>
        <v>0</v>
      </c>
      <c r="AC235" s="386">
        <f t="shared" si="1146"/>
        <v>0</v>
      </c>
      <c r="AD235" s="386">
        <f t="shared" si="1147"/>
        <v>0</v>
      </c>
      <c r="AE235" s="386">
        <f t="shared" si="1140"/>
        <v>0</v>
      </c>
      <c r="AF235" s="386">
        <f t="shared" si="1148"/>
        <v>0</v>
      </c>
      <c r="AG235" s="375">
        <f t="shared" si="1149"/>
        <v>0</v>
      </c>
      <c r="AH235" s="375">
        <f t="shared" si="1141"/>
        <v>0</v>
      </c>
      <c r="AI235" s="386">
        <f t="shared" si="1150"/>
        <v>0</v>
      </c>
      <c r="AJ235" s="386">
        <f t="shared" si="1151"/>
        <v>0</v>
      </c>
      <c r="AK235" s="386">
        <f t="shared" si="1152"/>
        <v>0</v>
      </c>
      <c r="AL235" s="377">
        <f t="shared" si="1153"/>
        <v>0</v>
      </c>
      <c r="AM235" s="377">
        <f t="shared" si="1154"/>
        <v>0</v>
      </c>
      <c r="AN235" s="377">
        <f t="shared" si="1155"/>
        <v>0</v>
      </c>
      <c r="AO235" s="283"/>
      <c r="AP235" s="295">
        <f t="shared" si="1159"/>
        <v>3.8360000000000003</v>
      </c>
      <c r="AQ235" s="183">
        <f t="shared" si="1065"/>
        <v>0</v>
      </c>
      <c r="AR235" s="94">
        <f t="shared" si="1066"/>
        <v>0</v>
      </c>
      <c r="AS235" s="94">
        <f t="shared" si="1142"/>
        <v>0</v>
      </c>
      <c r="AT235" s="94">
        <f t="shared" si="1160"/>
        <v>0</v>
      </c>
      <c r="AU235" s="94">
        <f t="shared" si="1161"/>
        <v>0</v>
      </c>
      <c r="AV235" s="94">
        <f t="shared" si="1111"/>
        <v>3.8360000000000003</v>
      </c>
      <c r="AW235" s="94">
        <f>-BH235</f>
        <v>3.8360000000000003</v>
      </c>
      <c r="AX235" s="94">
        <f t="shared" si="1112"/>
        <v>0</v>
      </c>
      <c r="AY235" s="94">
        <f t="shared" si="1143"/>
        <v>0</v>
      </c>
      <c r="AZ235" s="433">
        <f t="shared" si="1069"/>
        <v>0</v>
      </c>
      <c r="BA235" s="1008">
        <v>0</v>
      </c>
      <c r="BB235" s="409">
        <v>0</v>
      </c>
      <c r="BC235" s="1035">
        <f>0</f>
        <v>0</v>
      </c>
      <c r="BD235" s="1030">
        <v>0</v>
      </c>
      <c r="BE235" s="389">
        <v>0</v>
      </c>
      <c r="BF235" s="516">
        <v>0</v>
      </c>
      <c r="BG235" s="207">
        <v>0</v>
      </c>
      <c r="BH235" s="207">
        <f>-0.112-3.724</f>
        <v>-3.8360000000000003</v>
      </c>
      <c r="BI235" s="389">
        <v>0</v>
      </c>
      <c r="BJ235" s="516">
        <v>0</v>
      </c>
      <c r="BK235" s="516">
        <v>0</v>
      </c>
      <c r="BL235" s="516">
        <v>0</v>
      </c>
      <c r="BM235" s="516">
        <v>0</v>
      </c>
      <c r="BN235" s="409">
        <f>0</f>
        <v>0</v>
      </c>
      <c r="BO235" s="207">
        <v>0</v>
      </c>
      <c r="BP235" s="389">
        <v>0</v>
      </c>
      <c r="BQ235" s="389">
        <v>0</v>
      </c>
      <c r="BR235" s="389">
        <v>0</v>
      </c>
      <c r="BS235" s="296">
        <v>0</v>
      </c>
      <c r="BT235" s="296">
        <v>0</v>
      </c>
      <c r="BU235" s="296">
        <v>0</v>
      </c>
      <c r="BV235" s="409">
        <f>0</f>
        <v>0</v>
      </c>
      <c r="BW235" s="1011">
        <f t="shared" si="1169"/>
        <v>0</v>
      </c>
      <c r="BX235" s="449" t="s">
        <v>2044</v>
      </c>
    </row>
    <row r="236" spans="1:76" s="1" customFormat="1" ht="72.599999999999994" hidden="1" customHeight="1" outlineLevel="1" x14ac:dyDescent="0.25">
      <c r="A236" s="678">
        <v>126</v>
      </c>
      <c r="B236" s="702" t="s">
        <v>69</v>
      </c>
      <c r="C236" s="697" t="s">
        <v>1735</v>
      </c>
      <c r="D236" s="671">
        <v>44638</v>
      </c>
      <c r="E236" s="672" t="s">
        <v>2047</v>
      </c>
      <c r="F236" s="643" t="s">
        <v>2048</v>
      </c>
      <c r="G236" s="95" t="s">
        <v>142</v>
      </c>
      <c r="H236" s="311" t="s">
        <v>129</v>
      </c>
      <c r="I236" s="335"/>
      <c r="J236" s="294"/>
      <c r="K236" s="52">
        <f t="shared" si="1127"/>
        <v>0</v>
      </c>
      <c r="L236" s="52">
        <f t="shared" si="1128"/>
        <v>0</v>
      </c>
      <c r="M236" s="52">
        <f t="shared" si="1156"/>
        <v>0</v>
      </c>
      <c r="N236" s="52">
        <f t="shared" si="1157"/>
        <v>0</v>
      </c>
      <c r="O236" s="52">
        <f t="shared" si="1129"/>
        <v>3.599582000456176E-5</v>
      </c>
      <c r="P236" s="52">
        <f t="shared" si="1144"/>
        <v>3.700523651734945E-5</v>
      </c>
      <c r="Q236" s="52">
        <f t="shared" si="1145"/>
        <v>0</v>
      </c>
      <c r="R236" s="52">
        <f t="shared" si="1130"/>
        <v>0</v>
      </c>
      <c r="S236" s="527">
        <f t="shared" si="1131"/>
        <v>0</v>
      </c>
      <c r="T236" s="533">
        <f t="shared" si="1132"/>
        <v>0</v>
      </c>
      <c r="U236" s="375">
        <f t="shared" si="1133"/>
        <v>0</v>
      </c>
      <c r="V236" s="375">
        <f t="shared" ref="V236:V241" si="1172">BC236/V$8</f>
        <v>0</v>
      </c>
      <c r="W236" s="386">
        <f t="shared" si="1135"/>
        <v>0</v>
      </c>
      <c r="X236" s="386">
        <f t="shared" si="1158"/>
        <v>0</v>
      </c>
      <c r="Y236" s="386">
        <f t="shared" si="1171"/>
        <v>0</v>
      </c>
      <c r="Z236" s="375">
        <f t="shared" si="1168"/>
        <v>0</v>
      </c>
      <c r="AA236" s="375">
        <f t="shared" si="1138"/>
        <v>-3.599582000456176E-5</v>
      </c>
      <c r="AB236" s="386">
        <f t="shared" si="1139"/>
        <v>0</v>
      </c>
      <c r="AC236" s="386">
        <f t="shared" si="1146"/>
        <v>0</v>
      </c>
      <c r="AD236" s="386">
        <f t="shared" si="1147"/>
        <v>0</v>
      </c>
      <c r="AE236" s="386">
        <f t="shared" si="1140"/>
        <v>-3.700523651734945E-5</v>
      </c>
      <c r="AF236" s="386">
        <f t="shared" si="1148"/>
        <v>-3.599582000456176E-5</v>
      </c>
      <c r="AG236" s="375">
        <f t="shared" si="1149"/>
        <v>0</v>
      </c>
      <c r="AH236" s="375">
        <f t="shared" si="1141"/>
        <v>0</v>
      </c>
      <c r="AI236" s="386">
        <f t="shared" si="1150"/>
        <v>0</v>
      </c>
      <c r="AJ236" s="386">
        <f t="shared" si="1151"/>
        <v>0</v>
      </c>
      <c r="AK236" s="386">
        <f t="shared" si="1152"/>
        <v>0</v>
      </c>
      <c r="AL236" s="377">
        <f t="shared" si="1153"/>
        <v>0</v>
      </c>
      <c r="AM236" s="377">
        <f t="shared" si="1154"/>
        <v>0</v>
      </c>
      <c r="AN236" s="377">
        <f t="shared" si="1155"/>
        <v>0</v>
      </c>
      <c r="AO236" s="283"/>
      <c r="AP236" s="295">
        <f t="shared" ref="AP236:AP241" si="1173">AR236+AU236+AZ236+AW236+AY236</f>
        <v>1.4196329999999999</v>
      </c>
      <c r="AQ236" s="183">
        <f t="shared" si="1065"/>
        <v>0</v>
      </c>
      <c r="AR236" s="94">
        <f t="shared" ref="AR236:AR241" si="1174">-BB236</f>
        <v>0</v>
      </c>
      <c r="AS236" s="94">
        <f t="shared" si="1142"/>
        <v>0</v>
      </c>
      <c r="AT236" s="94">
        <f t="shared" si="1160"/>
        <v>0</v>
      </c>
      <c r="AU236" s="94">
        <f t="shared" si="1161"/>
        <v>0</v>
      </c>
      <c r="AV236" s="94">
        <f t="shared" si="1111"/>
        <v>1.4196329999999999</v>
      </c>
      <c r="AW236" s="94">
        <f t="shared" ref="AW236:AW244" si="1175">-BH236</f>
        <v>1.4196329999999999</v>
      </c>
      <c r="AX236" s="94">
        <f t="shared" si="1112"/>
        <v>0</v>
      </c>
      <c r="AY236" s="94">
        <f t="shared" si="1143"/>
        <v>0</v>
      </c>
      <c r="AZ236" s="433">
        <f t="shared" si="1069"/>
        <v>0</v>
      </c>
      <c r="BA236" s="1008">
        <v>0</v>
      </c>
      <c r="BB236" s="409">
        <v>0</v>
      </c>
      <c r="BC236" s="1035">
        <f>0</f>
        <v>0</v>
      </c>
      <c r="BD236" s="1030">
        <v>0</v>
      </c>
      <c r="BE236" s="389">
        <v>0</v>
      </c>
      <c r="BF236" s="516">
        <v>0</v>
      </c>
      <c r="BG236" s="207">
        <v>0</v>
      </c>
      <c r="BH236" s="207">
        <f>-1.419633</f>
        <v>-1.4196329999999999</v>
      </c>
      <c r="BI236" s="389">
        <v>0</v>
      </c>
      <c r="BJ236" s="516">
        <v>0</v>
      </c>
      <c r="BK236" s="516">
        <v>0</v>
      </c>
      <c r="BL236" s="516">
        <v>-1.4196329999999999</v>
      </c>
      <c r="BM236" s="516">
        <v>-1.4196329999999999</v>
      </c>
      <c r="BN236" s="409">
        <f>0</f>
        <v>0</v>
      </c>
      <c r="BO236" s="207">
        <v>0</v>
      </c>
      <c r="BP236" s="389">
        <v>0</v>
      </c>
      <c r="BQ236" s="389">
        <v>0</v>
      </c>
      <c r="BR236" s="389">
        <v>0</v>
      </c>
      <c r="BS236" s="296">
        <v>0</v>
      </c>
      <c r="BT236" s="296">
        <v>0</v>
      </c>
      <c r="BU236" s="296">
        <v>0</v>
      </c>
      <c r="BV236" s="409">
        <v>0</v>
      </c>
      <c r="BW236" s="1011">
        <f t="shared" si="1169"/>
        <v>0</v>
      </c>
      <c r="BX236" s="449" t="s">
        <v>2046</v>
      </c>
    </row>
    <row r="237" spans="1:76" s="1" customFormat="1" ht="87" hidden="1" customHeight="1" outlineLevel="1" x14ac:dyDescent="0.25">
      <c r="A237" s="678">
        <v>127</v>
      </c>
      <c r="B237" s="702" t="s">
        <v>69</v>
      </c>
      <c r="C237" s="697" t="s">
        <v>1737</v>
      </c>
      <c r="D237" s="671">
        <v>44635</v>
      </c>
      <c r="E237" s="672" t="s">
        <v>2084</v>
      </c>
      <c r="F237" s="643" t="s">
        <v>2083</v>
      </c>
      <c r="G237" s="95" t="s">
        <v>24</v>
      </c>
      <c r="H237" s="311" t="s">
        <v>1798</v>
      </c>
      <c r="I237" s="335"/>
      <c r="J237" s="294"/>
      <c r="K237" s="52">
        <f t="shared" ref="K237" si="1176">AR237/U$8</f>
        <v>0</v>
      </c>
      <c r="L237" s="52">
        <f t="shared" ref="L237" si="1177">AS237/V$8</f>
        <v>0</v>
      </c>
      <c r="M237" s="52">
        <f t="shared" ref="M237" si="1178">AT237/Y$8</f>
        <v>0</v>
      </c>
      <c r="N237" s="52">
        <f t="shared" ref="N237" si="1179">AU237/Z$8</f>
        <v>0</v>
      </c>
      <c r="O237" s="52">
        <f t="shared" si="1129"/>
        <v>2.6486587432642959E-7</v>
      </c>
      <c r="P237" s="52">
        <f t="shared" si="1144"/>
        <v>2.7229340305574215E-7</v>
      </c>
      <c r="Q237" s="52">
        <f t="shared" si="1145"/>
        <v>2.6486587432642959E-7</v>
      </c>
      <c r="R237" s="52">
        <f t="shared" si="1130"/>
        <v>0</v>
      </c>
      <c r="S237" s="527">
        <f t="shared" ref="S237" si="1180">AZ237/AN$8</f>
        <v>0</v>
      </c>
      <c r="T237" s="533">
        <f t="shared" ref="T237" si="1181">BA237/T$8</f>
        <v>0</v>
      </c>
      <c r="U237" s="375">
        <f t="shared" ref="U237" si="1182">BB237/U$8</f>
        <v>0</v>
      </c>
      <c r="V237" s="375">
        <f t="shared" ref="V237" si="1183">BC237/V$8</f>
        <v>0</v>
      </c>
      <c r="W237" s="386">
        <f t="shared" ref="W237" si="1184">BD237/W$8</f>
        <v>0</v>
      </c>
      <c r="X237" s="386">
        <f t="shared" ref="X237" si="1185">BE237/X$8</f>
        <v>0</v>
      </c>
      <c r="Y237" s="386">
        <f t="shared" ref="Y237" si="1186">BF237/Y$8</f>
        <v>0</v>
      </c>
      <c r="Z237" s="375">
        <f t="shared" ref="Z237" si="1187">BG237/Z$8</f>
        <v>0</v>
      </c>
      <c r="AA237" s="375">
        <f t="shared" ref="AA237" si="1188">BH237/AA$8</f>
        <v>-2.6486587432642959E-7</v>
      </c>
      <c r="AB237" s="386">
        <f t="shared" ref="AB237" si="1189">BI237/AB$8</f>
        <v>0</v>
      </c>
      <c r="AC237" s="386">
        <f t="shared" si="1146"/>
        <v>0</v>
      </c>
      <c r="AD237" s="386">
        <f t="shared" si="1147"/>
        <v>0</v>
      </c>
      <c r="AE237" s="386">
        <f t="shared" si="1140"/>
        <v>-2.7229340305574215E-7</v>
      </c>
      <c r="AF237" s="386">
        <f t="shared" si="1148"/>
        <v>-2.6486587432642959E-7</v>
      </c>
      <c r="AG237" s="375">
        <f t="shared" si="1149"/>
        <v>-2.6729283711234386E-7</v>
      </c>
      <c r="AH237" s="375">
        <f t="shared" si="1141"/>
        <v>0</v>
      </c>
      <c r="AI237" s="386">
        <f t="shared" si="1150"/>
        <v>0</v>
      </c>
      <c r="AJ237" s="386">
        <f t="shared" si="1151"/>
        <v>0</v>
      </c>
      <c r="AK237" s="386">
        <f t="shared" si="1152"/>
        <v>0</v>
      </c>
      <c r="AL237" s="377">
        <f t="shared" si="1153"/>
        <v>0</v>
      </c>
      <c r="AM237" s="377">
        <f t="shared" si="1154"/>
        <v>0</v>
      </c>
      <c r="AN237" s="377">
        <f t="shared" si="1155"/>
        <v>0</v>
      </c>
      <c r="AO237" s="283"/>
      <c r="AP237" s="295">
        <f t="shared" ref="AP237" si="1190">AR237+AU237+AZ237+AW237+AY237</f>
        <v>1.0446E-2</v>
      </c>
      <c r="AQ237" s="183">
        <f t="shared" ref="AQ237" si="1191">-BA237</f>
        <v>0</v>
      </c>
      <c r="AR237" s="94">
        <f t="shared" ref="AR237" si="1192">-BB237</f>
        <v>0</v>
      </c>
      <c r="AS237" s="94">
        <f t="shared" ref="AS237" si="1193">-BC237</f>
        <v>0</v>
      </c>
      <c r="AT237" s="94">
        <f t="shared" ref="AT237" si="1194">-BC237</f>
        <v>0</v>
      </c>
      <c r="AU237" s="94">
        <f t="shared" ref="AU237" si="1195">-BG237</f>
        <v>0</v>
      </c>
      <c r="AV237" s="94">
        <f t="shared" si="1111"/>
        <v>1.0446E-2</v>
      </c>
      <c r="AW237" s="94">
        <f t="shared" ref="AW237" si="1196">-BH237</f>
        <v>1.0446E-2</v>
      </c>
      <c r="AX237" s="94">
        <f t="shared" si="1112"/>
        <v>1.0446E-2</v>
      </c>
      <c r="AY237" s="94">
        <f t="shared" ref="AY237" si="1197">-BO237</f>
        <v>0</v>
      </c>
      <c r="AZ237" s="433">
        <f t="shared" ref="AZ237" si="1198">-BU237</f>
        <v>0</v>
      </c>
      <c r="BA237" s="1008">
        <v>0</v>
      </c>
      <c r="BB237" s="409">
        <v>0</v>
      </c>
      <c r="BC237" s="1035">
        <f>0</f>
        <v>0</v>
      </c>
      <c r="BD237" s="1030">
        <v>0</v>
      </c>
      <c r="BE237" s="389">
        <v>0</v>
      </c>
      <c r="BF237" s="516">
        <v>0</v>
      </c>
      <c r="BG237" s="207">
        <v>0</v>
      </c>
      <c r="BH237" s="207">
        <v>-1.0446E-2</v>
      </c>
      <c r="BI237" s="389">
        <v>0</v>
      </c>
      <c r="BJ237" s="516">
        <v>0</v>
      </c>
      <c r="BK237" s="516">
        <v>0</v>
      </c>
      <c r="BL237" s="516">
        <v>-1.0446E-2</v>
      </c>
      <c r="BM237" s="516">
        <v>-1.0446E-2</v>
      </c>
      <c r="BN237" s="713">
        <f>-0.010446</f>
        <v>-1.0446E-2</v>
      </c>
      <c r="BO237" s="207">
        <v>0</v>
      </c>
      <c r="BP237" s="389">
        <v>0</v>
      </c>
      <c r="BQ237" s="389">
        <v>0</v>
      </c>
      <c r="BR237" s="389">
        <v>0</v>
      </c>
      <c r="BS237" s="296">
        <v>0</v>
      </c>
      <c r="BT237" s="296">
        <v>0</v>
      </c>
      <c r="BU237" s="296">
        <v>0</v>
      </c>
      <c r="BV237" s="713">
        <v>0</v>
      </c>
      <c r="BW237" s="1011">
        <f t="shared" ref="BW237" si="1199">-BV237</f>
        <v>0</v>
      </c>
      <c r="BX237" s="449" t="s">
        <v>2082</v>
      </c>
    </row>
    <row r="238" spans="1:76" s="1" customFormat="1" ht="144.94999999999999" hidden="1" customHeight="1" outlineLevel="1" x14ac:dyDescent="0.25">
      <c r="A238" s="678">
        <v>128</v>
      </c>
      <c r="B238" s="702" t="s">
        <v>69</v>
      </c>
      <c r="C238" s="697" t="s">
        <v>1737</v>
      </c>
      <c r="D238" s="671">
        <v>44643</v>
      </c>
      <c r="E238" s="672" t="s">
        <v>2050</v>
      </c>
      <c r="F238" s="643" t="s">
        <v>2045</v>
      </c>
      <c r="G238" s="95" t="s">
        <v>24</v>
      </c>
      <c r="H238" s="311" t="s">
        <v>1798</v>
      </c>
      <c r="I238" s="335"/>
      <c r="J238" s="294"/>
      <c r="K238" s="52">
        <f t="shared" si="1127"/>
        <v>0</v>
      </c>
      <c r="L238" s="52">
        <f t="shared" si="1128"/>
        <v>0</v>
      </c>
      <c r="M238" s="52">
        <f t="shared" si="1156"/>
        <v>0</v>
      </c>
      <c r="N238" s="52">
        <f t="shared" si="1157"/>
        <v>0</v>
      </c>
      <c r="O238" s="52">
        <f t="shared" si="1129"/>
        <v>1.3172143024195554E-4</v>
      </c>
      <c r="P238" s="52">
        <f t="shared" si="1144"/>
        <v>1.3541524210003772E-4</v>
      </c>
      <c r="Q238" s="52">
        <f t="shared" si="1145"/>
        <v>3.2385674810228089E-4</v>
      </c>
      <c r="R238" s="52">
        <f t="shared" si="1130"/>
        <v>0</v>
      </c>
      <c r="S238" s="527">
        <f t="shared" si="1131"/>
        <v>0</v>
      </c>
      <c r="T238" s="533">
        <f t="shared" si="1132"/>
        <v>0</v>
      </c>
      <c r="U238" s="375">
        <f t="shared" si="1133"/>
        <v>0</v>
      </c>
      <c r="V238" s="375">
        <f t="shared" si="1172"/>
        <v>0</v>
      </c>
      <c r="W238" s="386">
        <f t="shared" si="1135"/>
        <v>0</v>
      </c>
      <c r="X238" s="386">
        <f t="shared" si="1158"/>
        <v>0</v>
      </c>
      <c r="Y238" s="386">
        <f t="shared" si="1171"/>
        <v>0</v>
      </c>
      <c r="Z238" s="375">
        <f t="shared" si="1168"/>
        <v>0</v>
      </c>
      <c r="AA238" s="375">
        <f t="shared" si="1138"/>
        <v>-1.3172143024195554E-4</v>
      </c>
      <c r="AB238" s="386">
        <f t="shared" si="1139"/>
        <v>0</v>
      </c>
      <c r="AC238" s="386">
        <f t="shared" si="1146"/>
        <v>0</v>
      </c>
      <c r="AD238" s="386">
        <f t="shared" si="1147"/>
        <v>0</v>
      </c>
      <c r="AE238" s="386">
        <f t="shared" si="1140"/>
        <v>-1.3541524210003772E-4</v>
      </c>
      <c r="AF238" s="386">
        <f t="shared" si="1148"/>
        <v>-1.3172143024195554E-4</v>
      </c>
      <c r="AG238" s="375">
        <f t="shared" si="1149"/>
        <v>-3.2682424354732551E-4</v>
      </c>
      <c r="AH238" s="375">
        <f t="shared" si="1141"/>
        <v>0</v>
      </c>
      <c r="AI238" s="386">
        <f t="shared" si="1150"/>
        <v>0</v>
      </c>
      <c r="AJ238" s="386">
        <f t="shared" si="1151"/>
        <v>0</v>
      </c>
      <c r="AK238" s="386">
        <f t="shared" si="1152"/>
        <v>0</v>
      </c>
      <c r="AL238" s="377">
        <f t="shared" si="1153"/>
        <v>0</v>
      </c>
      <c r="AM238" s="377">
        <f t="shared" si="1154"/>
        <v>0</v>
      </c>
      <c r="AN238" s="377">
        <f t="shared" si="1155"/>
        <v>0</v>
      </c>
      <c r="AO238" s="283"/>
      <c r="AP238" s="295">
        <f t="shared" si="1173"/>
        <v>5.1949389999999998</v>
      </c>
      <c r="AQ238" s="183">
        <f t="shared" si="1065"/>
        <v>0</v>
      </c>
      <c r="AR238" s="94">
        <f t="shared" si="1174"/>
        <v>0</v>
      </c>
      <c r="AS238" s="94">
        <f t="shared" si="1142"/>
        <v>0</v>
      </c>
      <c r="AT238" s="94">
        <f t="shared" si="1160"/>
        <v>0</v>
      </c>
      <c r="AU238" s="94">
        <f t="shared" si="1161"/>
        <v>0</v>
      </c>
      <c r="AV238" s="94">
        <f t="shared" si="1111"/>
        <v>5.1949389999999998</v>
      </c>
      <c r="AW238" s="94">
        <f t="shared" si="1175"/>
        <v>5.1949389999999998</v>
      </c>
      <c r="AX238" s="94">
        <f t="shared" si="1112"/>
        <v>12.772531000000001</v>
      </c>
      <c r="AY238" s="94">
        <f t="shared" si="1143"/>
        <v>0</v>
      </c>
      <c r="AZ238" s="433">
        <f t="shared" si="1069"/>
        <v>0</v>
      </c>
      <c r="BA238" s="1008">
        <v>0</v>
      </c>
      <c r="BB238" s="409">
        <v>0</v>
      </c>
      <c r="BC238" s="1035">
        <f>0</f>
        <v>0</v>
      </c>
      <c r="BD238" s="1030">
        <v>0</v>
      </c>
      <c r="BE238" s="389">
        <v>0</v>
      </c>
      <c r="BF238" s="516">
        <v>0</v>
      </c>
      <c r="BG238" s="207">
        <v>0</v>
      </c>
      <c r="BH238" s="207">
        <f>-5.194939</f>
        <v>-5.1949389999999998</v>
      </c>
      <c r="BI238" s="389">
        <v>0</v>
      </c>
      <c r="BJ238" s="516">
        <v>0</v>
      </c>
      <c r="BK238" s="516">
        <v>0</v>
      </c>
      <c r="BL238" s="516">
        <v>-5.1949389999999998</v>
      </c>
      <c r="BM238" s="516">
        <v>-5.1949389999999998</v>
      </c>
      <c r="BN238" s="713">
        <f>-9.504203-3.268328</f>
        <v>-12.772531000000001</v>
      </c>
      <c r="BO238" s="207">
        <v>0</v>
      </c>
      <c r="BP238" s="389">
        <v>0</v>
      </c>
      <c r="BQ238" s="389">
        <v>0</v>
      </c>
      <c r="BR238" s="389">
        <v>0</v>
      </c>
      <c r="BS238" s="296">
        <v>0</v>
      </c>
      <c r="BT238" s="296">
        <v>0</v>
      </c>
      <c r="BU238" s="296">
        <v>0</v>
      </c>
      <c r="BV238" s="713">
        <v>0</v>
      </c>
      <c r="BW238" s="1011">
        <f t="shared" si="1169"/>
        <v>0</v>
      </c>
      <c r="BX238" s="449" t="s">
        <v>2049</v>
      </c>
    </row>
    <row r="239" spans="1:76" s="1" customFormat="1" ht="72.599999999999994" hidden="1" customHeight="1" outlineLevel="1" x14ac:dyDescent="0.25">
      <c r="A239" s="678">
        <v>129</v>
      </c>
      <c r="B239" s="702" t="s">
        <v>69</v>
      </c>
      <c r="C239" s="697" t="s">
        <v>1737</v>
      </c>
      <c r="D239" s="671">
        <v>44643</v>
      </c>
      <c r="E239" s="672" t="s">
        <v>2053</v>
      </c>
      <c r="F239" s="643" t="s">
        <v>2052</v>
      </c>
      <c r="G239" s="95" t="s">
        <v>24</v>
      </c>
      <c r="H239" s="311" t="s">
        <v>1798</v>
      </c>
      <c r="I239" s="335"/>
      <c r="J239" s="294"/>
      <c r="K239" s="52">
        <f t="shared" si="1127"/>
        <v>0</v>
      </c>
      <c r="L239" s="52">
        <f t="shared" si="1128"/>
        <v>0</v>
      </c>
      <c r="M239" s="52">
        <f t="shared" si="1156"/>
        <v>0</v>
      </c>
      <c r="N239" s="52">
        <f t="shared" si="1157"/>
        <v>0</v>
      </c>
      <c r="O239" s="52">
        <f t="shared" si="1129"/>
        <v>5.4015295048592084E-6</v>
      </c>
      <c r="P239" s="52">
        <f t="shared" si="1144"/>
        <v>5.5530024557691704E-6</v>
      </c>
      <c r="Q239" s="52">
        <f t="shared" si="1145"/>
        <v>5.4017830620814239E-6</v>
      </c>
      <c r="R239" s="52">
        <f t="shared" si="1130"/>
        <v>0</v>
      </c>
      <c r="S239" s="527">
        <f t="shared" si="1131"/>
        <v>0</v>
      </c>
      <c r="T239" s="533">
        <f t="shared" si="1132"/>
        <v>0</v>
      </c>
      <c r="U239" s="375">
        <f t="shared" si="1133"/>
        <v>0</v>
      </c>
      <c r="V239" s="375">
        <f t="shared" si="1172"/>
        <v>0</v>
      </c>
      <c r="W239" s="386">
        <f t="shared" si="1135"/>
        <v>0</v>
      </c>
      <c r="X239" s="386">
        <f t="shared" si="1158"/>
        <v>0</v>
      </c>
      <c r="Y239" s="386">
        <f t="shared" si="1171"/>
        <v>0</v>
      </c>
      <c r="Z239" s="375">
        <f t="shared" si="1168"/>
        <v>0</v>
      </c>
      <c r="AA239" s="375">
        <f t="shared" si="1138"/>
        <v>-5.4015295048592084E-6</v>
      </c>
      <c r="AB239" s="386">
        <f t="shared" si="1139"/>
        <v>0</v>
      </c>
      <c r="AC239" s="386">
        <f t="shared" si="1146"/>
        <v>0</v>
      </c>
      <c r="AD239" s="386">
        <f t="shared" si="1147"/>
        <v>0</v>
      </c>
      <c r="AE239" s="386">
        <f t="shared" si="1140"/>
        <v>-5.5530024557691704E-6</v>
      </c>
      <c r="AF239" s="386">
        <f t="shared" si="1148"/>
        <v>-5.4015295048592084E-6</v>
      </c>
      <c r="AG239" s="375">
        <f t="shared" si="1149"/>
        <v>-5.4512795345982893E-6</v>
      </c>
      <c r="AH239" s="375">
        <f t="shared" si="1141"/>
        <v>0</v>
      </c>
      <c r="AI239" s="386">
        <f t="shared" si="1150"/>
        <v>0</v>
      </c>
      <c r="AJ239" s="386">
        <f t="shared" si="1151"/>
        <v>0</v>
      </c>
      <c r="AK239" s="386">
        <f t="shared" si="1152"/>
        <v>0</v>
      </c>
      <c r="AL239" s="377">
        <f t="shared" si="1153"/>
        <v>0</v>
      </c>
      <c r="AM239" s="377">
        <f t="shared" si="1154"/>
        <v>0</v>
      </c>
      <c r="AN239" s="377">
        <f t="shared" si="1155"/>
        <v>0</v>
      </c>
      <c r="AO239" s="283"/>
      <c r="AP239" s="295">
        <f t="shared" si="1173"/>
        <v>0.21303</v>
      </c>
      <c r="AQ239" s="183">
        <f t="shared" si="1065"/>
        <v>0</v>
      </c>
      <c r="AR239" s="94">
        <f t="shared" si="1174"/>
        <v>0</v>
      </c>
      <c r="AS239" s="94">
        <f t="shared" si="1142"/>
        <v>0</v>
      </c>
      <c r="AT239" s="94">
        <f t="shared" si="1160"/>
        <v>0</v>
      </c>
      <c r="AU239" s="94">
        <f t="shared" si="1161"/>
        <v>0</v>
      </c>
      <c r="AV239" s="94">
        <f t="shared" si="1111"/>
        <v>0.21303</v>
      </c>
      <c r="AW239" s="94">
        <f t="shared" si="1175"/>
        <v>0.21303</v>
      </c>
      <c r="AX239" s="94">
        <f t="shared" si="1112"/>
        <v>0.21304000000000001</v>
      </c>
      <c r="AY239" s="94">
        <f t="shared" si="1143"/>
        <v>0</v>
      </c>
      <c r="AZ239" s="433">
        <f t="shared" si="1069"/>
        <v>0</v>
      </c>
      <c r="BA239" s="1008">
        <v>0</v>
      </c>
      <c r="BB239" s="409">
        <v>0</v>
      </c>
      <c r="BC239" s="1035">
        <f>0</f>
        <v>0</v>
      </c>
      <c r="BD239" s="1030">
        <v>0</v>
      </c>
      <c r="BE239" s="389">
        <v>0</v>
      </c>
      <c r="BF239" s="516">
        <v>0</v>
      </c>
      <c r="BG239" s="207">
        <v>0</v>
      </c>
      <c r="BH239" s="207">
        <f>-0.21303</f>
        <v>-0.21303</v>
      </c>
      <c r="BI239" s="389">
        <v>0</v>
      </c>
      <c r="BJ239" s="516">
        <v>0</v>
      </c>
      <c r="BK239" s="516">
        <v>0</v>
      </c>
      <c r="BL239" s="516">
        <v>-0.21303</v>
      </c>
      <c r="BM239" s="516">
        <v>-0.21303</v>
      </c>
      <c r="BN239" s="713">
        <f>-0.21304</f>
        <v>-0.21304000000000001</v>
      </c>
      <c r="BO239" s="207">
        <v>0</v>
      </c>
      <c r="BP239" s="389">
        <v>0</v>
      </c>
      <c r="BQ239" s="389">
        <v>0</v>
      </c>
      <c r="BR239" s="389">
        <v>0</v>
      </c>
      <c r="BS239" s="296">
        <v>0</v>
      </c>
      <c r="BT239" s="296">
        <v>0</v>
      </c>
      <c r="BU239" s="296">
        <v>0</v>
      </c>
      <c r="BV239" s="713">
        <v>0</v>
      </c>
      <c r="BW239" s="1011">
        <f t="shared" si="1169"/>
        <v>0</v>
      </c>
      <c r="BX239" s="449" t="s">
        <v>2051</v>
      </c>
    </row>
    <row r="240" spans="1:76" s="1" customFormat="1" ht="72.599999999999994" hidden="1" customHeight="1" outlineLevel="1" x14ac:dyDescent="0.25">
      <c r="A240" s="678">
        <v>130</v>
      </c>
      <c r="B240" s="702" t="s">
        <v>69</v>
      </c>
      <c r="C240" s="697" t="s">
        <v>701</v>
      </c>
      <c r="D240" s="671">
        <v>44643</v>
      </c>
      <c r="E240" s="672" t="s">
        <v>2056</v>
      </c>
      <c r="F240" s="643" t="s">
        <v>2055</v>
      </c>
      <c r="G240" s="95" t="s">
        <v>24</v>
      </c>
      <c r="H240" s="311" t="s">
        <v>1798</v>
      </c>
      <c r="I240" s="335"/>
      <c r="J240" s="294"/>
      <c r="K240" s="52">
        <f t="shared" si="1127"/>
        <v>0</v>
      </c>
      <c r="L240" s="52">
        <f t="shared" si="1128"/>
        <v>0</v>
      </c>
      <c r="M240" s="52">
        <f t="shared" si="1156"/>
        <v>0</v>
      </c>
      <c r="N240" s="52">
        <f t="shared" si="1157"/>
        <v>0</v>
      </c>
      <c r="O240" s="52">
        <f t="shared" si="1129"/>
        <v>4.9912409568754582E-5</v>
      </c>
      <c r="P240" s="52">
        <f t="shared" si="1144"/>
        <v>5.1312083486596664E-5</v>
      </c>
      <c r="Q240" s="52">
        <f t="shared" si="1145"/>
        <v>4.9912409568754582E-5</v>
      </c>
      <c r="R240" s="52">
        <f t="shared" si="1130"/>
        <v>0</v>
      </c>
      <c r="S240" s="527">
        <f t="shared" si="1131"/>
        <v>0</v>
      </c>
      <c r="T240" s="533">
        <f t="shared" si="1132"/>
        <v>0</v>
      </c>
      <c r="U240" s="375">
        <f t="shared" si="1133"/>
        <v>0</v>
      </c>
      <c r="V240" s="375">
        <f t="shared" si="1172"/>
        <v>0</v>
      </c>
      <c r="W240" s="386">
        <f t="shared" si="1135"/>
        <v>0</v>
      </c>
      <c r="X240" s="386">
        <f t="shared" si="1158"/>
        <v>0</v>
      </c>
      <c r="Y240" s="386">
        <f t="shared" si="1171"/>
        <v>0</v>
      </c>
      <c r="Z240" s="375">
        <f t="shared" si="1168"/>
        <v>0</v>
      </c>
      <c r="AA240" s="375">
        <f t="shared" si="1138"/>
        <v>-4.9912409568754582E-5</v>
      </c>
      <c r="AB240" s="386">
        <f t="shared" si="1139"/>
        <v>0</v>
      </c>
      <c r="AC240" s="386">
        <f t="shared" si="1146"/>
        <v>0</v>
      </c>
      <c r="AD240" s="386">
        <f t="shared" si="1147"/>
        <v>0</v>
      </c>
      <c r="AE240" s="386">
        <f t="shared" si="1140"/>
        <v>-5.1312083486596664E-5</v>
      </c>
      <c r="AF240" s="386">
        <f t="shared" si="1148"/>
        <v>-4.9912409568754582E-5</v>
      </c>
      <c r="AG240" s="375">
        <f t="shared" si="1149"/>
        <v>-5.0369756370741564E-5</v>
      </c>
      <c r="AH240" s="375">
        <f t="shared" si="1141"/>
        <v>0</v>
      </c>
      <c r="AI240" s="386">
        <f t="shared" si="1150"/>
        <v>0</v>
      </c>
      <c r="AJ240" s="386">
        <f t="shared" si="1151"/>
        <v>0</v>
      </c>
      <c r="AK240" s="386">
        <f t="shared" si="1152"/>
        <v>0</v>
      </c>
      <c r="AL240" s="377">
        <f t="shared" si="1153"/>
        <v>0</v>
      </c>
      <c r="AM240" s="377">
        <f t="shared" si="1154"/>
        <v>0</v>
      </c>
      <c r="AN240" s="377">
        <f t="shared" si="1155"/>
        <v>0</v>
      </c>
      <c r="AO240" s="283"/>
      <c r="AP240" s="295">
        <f t="shared" si="1173"/>
        <v>1.9684870000000001</v>
      </c>
      <c r="AQ240" s="183">
        <f t="shared" si="1065"/>
        <v>0</v>
      </c>
      <c r="AR240" s="94">
        <f t="shared" si="1174"/>
        <v>0</v>
      </c>
      <c r="AS240" s="94">
        <f t="shared" si="1142"/>
        <v>0</v>
      </c>
      <c r="AT240" s="94">
        <f t="shared" si="1160"/>
        <v>0</v>
      </c>
      <c r="AU240" s="94">
        <f t="shared" si="1161"/>
        <v>0</v>
      </c>
      <c r="AV240" s="94">
        <f t="shared" si="1111"/>
        <v>1.9684870000000001</v>
      </c>
      <c r="AW240" s="94">
        <f t="shared" si="1175"/>
        <v>1.9684870000000001</v>
      </c>
      <c r="AX240" s="94">
        <f t="shared" ref="AX240:AX262" si="1200">-BN240</f>
        <v>1.9684870000000001</v>
      </c>
      <c r="AY240" s="94">
        <f t="shared" si="1143"/>
        <v>0</v>
      </c>
      <c r="AZ240" s="433">
        <f t="shared" si="1069"/>
        <v>0</v>
      </c>
      <c r="BA240" s="1008">
        <v>0</v>
      </c>
      <c r="BB240" s="409">
        <v>0</v>
      </c>
      <c r="BC240" s="1035">
        <f>0</f>
        <v>0</v>
      </c>
      <c r="BD240" s="1030">
        <v>0</v>
      </c>
      <c r="BE240" s="389">
        <v>0</v>
      </c>
      <c r="BF240" s="516">
        <v>0</v>
      </c>
      <c r="BG240" s="207">
        <v>0</v>
      </c>
      <c r="BH240" s="207">
        <f>-1.968487</f>
        <v>-1.9684870000000001</v>
      </c>
      <c r="BI240" s="389">
        <v>0</v>
      </c>
      <c r="BJ240" s="516">
        <v>0</v>
      </c>
      <c r="BK240" s="516">
        <v>0</v>
      </c>
      <c r="BL240" s="516">
        <v>-1.9684870000000001</v>
      </c>
      <c r="BM240" s="516">
        <v>-1.9684870000000001</v>
      </c>
      <c r="BN240" s="713">
        <f>-1.968487</f>
        <v>-1.9684870000000001</v>
      </c>
      <c r="BO240" s="207">
        <v>0</v>
      </c>
      <c r="BP240" s="389">
        <v>0</v>
      </c>
      <c r="BQ240" s="389">
        <v>0</v>
      </c>
      <c r="BR240" s="389">
        <v>0</v>
      </c>
      <c r="BS240" s="296">
        <v>0</v>
      </c>
      <c r="BT240" s="296">
        <v>0</v>
      </c>
      <c r="BU240" s="296">
        <v>0</v>
      </c>
      <c r="BV240" s="713">
        <v>0</v>
      </c>
      <c r="BW240" s="1011">
        <f t="shared" si="1169"/>
        <v>0</v>
      </c>
      <c r="BX240" s="449" t="s">
        <v>2054</v>
      </c>
    </row>
    <row r="241" spans="1:76" s="1" customFormat="1" ht="101.45" hidden="1" customHeight="1" outlineLevel="1" x14ac:dyDescent="0.25">
      <c r="A241" s="678">
        <v>131</v>
      </c>
      <c r="B241" s="702" t="s">
        <v>69</v>
      </c>
      <c r="C241" s="697" t="s">
        <v>1737</v>
      </c>
      <c r="D241" s="671">
        <v>44649</v>
      </c>
      <c r="E241" s="672" t="s">
        <v>2058</v>
      </c>
      <c r="F241" s="643" t="s">
        <v>2059</v>
      </c>
      <c r="G241" s="95" t="s">
        <v>24</v>
      </c>
      <c r="H241" s="311" t="s">
        <v>130</v>
      </c>
      <c r="I241" s="335"/>
      <c r="J241" s="294"/>
      <c r="K241" s="52">
        <f t="shared" si="1127"/>
        <v>0</v>
      </c>
      <c r="L241" s="52">
        <f t="shared" si="1128"/>
        <v>0</v>
      </c>
      <c r="M241" s="52">
        <f t="shared" si="1156"/>
        <v>0</v>
      </c>
      <c r="N241" s="52">
        <f t="shared" si="1157"/>
        <v>0</v>
      </c>
      <c r="O241" s="52">
        <f t="shared" si="1129"/>
        <v>9.9519003771794909E-5</v>
      </c>
      <c r="P241" s="52">
        <f t="shared" si="1144"/>
        <v>1.0230977574839385E-4</v>
      </c>
      <c r="Q241" s="52">
        <f t="shared" si="1145"/>
        <v>9.9499632000017631E-5</v>
      </c>
      <c r="R241" s="52">
        <f t="shared" si="1130"/>
        <v>0</v>
      </c>
      <c r="S241" s="527">
        <f t="shared" si="1131"/>
        <v>0</v>
      </c>
      <c r="T241" s="533">
        <f t="shared" si="1132"/>
        <v>0</v>
      </c>
      <c r="U241" s="375">
        <f t="shared" si="1133"/>
        <v>0</v>
      </c>
      <c r="V241" s="375">
        <f t="shared" si="1172"/>
        <v>0</v>
      </c>
      <c r="W241" s="386">
        <f t="shared" si="1135"/>
        <v>0</v>
      </c>
      <c r="X241" s="386">
        <f t="shared" si="1158"/>
        <v>0</v>
      </c>
      <c r="Y241" s="386">
        <f t="shared" si="1171"/>
        <v>0</v>
      </c>
      <c r="Z241" s="375">
        <f t="shared" si="1168"/>
        <v>0</v>
      </c>
      <c r="AA241" s="375">
        <f t="shared" si="1138"/>
        <v>-9.9519003771794909E-5</v>
      </c>
      <c r="AB241" s="386">
        <f t="shared" si="1139"/>
        <v>0</v>
      </c>
      <c r="AC241" s="386">
        <f t="shared" si="1146"/>
        <v>0</v>
      </c>
      <c r="AD241" s="386">
        <f t="shared" si="1147"/>
        <v>0</v>
      </c>
      <c r="AE241" s="386">
        <f t="shared" si="1140"/>
        <v>-1.0230977574839385E-4</v>
      </c>
      <c r="AF241" s="386">
        <f t="shared" si="1148"/>
        <v>-9.9519003771794909E-5</v>
      </c>
      <c r="AG241" s="375">
        <f t="shared" si="1149"/>
        <v>-1.0041134591820475E-4</v>
      </c>
      <c r="AH241" s="375">
        <f t="shared" si="1141"/>
        <v>0</v>
      </c>
      <c r="AI241" s="386">
        <f t="shared" si="1150"/>
        <v>0</v>
      </c>
      <c r="AJ241" s="386">
        <f t="shared" si="1151"/>
        <v>0</v>
      </c>
      <c r="AK241" s="386">
        <f t="shared" si="1152"/>
        <v>0</v>
      </c>
      <c r="AL241" s="377">
        <f t="shared" si="1153"/>
        <v>0</v>
      </c>
      <c r="AM241" s="377">
        <f t="shared" si="1154"/>
        <v>0</v>
      </c>
      <c r="AN241" s="377">
        <f t="shared" si="1155"/>
        <v>0</v>
      </c>
      <c r="AO241" s="283"/>
      <c r="AP241" s="295">
        <f t="shared" si="1173"/>
        <v>3.9249130000000001</v>
      </c>
      <c r="AQ241" s="183">
        <f t="shared" si="1065"/>
        <v>0</v>
      </c>
      <c r="AR241" s="94">
        <f t="shared" si="1174"/>
        <v>0</v>
      </c>
      <c r="AS241" s="94">
        <f t="shared" si="1142"/>
        <v>0</v>
      </c>
      <c r="AT241" s="94">
        <f t="shared" si="1160"/>
        <v>0</v>
      </c>
      <c r="AU241" s="94">
        <f t="shared" si="1161"/>
        <v>0</v>
      </c>
      <c r="AV241" s="94">
        <f t="shared" si="1111"/>
        <v>3.9249130000000001</v>
      </c>
      <c r="AW241" s="94">
        <f t="shared" si="1175"/>
        <v>3.9249130000000001</v>
      </c>
      <c r="AX241" s="94">
        <f t="shared" si="1200"/>
        <v>3.9241489999999999</v>
      </c>
      <c r="AY241" s="94">
        <f t="shared" si="1143"/>
        <v>0</v>
      </c>
      <c r="AZ241" s="433">
        <f t="shared" si="1069"/>
        <v>0</v>
      </c>
      <c r="BA241" s="1008">
        <v>0</v>
      </c>
      <c r="BB241" s="409">
        <v>0</v>
      </c>
      <c r="BC241" s="1035">
        <f>0</f>
        <v>0</v>
      </c>
      <c r="BD241" s="1030">
        <v>0</v>
      </c>
      <c r="BE241" s="389">
        <v>0</v>
      </c>
      <c r="BF241" s="516">
        <v>0</v>
      </c>
      <c r="BG241" s="207">
        <v>0</v>
      </c>
      <c r="BH241" s="207">
        <f>-3.924913</f>
        <v>-3.9249130000000001</v>
      </c>
      <c r="BI241" s="389">
        <v>0</v>
      </c>
      <c r="BJ241" s="516">
        <v>0</v>
      </c>
      <c r="BK241" s="516">
        <v>0</v>
      </c>
      <c r="BL241" s="516">
        <v>-3.9249130000000001</v>
      </c>
      <c r="BM241" s="516">
        <v>-3.9249130000000001</v>
      </c>
      <c r="BN241" s="713">
        <f>-3.924149</f>
        <v>-3.9241489999999999</v>
      </c>
      <c r="BO241" s="207">
        <v>0</v>
      </c>
      <c r="BP241" s="389">
        <v>0</v>
      </c>
      <c r="BQ241" s="389">
        <v>0</v>
      </c>
      <c r="BR241" s="389">
        <v>0</v>
      </c>
      <c r="BS241" s="296">
        <v>0</v>
      </c>
      <c r="BT241" s="296">
        <v>0</v>
      </c>
      <c r="BU241" s="296">
        <v>0</v>
      </c>
      <c r="BV241" s="713">
        <v>0</v>
      </c>
      <c r="BW241" s="1011">
        <f t="shared" si="1169"/>
        <v>0</v>
      </c>
      <c r="BX241" s="449" t="s">
        <v>2057</v>
      </c>
    </row>
    <row r="242" spans="1:76" s="1" customFormat="1" ht="101.45" hidden="1" customHeight="1" outlineLevel="1" x14ac:dyDescent="0.25">
      <c r="A242" s="678">
        <v>132</v>
      </c>
      <c r="B242" s="702" t="s">
        <v>69</v>
      </c>
      <c r="C242" s="697" t="s">
        <v>1736</v>
      </c>
      <c r="D242" s="671">
        <v>44664</v>
      </c>
      <c r="E242" s="672" t="s">
        <v>2071</v>
      </c>
      <c r="F242" s="643" t="s">
        <v>2072</v>
      </c>
      <c r="G242" s="95" t="s">
        <v>24</v>
      </c>
      <c r="H242" s="311" t="s">
        <v>130</v>
      </c>
      <c r="I242" s="335"/>
      <c r="J242" s="294"/>
      <c r="K242" s="52">
        <f t="shared" si="1127"/>
        <v>0</v>
      </c>
      <c r="L242" s="52">
        <f t="shared" si="1128"/>
        <v>0</v>
      </c>
      <c r="M242" s="52">
        <f t="shared" si="1156"/>
        <v>0</v>
      </c>
      <c r="N242" s="52">
        <f t="shared" si="1157"/>
        <v>0</v>
      </c>
      <c r="O242" s="52">
        <f t="shared" si="1129"/>
        <v>5.8637349083204943E-4</v>
      </c>
      <c r="P242" s="52">
        <f t="shared" si="1144"/>
        <v>6.0281693021561726E-4</v>
      </c>
      <c r="Q242" s="52">
        <f t="shared" si="1145"/>
        <v>7.5228221883539176E-5</v>
      </c>
      <c r="R242" s="52">
        <f t="shared" si="1130"/>
        <v>0</v>
      </c>
      <c r="S242" s="527">
        <f t="shared" si="1131"/>
        <v>0</v>
      </c>
      <c r="T242" s="533">
        <f t="shared" si="1132"/>
        <v>0</v>
      </c>
      <c r="U242" s="375">
        <f t="shared" si="1133"/>
        <v>0</v>
      </c>
      <c r="V242" s="375">
        <f t="shared" ref="V242:V250" si="1201">BC242/V$8</f>
        <v>0</v>
      </c>
      <c r="W242" s="386">
        <f t="shared" si="1135"/>
        <v>0</v>
      </c>
      <c r="X242" s="386">
        <f t="shared" si="1158"/>
        <v>0</v>
      </c>
      <c r="Y242" s="386">
        <f t="shared" si="1171"/>
        <v>0</v>
      </c>
      <c r="Z242" s="375">
        <f t="shared" si="1168"/>
        <v>0</v>
      </c>
      <c r="AA242" s="375">
        <f t="shared" si="1138"/>
        <v>-5.8637349083204943E-4</v>
      </c>
      <c r="AB242" s="386">
        <f t="shared" si="1139"/>
        <v>0</v>
      </c>
      <c r="AC242" s="386">
        <f t="shared" si="1146"/>
        <v>0</v>
      </c>
      <c r="AD242" s="386">
        <f t="shared" si="1147"/>
        <v>0</v>
      </c>
      <c r="AE242" s="386">
        <f t="shared" si="1140"/>
        <v>-6.0281693021561726E-4</v>
      </c>
      <c r="AF242" s="386">
        <f t="shared" si="1148"/>
        <v>-5.8637349083204943E-4</v>
      </c>
      <c r="AG242" s="375">
        <f t="shared" si="1149"/>
        <v>-7.5917537165948249E-5</v>
      </c>
      <c r="AH242" s="375">
        <f t="shared" si="1141"/>
        <v>0</v>
      </c>
      <c r="AI242" s="386">
        <f t="shared" si="1150"/>
        <v>0</v>
      </c>
      <c r="AJ242" s="386">
        <f t="shared" si="1151"/>
        <v>0</v>
      </c>
      <c r="AK242" s="386">
        <f t="shared" si="1152"/>
        <v>0</v>
      </c>
      <c r="AL242" s="377">
        <f t="shared" si="1153"/>
        <v>0</v>
      </c>
      <c r="AM242" s="377">
        <f t="shared" si="1154"/>
        <v>0</v>
      </c>
      <c r="AN242" s="377">
        <f t="shared" si="1155"/>
        <v>0</v>
      </c>
      <c r="AO242" s="283"/>
      <c r="AP242" s="295">
        <f t="shared" ref="AP242:AP244" si="1202">AR242+AU242+AZ242+AW242+AY242</f>
        <v>23.125883999999999</v>
      </c>
      <c r="AQ242" s="183">
        <f t="shared" si="1065"/>
        <v>0</v>
      </c>
      <c r="AR242" s="94">
        <f t="shared" ref="AR242:AR244" si="1203">-BB242</f>
        <v>0</v>
      </c>
      <c r="AS242" s="94">
        <f t="shared" si="1142"/>
        <v>0</v>
      </c>
      <c r="AT242" s="94">
        <f t="shared" si="1160"/>
        <v>0</v>
      </c>
      <c r="AU242" s="94">
        <f t="shared" si="1161"/>
        <v>0</v>
      </c>
      <c r="AV242" s="94">
        <f t="shared" si="1111"/>
        <v>23.125883999999999</v>
      </c>
      <c r="AW242" s="94">
        <f t="shared" si="1175"/>
        <v>23.125883999999999</v>
      </c>
      <c r="AX242" s="94">
        <f t="shared" si="1200"/>
        <v>2.9669130000000004</v>
      </c>
      <c r="AY242" s="94">
        <f t="shared" si="1143"/>
        <v>0</v>
      </c>
      <c r="AZ242" s="433">
        <f t="shared" si="1069"/>
        <v>0</v>
      </c>
      <c r="BA242" s="1008">
        <v>0</v>
      </c>
      <c r="BB242" s="409">
        <v>0</v>
      </c>
      <c r="BC242" s="1035">
        <f>0</f>
        <v>0</v>
      </c>
      <c r="BD242" s="1030">
        <v>0</v>
      </c>
      <c r="BE242" s="389">
        <v>0</v>
      </c>
      <c r="BF242" s="516">
        <v>0</v>
      </c>
      <c r="BG242" s="207">
        <v>0</v>
      </c>
      <c r="BH242" s="207">
        <f>-23.125884</f>
        <v>-23.125883999999999</v>
      </c>
      <c r="BI242" s="389">
        <v>0</v>
      </c>
      <c r="BJ242" s="516">
        <v>0</v>
      </c>
      <c r="BK242" s="516">
        <v>0</v>
      </c>
      <c r="BL242" s="516">
        <v>-23.125883999999999</v>
      </c>
      <c r="BM242" s="516">
        <v>-23.125883999999999</v>
      </c>
      <c r="BN242" s="713">
        <f>-0.001309-0.015608-0.01526-0.014374-0.015172-0.012991-2.892199</f>
        <v>-2.9669130000000004</v>
      </c>
      <c r="BO242" s="207">
        <v>0</v>
      </c>
      <c r="BP242" s="389">
        <v>0</v>
      </c>
      <c r="BQ242" s="389">
        <v>0</v>
      </c>
      <c r="BR242" s="389">
        <v>0</v>
      </c>
      <c r="BS242" s="296">
        <v>0</v>
      </c>
      <c r="BT242" s="296">
        <v>0</v>
      </c>
      <c r="BU242" s="296">
        <v>0</v>
      </c>
      <c r="BV242" s="713">
        <v>0</v>
      </c>
      <c r="BW242" s="1011">
        <f t="shared" si="1169"/>
        <v>0</v>
      </c>
      <c r="BX242" s="449" t="s">
        <v>2070</v>
      </c>
    </row>
    <row r="243" spans="1:76" s="1" customFormat="1" ht="72.599999999999994" hidden="1" customHeight="1" outlineLevel="1" x14ac:dyDescent="0.25">
      <c r="A243" s="678">
        <v>133</v>
      </c>
      <c r="B243" s="702" t="s">
        <v>69</v>
      </c>
      <c r="C243" s="697" t="s">
        <v>1737</v>
      </c>
      <c r="D243" s="671">
        <v>44670</v>
      </c>
      <c r="E243" s="672" t="s">
        <v>2077</v>
      </c>
      <c r="F243" s="643" t="s">
        <v>2076</v>
      </c>
      <c r="G243" s="95" t="s">
        <v>24</v>
      </c>
      <c r="H243" s="311" t="s">
        <v>130</v>
      </c>
      <c r="I243" s="335"/>
      <c r="J243" s="294">
        <f t="shared" ref="J243:J244" si="1204">AQ243/T$8</f>
        <v>0</v>
      </c>
      <c r="K243" s="52">
        <f t="shared" si="1127"/>
        <v>0</v>
      </c>
      <c r="L243" s="52">
        <f t="shared" si="1128"/>
        <v>0</v>
      </c>
      <c r="M243" s="52">
        <f t="shared" si="1156"/>
        <v>0</v>
      </c>
      <c r="N243" s="52">
        <f t="shared" si="1157"/>
        <v>0</v>
      </c>
      <c r="O243" s="52">
        <f t="shared" si="1129"/>
        <v>2.3065948370621004E-5</v>
      </c>
      <c r="P243" s="52">
        <f t="shared" si="1144"/>
        <v>2.3712777618168705E-5</v>
      </c>
      <c r="Q243" s="52">
        <f t="shared" si="1145"/>
        <v>2.1737283170488968E-5</v>
      </c>
      <c r="R243" s="52">
        <f t="shared" si="1130"/>
        <v>0</v>
      </c>
      <c r="S243" s="527">
        <f t="shared" si="1131"/>
        <v>0</v>
      </c>
      <c r="T243" s="533">
        <f t="shared" si="1132"/>
        <v>0</v>
      </c>
      <c r="U243" s="375">
        <f t="shared" si="1133"/>
        <v>0</v>
      </c>
      <c r="V243" s="375">
        <f t="shared" si="1201"/>
        <v>0</v>
      </c>
      <c r="W243" s="386">
        <f t="shared" si="1135"/>
        <v>0</v>
      </c>
      <c r="X243" s="386">
        <f t="shared" si="1158"/>
        <v>0</v>
      </c>
      <c r="Y243" s="386">
        <f t="shared" si="1171"/>
        <v>0</v>
      </c>
      <c r="Z243" s="375">
        <f t="shared" si="1168"/>
        <v>0</v>
      </c>
      <c r="AA243" s="375">
        <f t="shared" si="1138"/>
        <v>-2.3065948370621004E-5</v>
      </c>
      <c r="AB243" s="386">
        <f t="shared" si="1139"/>
        <v>0</v>
      </c>
      <c r="AC243" s="386">
        <f t="shared" si="1146"/>
        <v>0</v>
      </c>
      <c r="AD243" s="386">
        <f t="shared" si="1147"/>
        <v>0</v>
      </c>
      <c r="AE243" s="386">
        <f t="shared" si="1140"/>
        <v>-2.3712777618168705E-5</v>
      </c>
      <c r="AF243" s="386">
        <f t="shared" si="1148"/>
        <v>-2.3065948370621004E-5</v>
      </c>
      <c r="AG243" s="375">
        <f t="shared" si="1149"/>
        <v>-2.1936461631873689E-5</v>
      </c>
      <c r="AH243" s="375">
        <f t="shared" si="1141"/>
        <v>0</v>
      </c>
      <c r="AI243" s="386">
        <f t="shared" si="1150"/>
        <v>0</v>
      </c>
      <c r="AJ243" s="386">
        <f t="shared" si="1151"/>
        <v>0</v>
      </c>
      <c r="AK243" s="386">
        <f t="shared" si="1152"/>
        <v>0</v>
      </c>
      <c r="AL243" s="377">
        <f t="shared" si="1153"/>
        <v>0</v>
      </c>
      <c r="AM243" s="377">
        <f t="shared" si="1154"/>
        <v>0</v>
      </c>
      <c r="AN243" s="377">
        <f t="shared" si="1155"/>
        <v>0</v>
      </c>
      <c r="AO243" s="283"/>
      <c r="AP243" s="295">
        <f t="shared" si="1202"/>
        <v>0.909694</v>
      </c>
      <c r="AQ243" s="183">
        <f t="shared" si="1065"/>
        <v>0</v>
      </c>
      <c r="AR243" s="94">
        <f t="shared" si="1203"/>
        <v>0</v>
      </c>
      <c r="AS243" s="94">
        <f t="shared" si="1142"/>
        <v>0</v>
      </c>
      <c r="AT243" s="94">
        <f t="shared" si="1160"/>
        <v>0</v>
      </c>
      <c r="AU243" s="94">
        <f t="shared" si="1161"/>
        <v>0</v>
      </c>
      <c r="AV243" s="94">
        <f t="shared" si="1111"/>
        <v>0.909694</v>
      </c>
      <c r="AW243" s="94">
        <f t="shared" si="1175"/>
        <v>0.909694</v>
      </c>
      <c r="AX243" s="94">
        <f t="shared" si="1200"/>
        <v>0.85729299999999997</v>
      </c>
      <c r="AY243" s="94">
        <f t="shared" si="1143"/>
        <v>0</v>
      </c>
      <c r="AZ243" s="433">
        <f t="shared" si="1069"/>
        <v>0</v>
      </c>
      <c r="BA243" s="1008">
        <v>0</v>
      </c>
      <c r="BB243" s="409">
        <v>0</v>
      </c>
      <c r="BC243" s="1035">
        <f>0</f>
        <v>0</v>
      </c>
      <c r="BD243" s="1030">
        <v>0</v>
      </c>
      <c r="BE243" s="389">
        <v>0</v>
      </c>
      <c r="BF243" s="516">
        <v>0</v>
      </c>
      <c r="BG243" s="207">
        <v>0</v>
      </c>
      <c r="BH243" s="207">
        <f>-0.909694</f>
        <v>-0.909694</v>
      </c>
      <c r="BI243" s="389">
        <v>0</v>
      </c>
      <c r="BJ243" s="516">
        <v>0</v>
      </c>
      <c r="BK243" s="516">
        <v>0</v>
      </c>
      <c r="BL243" s="516">
        <v>-0.909694</v>
      </c>
      <c r="BM243" s="516">
        <v>-0.909694</v>
      </c>
      <c r="BN243" s="713">
        <f>-0.857293</f>
        <v>-0.85729299999999997</v>
      </c>
      <c r="BO243" s="207">
        <v>0</v>
      </c>
      <c r="BP243" s="389">
        <v>0</v>
      </c>
      <c r="BQ243" s="389">
        <v>0</v>
      </c>
      <c r="BR243" s="389">
        <v>0</v>
      </c>
      <c r="BS243" s="296">
        <v>0</v>
      </c>
      <c r="BT243" s="296">
        <v>0</v>
      </c>
      <c r="BU243" s="296">
        <v>0</v>
      </c>
      <c r="BV243" s="713">
        <v>0</v>
      </c>
      <c r="BW243" s="1011">
        <f t="shared" si="1169"/>
        <v>0</v>
      </c>
      <c r="BX243" s="449" t="s">
        <v>2075</v>
      </c>
    </row>
    <row r="244" spans="1:76" s="1" customFormat="1" ht="90" hidden="1" customHeight="1" outlineLevel="1" x14ac:dyDescent="0.25">
      <c r="A244" s="678">
        <v>134</v>
      </c>
      <c r="B244" s="702" t="s">
        <v>69</v>
      </c>
      <c r="C244" s="697" t="s">
        <v>1737</v>
      </c>
      <c r="D244" s="671">
        <v>44677</v>
      </c>
      <c r="E244" s="672" t="s">
        <v>2116</v>
      </c>
      <c r="F244" s="643" t="s">
        <v>2088</v>
      </c>
      <c r="G244" s="95" t="s">
        <v>24</v>
      </c>
      <c r="H244" s="311" t="s">
        <v>130</v>
      </c>
      <c r="I244" s="335"/>
      <c r="J244" s="294">
        <f t="shared" si="1204"/>
        <v>0</v>
      </c>
      <c r="K244" s="52">
        <f t="shared" si="1127"/>
        <v>0</v>
      </c>
      <c r="L244" s="52">
        <f t="shared" si="1128"/>
        <v>0</v>
      </c>
      <c r="M244" s="52">
        <f t="shared" si="1156"/>
        <v>0</v>
      </c>
      <c r="N244" s="52">
        <f t="shared" si="1157"/>
        <v>0</v>
      </c>
      <c r="O244" s="52">
        <f t="shared" si="1129"/>
        <v>8.2545376202237334E-5</v>
      </c>
      <c r="P244" s="52">
        <f t="shared" si="1144"/>
        <v>8.4860163468710245E-5</v>
      </c>
      <c r="Q244" s="52">
        <f t="shared" si="1145"/>
        <v>0</v>
      </c>
      <c r="R244" s="52">
        <f t="shared" si="1130"/>
        <v>0</v>
      </c>
      <c r="S244" s="527">
        <f t="shared" si="1131"/>
        <v>0</v>
      </c>
      <c r="T244" s="533">
        <f t="shared" si="1132"/>
        <v>0</v>
      </c>
      <c r="U244" s="375">
        <f t="shared" si="1133"/>
        <v>0</v>
      </c>
      <c r="V244" s="375">
        <f t="shared" si="1201"/>
        <v>0</v>
      </c>
      <c r="W244" s="386">
        <f t="shared" si="1135"/>
        <v>0</v>
      </c>
      <c r="X244" s="386">
        <f t="shared" si="1158"/>
        <v>0</v>
      </c>
      <c r="Y244" s="386">
        <f t="shared" si="1171"/>
        <v>0</v>
      </c>
      <c r="Z244" s="375">
        <f t="shared" si="1168"/>
        <v>0</v>
      </c>
      <c r="AA244" s="375">
        <f t="shared" si="1138"/>
        <v>-8.2545376202237334E-5</v>
      </c>
      <c r="AB244" s="386">
        <f t="shared" si="1139"/>
        <v>0</v>
      </c>
      <c r="AC244" s="386">
        <f t="shared" si="1146"/>
        <v>0</v>
      </c>
      <c r="AD244" s="386">
        <f t="shared" si="1147"/>
        <v>0</v>
      </c>
      <c r="AE244" s="386">
        <f t="shared" si="1140"/>
        <v>-8.4860163468710245E-5</v>
      </c>
      <c r="AF244" s="386">
        <f t="shared" si="1148"/>
        <v>-8.2545376202237334E-5</v>
      </c>
      <c r="AG244" s="375">
        <f t="shared" si="1149"/>
        <v>0</v>
      </c>
      <c r="AH244" s="375">
        <f t="shared" si="1141"/>
        <v>0</v>
      </c>
      <c r="AI244" s="386">
        <f t="shared" si="1150"/>
        <v>0</v>
      </c>
      <c r="AJ244" s="386">
        <f t="shared" si="1151"/>
        <v>0</v>
      </c>
      <c r="AK244" s="386">
        <f t="shared" si="1152"/>
        <v>0</v>
      </c>
      <c r="AL244" s="377">
        <f t="shared" si="1153"/>
        <v>0</v>
      </c>
      <c r="AM244" s="377">
        <f t="shared" si="1154"/>
        <v>0</v>
      </c>
      <c r="AN244" s="377">
        <f t="shared" si="1155"/>
        <v>0</v>
      </c>
      <c r="AO244" s="283"/>
      <c r="AP244" s="295">
        <f t="shared" si="1202"/>
        <v>3.255493</v>
      </c>
      <c r="AQ244" s="183">
        <f t="shared" si="1065"/>
        <v>0</v>
      </c>
      <c r="AR244" s="94">
        <f t="shared" si="1203"/>
        <v>0</v>
      </c>
      <c r="AS244" s="94">
        <f t="shared" si="1142"/>
        <v>0</v>
      </c>
      <c r="AT244" s="94">
        <f t="shared" si="1160"/>
        <v>0</v>
      </c>
      <c r="AU244" s="94">
        <f t="shared" si="1161"/>
        <v>0</v>
      </c>
      <c r="AV244" s="94">
        <f t="shared" si="1111"/>
        <v>3.255493</v>
      </c>
      <c r="AW244" s="94">
        <f t="shared" si="1175"/>
        <v>3.255493</v>
      </c>
      <c r="AX244" s="94">
        <f t="shared" si="1200"/>
        <v>0</v>
      </c>
      <c r="AY244" s="94">
        <f t="shared" si="1143"/>
        <v>0</v>
      </c>
      <c r="AZ244" s="433">
        <f t="shared" si="1069"/>
        <v>0</v>
      </c>
      <c r="BA244" s="1008">
        <v>0</v>
      </c>
      <c r="BB244" s="409">
        <v>0</v>
      </c>
      <c r="BC244" s="1035">
        <f>0</f>
        <v>0</v>
      </c>
      <c r="BD244" s="1030">
        <v>0</v>
      </c>
      <c r="BE244" s="389">
        <v>0</v>
      </c>
      <c r="BF244" s="516">
        <v>0</v>
      </c>
      <c r="BG244" s="207">
        <v>0</v>
      </c>
      <c r="BH244" s="207">
        <f>-3.255493</f>
        <v>-3.255493</v>
      </c>
      <c r="BI244" s="389">
        <v>0</v>
      </c>
      <c r="BJ244" s="516">
        <v>0</v>
      </c>
      <c r="BK244" s="516">
        <v>0</v>
      </c>
      <c r="BL244" s="516">
        <v>-3.255493</v>
      </c>
      <c r="BM244" s="516">
        <v>-3.255493</v>
      </c>
      <c r="BN244" s="409">
        <v>0</v>
      </c>
      <c r="BO244" s="207">
        <v>0</v>
      </c>
      <c r="BP244" s="389">
        <v>0</v>
      </c>
      <c r="BQ244" s="389">
        <v>0</v>
      </c>
      <c r="BR244" s="389">
        <v>0</v>
      </c>
      <c r="BS244" s="296">
        <v>0</v>
      </c>
      <c r="BT244" s="296">
        <v>0</v>
      </c>
      <c r="BU244" s="296">
        <v>0</v>
      </c>
      <c r="BV244" s="409">
        <v>0</v>
      </c>
      <c r="BW244" s="1011">
        <f t="shared" si="1169"/>
        <v>0</v>
      </c>
      <c r="BX244" s="449" t="s">
        <v>2087</v>
      </c>
    </row>
    <row r="245" spans="1:76" s="1" customFormat="1" ht="90" hidden="1" customHeight="1" outlineLevel="1" x14ac:dyDescent="0.25">
      <c r="A245" s="678">
        <v>135</v>
      </c>
      <c r="B245" s="702" t="s">
        <v>69</v>
      </c>
      <c r="C245" s="697" t="s">
        <v>1740</v>
      </c>
      <c r="D245" s="671">
        <v>44684</v>
      </c>
      <c r="E245" s="672" t="s">
        <v>2091</v>
      </c>
      <c r="F245" s="643" t="s">
        <v>2090</v>
      </c>
      <c r="G245" s="95" t="s">
        <v>24</v>
      </c>
      <c r="H245" s="311" t="s">
        <v>129</v>
      </c>
      <c r="I245" s="335"/>
      <c r="J245" s="294"/>
      <c r="K245" s="52">
        <f t="shared" si="1127"/>
        <v>0</v>
      </c>
      <c r="L245" s="52">
        <f t="shared" si="1128"/>
        <v>0</v>
      </c>
      <c r="M245" s="52">
        <f t="shared" si="1156"/>
        <v>0</v>
      </c>
      <c r="N245" s="52">
        <f t="shared" si="1157"/>
        <v>0</v>
      </c>
      <c r="O245" s="52">
        <f t="shared" si="1129"/>
        <v>2.5355722221561325E-6</v>
      </c>
      <c r="P245" s="52">
        <f t="shared" si="1144"/>
        <v>2.6066762689617287E-6</v>
      </c>
      <c r="Q245" s="52">
        <f t="shared" si="1145"/>
        <v>2.5355722221561325E-6</v>
      </c>
      <c r="R245" s="52">
        <f t="shared" si="1130"/>
        <v>0</v>
      </c>
      <c r="S245" s="527">
        <f t="shared" si="1131"/>
        <v>0</v>
      </c>
      <c r="T245" s="533">
        <f t="shared" si="1132"/>
        <v>0</v>
      </c>
      <c r="U245" s="375">
        <f t="shared" si="1133"/>
        <v>0</v>
      </c>
      <c r="V245" s="375">
        <f t="shared" si="1201"/>
        <v>0</v>
      </c>
      <c r="W245" s="386">
        <f t="shared" si="1135"/>
        <v>0</v>
      </c>
      <c r="X245" s="386">
        <f t="shared" si="1158"/>
        <v>0</v>
      </c>
      <c r="Y245" s="386">
        <f t="shared" si="1171"/>
        <v>0</v>
      </c>
      <c r="Z245" s="375">
        <f t="shared" si="1168"/>
        <v>0</v>
      </c>
      <c r="AA245" s="375">
        <f t="shared" si="1138"/>
        <v>-2.5355722221561325E-6</v>
      </c>
      <c r="AB245" s="386">
        <f t="shared" si="1139"/>
        <v>0</v>
      </c>
      <c r="AC245" s="386">
        <f t="shared" si="1146"/>
        <v>0</v>
      </c>
      <c r="AD245" s="386">
        <f t="shared" si="1147"/>
        <v>0</v>
      </c>
      <c r="AE245" s="386">
        <f t="shared" si="1140"/>
        <v>-2.6066762689617287E-6</v>
      </c>
      <c r="AF245" s="386">
        <f t="shared" si="1148"/>
        <v>-2.5355722221561325E-6</v>
      </c>
      <c r="AG245" s="375">
        <f t="shared" si="1149"/>
        <v>-2.5588056395973947E-6</v>
      </c>
      <c r="AH245" s="375">
        <f t="shared" si="1141"/>
        <v>0</v>
      </c>
      <c r="AI245" s="386">
        <f t="shared" si="1150"/>
        <v>0</v>
      </c>
      <c r="AJ245" s="386">
        <f t="shared" si="1151"/>
        <v>0</v>
      </c>
      <c r="AK245" s="386">
        <f t="shared" si="1152"/>
        <v>0</v>
      </c>
      <c r="AL245" s="377">
        <f t="shared" si="1153"/>
        <v>0</v>
      </c>
      <c r="AM245" s="377">
        <f t="shared" si="1154"/>
        <v>0</v>
      </c>
      <c r="AN245" s="377">
        <f t="shared" si="1155"/>
        <v>0</v>
      </c>
      <c r="AO245" s="283"/>
      <c r="AP245" s="295">
        <v>0.1</v>
      </c>
      <c r="AQ245" s="183">
        <v>0</v>
      </c>
      <c r="AR245" s="94">
        <v>0</v>
      </c>
      <c r="AS245" s="94">
        <v>0</v>
      </c>
      <c r="AT245" s="94">
        <v>0</v>
      </c>
      <c r="AU245" s="94">
        <v>0</v>
      </c>
      <c r="AV245" s="94">
        <v>0.1</v>
      </c>
      <c r="AW245" s="94">
        <v>0.1</v>
      </c>
      <c r="AX245" s="94">
        <f t="shared" si="1200"/>
        <v>0.1</v>
      </c>
      <c r="AY245" s="94">
        <f t="shared" si="1143"/>
        <v>0</v>
      </c>
      <c r="AZ245" s="433">
        <v>0</v>
      </c>
      <c r="BA245" s="1008">
        <v>0</v>
      </c>
      <c r="BB245" s="409">
        <v>0</v>
      </c>
      <c r="BC245" s="1035">
        <v>0</v>
      </c>
      <c r="BD245" s="1030">
        <v>0</v>
      </c>
      <c r="BE245" s="389">
        <v>0</v>
      </c>
      <c r="BF245" s="516">
        <v>0</v>
      </c>
      <c r="BG245" s="207">
        <v>0</v>
      </c>
      <c r="BH245" s="207">
        <v>-0.1</v>
      </c>
      <c r="BI245" s="389">
        <v>0</v>
      </c>
      <c r="BJ245" s="516">
        <v>0</v>
      </c>
      <c r="BK245" s="516">
        <v>0</v>
      </c>
      <c r="BL245" s="516">
        <v>-0.1</v>
      </c>
      <c r="BM245" s="516">
        <v>-0.1</v>
      </c>
      <c r="BN245" s="713">
        <f>-0.1</f>
        <v>-0.1</v>
      </c>
      <c r="BO245" s="207">
        <v>0</v>
      </c>
      <c r="BP245" s="389">
        <v>0</v>
      </c>
      <c r="BQ245" s="389">
        <v>0</v>
      </c>
      <c r="BR245" s="389">
        <v>0</v>
      </c>
      <c r="BS245" s="296">
        <v>0</v>
      </c>
      <c r="BT245" s="296">
        <v>0</v>
      </c>
      <c r="BU245" s="296">
        <v>0</v>
      </c>
      <c r="BV245" s="713">
        <v>0</v>
      </c>
      <c r="BW245" s="1011">
        <f t="shared" si="1169"/>
        <v>0</v>
      </c>
      <c r="BX245" s="449" t="s">
        <v>2090</v>
      </c>
    </row>
    <row r="246" spans="1:76" s="1" customFormat="1" ht="90" hidden="1" customHeight="1" outlineLevel="1" x14ac:dyDescent="0.25">
      <c r="A246" s="678">
        <v>136</v>
      </c>
      <c r="B246" s="702" t="s">
        <v>69</v>
      </c>
      <c r="C246" s="697" t="s">
        <v>1737</v>
      </c>
      <c r="D246" s="671">
        <v>44649</v>
      </c>
      <c r="E246" s="672" t="s">
        <v>2101</v>
      </c>
      <c r="F246" s="643" t="s">
        <v>2102</v>
      </c>
      <c r="G246" s="95" t="s">
        <v>24</v>
      </c>
      <c r="H246" s="311" t="s">
        <v>129</v>
      </c>
      <c r="I246" s="335"/>
      <c r="J246" s="294"/>
      <c r="K246" s="52">
        <f t="shared" si="1127"/>
        <v>0</v>
      </c>
      <c r="L246" s="52">
        <f t="shared" si="1128"/>
        <v>0</v>
      </c>
      <c r="M246" s="52">
        <f t="shared" si="1156"/>
        <v>0</v>
      </c>
      <c r="N246" s="52">
        <f t="shared" si="1157"/>
        <v>0</v>
      </c>
      <c r="O246" s="52">
        <f t="shared" si="1129"/>
        <v>2.1144344677482201E-4</v>
      </c>
      <c r="P246" s="52">
        <f t="shared" si="1144"/>
        <v>2.1737287154325908E-4</v>
      </c>
      <c r="Q246" s="52">
        <f t="shared" si="1145"/>
        <v>2.1137957571054592E-4</v>
      </c>
      <c r="R246" s="52">
        <f t="shared" si="1130"/>
        <v>0</v>
      </c>
      <c r="S246" s="527">
        <f t="shared" si="1131"/>
        <v>0</v>
      </c>
      <c r="T246" s="533">
        <f t="shared" si="1132"/>
        <v>0</v>
      </c>
      <c r="U246" s="375">
        <f t="shared" si="1133"/>
        <v>0</v>
      </c>
      <c r="V246" s="375">
        <f t="shared" si="1201"/>
        <v>0</v>
      </c>
      <c r="W246" s="386">
        <f t="shared" si="1135"/>
        <v>0</v>
      </c>
      <c r="X246" s="386">
        <f t="shared" si="1158"/>
        <v>0</v>
      </c>
      <c r="Y246" s="386">
        <f t="shared" si="1171"/>
        <v>0</v>
      </c>
      <c r="Z246" s="375">
        <f t="shared" si="1168"/>
        <v>0</v>
      </c>
      <c r="AA246" s="375">
        <f t="shared" si="1138"/>
        <v>-2.1144344677482201E-4</v>
      </c>
      <c r="AB246" s="386">
        <f t="shared" si="1139"/>
        <v>0</v>
      </c>
      <c r="AC246" s="386">
        <f t="shared" si="1146"/>
        <v>0</v>
      </c>
      <c r="AD246" s="386">
        <f t="shared" si="1147"/>
        <v>0</v>
      </c>
      <c r="AE246" s="386">
        <f t="shared" si="1140"/>
        <v>-2.1737287154325908E-4</v>
      </c>
      <c r="AF246" s="386">
        <f t="shared" si="1148"/>
        <v>-2.1144344677482201E-4</v>
      </c>
      <c r="AG246" s="375">
        <f t="shared" si="1149"/>
        <v>-2.1331644419258974E-4</v>
      </c>
      <c r="AH246" s="375">
        <f t="shared" si="1141"/>
        <v>0</v>
      </c>
      <c r="AI246" s="386">
        <f t="shared" si="1150"/>
        <v>0</v>
      </c>
      <c r="AJ246" s="386">
        <f t="shared" si="1151"/>
        <v>0</v>
      </c>
      <c r="AK246" s="386">
        <f t="shared" si="1152"/>
        <v>0</v>
      </c>
      <c r="AL246" s="377">
        <f t="shared" si="1153"/>
        <v>0</v>
      </c>
      <c r="AM246" s="377">
        <f t="shared" si="1154"/>
        <v>0</v>
      </c>
      <c r="AN246" s="377">
        <f t="shared" si="1155"/>
        <v>0</v>
      </c>
      <c r="AO246" s="283"/>
      <c r="AP246" s="295">
        <f t="shared" ref="AP246:AP259" si="1205">AR246+AU246+AZ246+AW246+AY246</f>
        <v>8.3390819999999994</v>
      </c>
      <c r="AQ246" s="183">
        <f t="shared" ref="AQ246:AQ259" si="1206">-BA246</f>
        <v>0</v>
      </c>
      <c r="AR246" s="94">
        <f t="shared" ref="AR246:AR259" si="1207">-BB246</f>
        <v>0</v>
      </c>
      <c r="AS246" s="94">
        <f t="shared" ref="AS246:AS259" si="1208">-BC246</f>
        <v>0</v>
      </c>
      <c r="AT246" s="94">
        <f t="shared" ref="AT246:AT259" si="1209">-BC246</f>
        <v>0</v>
      </c>
      <c r="AU246" s="94">
        <f t="shared" ref="AU246:AU259" si="1210">-BG246</f>
        <v>0</v>
      </c>
      <c r="AV246" s="94">
        <f t="shared" ref="AV246:AV250" si="1211">-BH246</f>
        <v>8.3390819999999994</v>
      </c>
      <c r="AW246" s="94">
        <f t="shared" ref="AW246:AW250" si="1212">-BH246</f>
        <v>8.3390819999999994</v>
      </c>
      <c r="AX246" s="94">
        <f t="shared" si="1200"/>
        <v>8.3365629999999999</v>
      </c>
      <c r="AY246" s="94">
        <f t="shared" ref="AY246:AY259" si="1213">-BO246</f>
        <v>0</v>
      </c>
      <c r="AZ246" s="433">
        <f t="shared" ref="AZ246:AZ250" si="1214">-BU246</f>
        <v>0</v>
      </c>
      <c r="BA246" s="1008">
        <v>0</v>
      </c>
      <c r="BB246" s="409">
        <v>0</v>
      </c>
      <c r="BC246" s="1035">
        <f>0</f>
        <v>0</v>
      </c>
      <c r="BD246" s="1030">
        <v>0</v>
      </c>
      <c r="BE246" s="389">
        <v>0</v>
      </c>
      <c r="BF246" s="516">
        <v>0</v>
      </c>
      <c r="BG246" s="207">
        <v>0</v>
      </c>
      <c r="BH246" s="207">
        <f>-8.339082</f>
        <v>-8.3390819999999994</v>
      </c>
      <c r="BI246" s="389">
        <v>0</v>
      </c>
      <c r="BJ246" s="516">
        <v>0</v>
      </c>
      <c r="BK246" s="516">
        <v>0</v>
      </c>
      <c r="BL246" s="516">
        <v>-8.3390819999999994</v>
      </c>
      <c r="BM246" s="516">
        <v>-8.3390819999999994</v>
      </c>
      <c r="BN246" s="713">
        <f>-0.001194-8.335369</f>
        <v>-8.3365629999999999</v>
      </c>
      <c r="BO246" s="207">
        <v>0</v>
      </c>
      <c r="BP246" s="389">
        <v>0</v>
      </c>
      <c r="BQ246" s="389">
        <v>0</v>
      </c>
      <c r="BR246" s="389">
        <v>0</v>
      </c>
      <c r="BS246" s="296">
        <v>0</v>
      </c>
      <c r="BT246" s="296">
        <v>0</v>
      </c>
      <c r="BU246" s="296">
        <v>0</v>
      </c>
      <c r="BV246" s="713">
        <v>0</v>
      </c>
      <c r="BW246" s="1011">
        <f t="shared" ref="BW246:BW259" si="1215">-BV246</f>
        <v>0</v>
      </c>
      <c r="BX246" s="449" t="s">
        <v>2100</v>
      </c>
    </row>
    <row r="247" spans="1:76" s="1" customFormat="1" ht="90" hidden="1" customHeight="1" outlineLevel="1" x14ac:dyDescent="0.25">
      <c r="A247" s="678">
        <v>137</v>
      </c>
      <c r="B247" s="702" t="s">
        <v>69</v>
      </c>
      <c r="C247" s="697" t="s">
        <v>1736</v>
      </c>
      <c r="D247" s="671">
        <v>44698</v>
      </c>
      <c r="E247" s="672" t="s">
        <v>2107</v>
      </c>
      <c r="F247" s="643" t="s">
        <v>2106</v>
      </c>
      <c r="G247" s="95" t="s">
        <v>24</v>
      </c>
      <c r="H247" s="311" t="s">
        <v>130</v>
      </c>
      <c r="I247" s="335"/>
      <c r="J247" s="294"/>
      <c r="K247" s="52">
        <f t="shared" si="1127"/>
        <v>0</v>
      </c>
      <c r="L247" s="52">
        <f t="shared" si="1128"/>
        <v>0</v>
      </c>
      <c r="M247" s="52">
        <f t="shared" si="1156"/>
        <v>0</v>
      </c>
      <c r="N247" s="52">
        <f t="shared" si="1157"/>
        <v>0</v>
      </c>
      <c r="O247" s="52">
        <f t="shared" si="1129"/>
        <v>8.1058988267598299E-4</v>
      </c>
      <c r="P247" s="52">
        <f t="shared" si="1144"/>
        <v>8.3332093346377115E-4</v>
      </c>
      <c r="Q247" s="52">
        <f t="shared" si="1145"/>
        <v>8.1024173846759205E-4</v>
      </c>
      <c r="R247" s="52">
        <f t="shared" si="1130"/>
        <v>0</v>
      </c>
      <c r="S247" s="527">
        <f t="shared" si="1131"/>
        <v>0</v>
      </c>
      <c r="T247" s="533">
        <f t="shared" si="1132"/>
        <v>0</v>
      </c>
      <c r="U247" s="375">
        <f t="shared" si="1133"/>
        <v>0</v>
      </c>
      <c r="V247" s="375">
        <f t="shared" si="1201"/>
        <v>0</v>
      </c>
      <c r="W247" s="386">
        <f t="shared" si="1135"/>
        <v>0</v>
      </c>
      <c r="X247" s="386">
        <f t="shared" si="1158"/>
        <v>0</v>
      </c>
      <c r="Y247" s="386">
        <f t="shared" si="1171"/>
        <v>0</v>
      </c>
      <c r="Z247" s="375">
        <f t="shared" si="1168"/>
        <v>0</v>
      </c>
      <c r="AA247" s="375">
        <f t="shared" si="1138"/>
        <v>-8.1058988267598299E-4</v>
      </c>
      <c r="AB247" s="386">
        <f t="shared" si="1139"/>
        <v>0</v>
      </c>
      <c r="AC247" s="386">
        <f t="shared" si="1146"/>
        <v>0</v>
      </c>
      <c r="AD247" s="386">
        <f t="shared" si="1147"/>
        <v>0</v>
      </c>
      <c r="AE247" s="386">
        <f t="shared" si="1140"/>
        <v>-8.3332093346377115E-4</v>
      </c>
      <c r="AF247" s="386">
        <f t="shared" si="1148"/>
        <v>-8.1058988267598299E-4</v>
      </c>
      <c r="AG247" s="375">
        <f t="shared" si="1149"/>
        <v>-8.1766597366533529E-4</v>
      </c>
      <c r="AH247" s="375">
        <f t="shared" si="1141"/>
        <v>0</v>
      </c>
      <c r="AI247" s="386">
        <f t="shared" si="1150"/>
        <v>0</v>
      </c>
      <c r="AJ247" s="386">
        <f t="shared" si="1151"/>
        <v>0</v>
      </c>
      <c r="AK247" s="386">
        <f t="shared" si="1152"/>
        <v>0</v>
      </c>
      <c r="AL247" s="377">
        <f t="shared" si="1153"/>
        <v>0</v>
      </c>
      <c r="AM247" s="377">
        <f t="shared" si="1154"/>
        <v>0</v>
      </c>
      <c r="AN247" s="377">
        <f t="shared" si="1155"/>
        <v>0</v>
      </c>
      <c r="AO247" s="283"/>
      <c r="AP247" s="295">
        <f t="shared" si="1205"/>
        <v>31.968716000000001</v>
      </c>
      <c r="AQ247" s="183">
        <f t="shared" si="1206"/>
        <v>0</v>
      </c>
      <c r="AR247" s="94">
        <f t="shared" si="1207"/>
        <v>0</v>
      </c>
      <c r="AS247" s="94">
        <f t="shared" si="1208"/>
        <v>0</v>
      </c>
      <c r="AT247" s="94">
        <f t="shared" si="1209"/>
        <v>0</v>
      </c>
      <c r="AU247" s="94">
        <f t="shared" si="1210"/>
        <v>0</v>
      </c>
      <c r="AV247" s="94">
        <f t="shared" si="1211"/>
        <v>31.968716000000001</v>
      </c>
      <c r="AW247" s="94">
        <f t="shared" si="1212"/>
        <v>31.968716000000001</v>
      </c>
      <c r="AX247" s="94">
        <f t="shared" si="1200"/>
        <v>31.954985600000001</v>
      </c>
      <c r="AY247" s="94">
        <f t="shared" si="1213"/>
        <v>0</v>
      </c>
      <c r="AZ247" s="433">
        <f t="shared" si="1214"/>
        <v>0</v>
      </c>
      <c r="BA247" s="1008">
        <v>0</v>
      </c>
      <c r="BB247" s="409">
        <v>0</v>
      </c>
      <c r="BC247" s="1035">
        <f>0</f>
        <v>0</v>
      </c>
      <c r="BD247" s="1030">
        <v>0</v>
      </c>
      <c r="BE247" s="389">
        <v>0</v>
      </c>
      <c r="BF247" s="516">
        <v>0</v>
      </c>
      <c r="BG247" s="207">
        <v>0</v>
      </c>
      <c r="BH247" s="207">
        <f>-31.968716</f>
        <v>-31.968716000000001</v>
      </c>
      <c r="BI247" s="389">
        <v>0</v>
      </c>
      <c r="BJ247" s="516">
        <v>0</v>
      </c>
      <c r="BK247" s="516">
        <v>0</v>
      </c>
      <c r="BL247" s="516">
        <v>-31.968716000000001</v>
      </c>
      <c r="BM247" s="516">
        <v>-31.968716000000001</v>
      </c>
      <c r="BN247" s="713">
        <f>-0.003809-0.0017496-0.029832-0.062538-4.019555-27.837502</f>
        <v>-31.954985600000001</v>
      </c>
      <c r="BO247" s="207">
        <v>0</v>
      </c>
      <c r="BP247" s="389">
        <v>0</v>
      </c>
      <c r="BQ247" s="389">
        <v>0</v>
      </c>
      <c r="BR247" s="389">
        <v>0</v>
      </c>
      <c r="BS247" s="296">
        <v>0</v>
      </c>
      <c r="BT247" s="296">
        <v>0</v>
      </c>
      <c r="BU247" s="296">
        <v>0</v>
      </c>
      <c r="BV247" s="713">
        <v>0</v>
      </c>
      <c r="BW247" s="1011">
        <f t="shared" si="1215"/>
        <v>0</v>
      </c>
      <c r="BX247" s="449" t="s">
        <v>2108</v>
      </c>
    </row>
    <row r="248" spans="1:76" s="1" customFormat="1" ht="90" hidden="1" customHeight="1" outlineLevel="1" x14ac:dyDescent="0.25">
      <c r="A248" s="678">
        <v>138</v>
      </c>
      <c r="B248" s="702" t="s">
        <v>69</v>
      </c>
      <c r="C248" s="697" t="s">
        <v>1736</v>
      </c>
      <c r="D248" s="671">
        <v>44712</v>
      </c>
      <c r="E248" s="672" t="s">
        <v>2119</v>
      </c>
      <c r="F248" s="643" t="s">
        <v>2118</v>
      </c>
      <c r="G248" s="95" t="s">
        <v>24</v>
      </c>
      <c r="H248" s="311" t="s">
        <v>130</v>
      </c>
      <c r="I248" s="335"/>
      <c r="J248" s="294"/>
      <c r="K248" s="52">
        <f t="shared" si="1127"/>
        <v>0</v>
      </c>
      <c r="L248" s="52">
        <f t="shared" si="1128"/>
        <v>0</v>
      </c>
      <c r="M248" s="52">
        <f t="shared" si="1156"/>
        <v>0</v>
      </c>
      <c r="N248" s="52">
        <f t="shared" si="1157"/>
        <v>0</v>
      </c>
      <c r="O248" s="52">
        <f t="shared" si="1129"/>
        <v>1.6980559824012953E-4</v>
      </c>
      <c r="P248" s="52">
        <f t="shared" si="1144"/>
        <v>1.7456738932602943E-4</v>
      </c>
      <c r="Q248" s="52">
        <f t="shared" si="1145"/>
        <v>2.3042790989516053E-4</v>
      </c>
      <c r="R248" s="52">
        <f t="shared" si="1130"/>
        <v>0</v>
      </c>
      <c r="S248" s="527">
        <f t="shared" si="1131"/>
        <v>0</v>
      </c>
      <c r="T248" s="533">
        <f t="shared" si="1132"/>
        <v>0</v>
      </c>
      <c r="U248" s="375">
        <f t="shared" si="1133"/>
        <v>0</v>
      </c>
      <c r="V248" s="375">
        <f t="shared" si="1201"/>
        <v>0</v>
      </c>
      <c r="W248" s="386">
        <f t="shared" si="1135"/>
        <v>0</v>
      </c>
      <c r="X248" s="386">
        <f t="shared" si="1158"/>
        <v>0</v>
      </c>
      <c r="Y248" s="386">
        <f t="shared" si="1171"/>
        <v>0</v>
      </c>
      <c r="Z248" s="375">
        <f t="shared" si="1168"/>
        <v>0</v>
      </c>
      <c r="AA248" s="375">
        <f t="shared" si="1138"/>
        <v>-1.6980559824012953E-4</v>
      </c>
      <c r="AB248" s="386">
        <f t="shared" si="1139"/>
        <v>0</v>
      </c>
      <c r="AC248" s="386">
        <f t="shared" si="1146"/>
        <v>0</v>
      </c>
      <c r="AD248" s="386">
        <f t="shared" si="1147"/>
        <v>0</v>
      </c>
      <c r="AE248" s="386">
        <f t="shared" si="1140"/>
        <v>-1.7456738932602943E-4</v>
      </c>
      <c r="AF248" s="386">
        <f t="shared" si="1148"/>
        <v>-1.6980559824012953E-4</v>
      </c>
      <c r="AG248" s="375">
        <f t="shared" si="1149"/>
        <v>-2.3253931803172677E-4</v>
      </c>
      <c r="AH248" s="375">
        <f t="shared" si="1141"/>
        <v>0</v>
      </c>
      <c r="AI248" s="386">
        <f t="shared" si="1150"/>
        <v>0</v>
      </c>
      <c r="AJ248" s="386">
        <f t="shared" si="1151"/>
        <v>0</v>
      </c>
      <c r="AK248" s="386">
        <f t="shared" si="1152"/>
        <v>0</v>
      </c>
      <c r="AL248" s="377">
        <f t="shared" si="1153"/>
        <v>0</v>
      </c>
      <c r="AM248" s="377">
        <f t="shared" si="1154"/>
        <v>0</v>
      </c>
      <c r="AN248" s="377">
        <f t="shared" si="1155"/>
        <v>0</v>
      </c>
      <c r="AO248" s="283"/>
      <c r="AP248" s="295">
        <f t="shared" si="1205"/>
        <v>6.6969339999999997</v>
      </c>
      <c r="AQ248" s="183">
        <f t="shared" si="1206"/>
        <v>0</v>
      </c>
      <c r="AR248" s="94">
        <f t="shared" si="1207"/>
        <v>0</v>
      </c>
      <c r="AS248" s="94">
        <f t="shared" si="1208"/>
        <v>0</v>
      </c>
      <c r="AT248" s="94">
        <f t="shared" si="1209"/>
        <v>0</v>
      </c>
      <c r="AU248" s="94">
        <f t="shared" si="1210"/>
        <v>0</v>
      </c>
      <c r="AV248" s="94">
        <f t="shared" si="1211"/>
        <v>6.6969339999999997</v>
      </c>
      <c r="AW248" s="94">
        <f t="shared" si="1212"/>
        <v>6.6969339999999997</v>
      </c>
      <c r="AX248" s="94">
        <f t="shared" si="1200"/>
        <v>9.0878069999999997</v>
      </c>
      <c r="AY248" s="94">
        <f t="shared" si="1213"/>
        <v>0</v>
      </c>
      <c r="AZ248" s="433">
        <f t="shared" si="1214"/>
        <v>0</v>
      </c>
      <c r="BA248" s="1008">
        <v>0</v>
      </c>
      <c r="BB248" s="409">
        <v>0</v>
      </c>
      <c r="BC248" s="1035">
        <f>0</f>
        <v>0</v>
      </c>
      <c r="BD248" s="1030">
        <v>0</v>
      </c>
      <c r="BE248" s="389">
        <v>0</v>
      </c>
      <c r="BF248" s="516">
        <v>0</v>
      </c>
      <c r="BG248" s="207">
        <v>0</v>
      </c>
      <c r="BH248" s="207">
        <f>-6.696934</f>
        <v>-6.6969339999999997</v>
      </c>
      <c r="BI248" s="389">
        <v>0</v>
      </c>
      <c r="BJ248" s="516">
        <v>0</v>
      </c>
      <c r="BK248" s="516">
        <v>0</v>
      </c>
      <c r="BL248" s="516">
        <v>-6.6969339999999997</v>
      </c>
      <c r="BM248" s="516">
        <v>-6.6969339999999997</v>
      </c>
      <c r="BN248" s="713">
        <f>-0.076253-0.044173-0.063181-0.037328-0.014683-0.005864-0.438699-8.407626</f>
        <v>-9.0878069999999997</v>
      </c>
      <c r="BO248" s="207">
        <v>0</v>
      </c>
      <c r="BP248" s="389">
        <v>0</v>
      </c>
      <c r="BQ248" s="389">
        <v>0</v>
      </c>
      <c r="BR248" s="389">
        <v>0</v>
      </c>
      <c r="BS248" s="296">
        <v>0</v>
      </c>
      <c r="BT248" s="296">
        <v>0</v>
      </c>
      <c r="BU248" s="296">
        <v>0</v>
      </c>
      <c r="BV248" s="713">
        <v>0</v>
      </c>
      <c r="BW248" s="1011">
        <f t="shared" si="1215"/>
        <v>0</v>
      </c>
      <c r="BX248" s="449" t="s">
        <v>2117</v>
      </c>
    </row>
    <row r="249" spans="1:76" s="1" customFormat="1" ht="90" hidden="1" customHeight="1" outlineLevel="1" x14ac:dyDescent="0.25">
      <c r="A249" s="678">
        <v>139</v>
      </c>
      <c r="B249" s="702" t="s">
        <v>69</v>
      </c>
      <c r="C249" s="697" t="s">
        <v>1736</v>
      </c>
      <c r="D249" s="671">
        <v>44756</v>
      </c>
      <c r="E249" s="672" t="s">
        <v>2122</v>
      </c>
      <c r="F249" s="643" t="s">
        <v>2120</v>
      </c>
      <c r="G249" s="95" t="s">
        <v>24</v>
      </c>
      <c r="H249" s="311" t="s">
        <v>130</v>
      </c>
      <c r="I249" s="335"/>
      <c r="J249" s="294"/>
      <c r="K249" s="52">
        <f t="shared" si="1127"/>
        <v>0</v>
      </c>
      <c r="L249" s="52">
        <f t="shared" si="1128"/>
        <v>0</v>
      </c>
      <c r="M249" s="52">
        <f t="shared" si="1156"/>
        <v>0</v>
      </c>
      <c r="N249" s="52">
        <f t="shared" si="1157"/>
        <v>0</v>
      </c>
      <c r="O249" s="52">
        <f t="shared" si="1129"/>
        <v>9.0912082466424805E-4</v>
      </c>
      <c r="P249" s="52">
        <f t="shared" si="1144"/>
        <v>9.3461493960367596E-4</v>
      </c>
      <c r="Q249" s="52">
        <f t="shared" si="1145"/>
        <v>1.2176089624135961E-3</v>
      </c>
      <c r="R249" s="52">
        <f t="shared" si="1130"/>
        <v>0</v>
      </c>
      <c r="S249" s="527">
        <f t="shared" si="1131"/>
        <v>0</v>
      </c>
      <c r="T249" s="533">
        <f t="shared" si="1132"/>
        <v>0</v>
      </c>
      <c r="U249" s="375">
        <f t="shared" si="1133"/>
        <v>0</v>
      </c>
      <c r="V249" s="375">
        <f t="shared" si="1201"/>
        <v>0</v>
      </c>
      <c r="W249" s="386">
        <f t="shared" si="1135"/>
        <v>0</v>
      </c>
      <c r="X249" s="386">
        <f t="shared" si="1158"/>
        <v>0</v>
      </c>
      <c r="Y249" s="386">
        <f t="shared" si="1171"/>
        <v>0</v>
      </c>
      <c r="Z249" s="375">
        <f t="shared" si="1168"/>
        <v>0</v>
      </c>
      <c r="AA249" s="375">
        <f t="shared" si="1138"/>
        <v>-9.0912082466424805E-4</v>
      </c>
      <c r="AB249" s="386">
        <f t="shared" si="1139"/>
        <v>0</v>
      </c>
      <c r="AC249" s="386">
        <f t="shared" si="1146"/>
        <v>0</v>
      </c>
      <c r="AD249" s="386">
        <f t="shared" si="1147"/>
        <v>0</v>
      </c>
      <c r="AE249" s="386">
        <f t="shared" si="1140"/>
        <v>-9.3461493960367596E-4</v>
      </c>
      <c r="AF249" s="386">
        <f t="shared" si="1148"/>
        <v>-9.0912082466424805E-4</v>
      </c>
      <c r="AG249" s="375">
        <f t="shared" si="1149"/>
        <v>-1.2287658985311253E-3</v>
      </c>
      <c r="AH249" s="375">
        <f t="shared" si="1141"/>
        <v>0</v>
      </c>
      <c r="AI249" s="386">
        <f t="shared" si="1150"/>
        <v>0</v>
      </c>
      <c r="AJ249" s="386">
        <f t="shared" si="1151"/>
        <v>0</v>
      </c>
      <c r="AK249" s="386">
        <f t="shared" si="1152"/>
        <v>0</v>
      </c>
      <c r="AL249" s="377">
        <f t="shared" si="1153"/>
        <v>0</v>
      </c>
      <c r="AM249" s="377">
        <f t="shared" si="1154"/>
        <v>0</v>
      </c>
      <c r="AN249" s="377">
        <f t="shared" si="1155"/>
        <v>0</v>
      </c>
      <c r="AO249" s="283"/>
      <c r="AP249" s="295">
        <f t="shared" si="1205"/>
        <v>35.854661</v>
      </c>
      <c r="AQ249" s="183">
        <f t="shared" si="1206"/>
        <v>0</v>
      </c>
      <c r="AR249" s="94">
        <f t="shared" si="1207"/>
        <v>0</v>
      </c>
      <c r="AS249" s="94">
        <f t="shared" si="1208"/>
        <v>0</v>
      </c>
      <c r="AT249" s="94">
        <f t="shared" si="1209"/>
        <v>0</v>
      </c>
      <c r="AU249" s="94">
        <f t="shared" si="1210"/>
        <v>0</v>
      </c>
      <c r="AV249" s="94">
        <f t="shared" si="1211"/>
        <v>35.854661</v>
      </c>
      <c r="AW249" s="94">
        <f t="shared" si="1212"/>
        <v>35.854661</v>
      </c>
      <c r="AX249" s="94">
        <f t="shared" si="1200"/>
        <v>48.021071999999997</v>
      </c>
      <c r="AY249" s="94">
        <f t="shared" si="1213"/>
        <v>0</v>
      </c>
      <c r="AZ249" s="433">
        <f t="shared" si="1214"/>
        <v>0</v>
      </c>
      <c r="BA249" s="1008">
        <v>0</v>
      </c>
      <c r="BB249" s="409">
        <v>0</v>
      </c>
      <c r="BC249" s="1035">
        <f>0</f>
        <v>0</v>
      </c>
      <c r="BD249" s="1030">
        <v>0</v>
      </c>
      <c r="BE249" s="389">
        <v>0</v>
      </c>
      <c r="BF249" s="516">
        <v>0</v>
      </c>
      <c r="BG249" s="207">
        <v>0</v>
      </c>
      <c r="BH249" s="207">
        <f>-35.854661</f>
        <v>-35.854661</v>
      </c>
      <c r="BI249" s="389">
        <v>0</v>
      </c>
      <c r="BJ249" s="516">
        <v>0</v>
      </c>
      <c r="BK249" s="516">
        <v>0</v>
      </c>
      <c r="BL249" s="516">
        <v>-35.854661</v>
      </c>
      <c r="BM249" s="516">
        <v>-35.854661</v>
      </c>
      <c r="BN249" s="713">
        <f>-0.08698-47.934092</f>
        <v>-48.021071999999997</v>
      </c>
      <c r="BO249" s="207">
        <v>0</v>
      </c>
      <c r="BP249" s="389">
        <v>0</v>
      </c>
      <c r="BQ249" s="389">
        <v>0</v>
      </c>
      <c r="BR249" s="389">
        <v>0</v>
      </c>
      <c r="BS249" s="296">
        <v>0</v>
      </c>
      <c r="BT249" s="296">
        <v>0</v>
      </c>
      <c r="BU249" s="296">
        <v>0</v>
      </c>
      <c r="BV249" s="713">
        <v>0</v>
      </c>
      <c r="BW249" s="1011">
        <f t="shared" si="1215"/>
        <v>0</v>
      </c>
      <c r="BX249" s="449" t="s">
        <v>2121</v>
      </c>
    </row>
    <row r="250" spans="1:76" s="1" customFormat="1" ht="90" hidden="1" customHeight="1" outlineLevel="1" x14ac:dyDescent="0.25">
      <c r="A250" s="678">
        <v>140</v>
      </c>
      <c r="B250" s="702" t="s">
        <v>69</v>
      </c>
      <c r="C250" s="697" t="s">
        <v>1736</v>
      </c>
      <c r="D250" s="671">
        <v>44756</v>
      </c>
      <c r="E250" s="672" t="s">
        <v>2122</v>
      </c>
      <c r="F250" s="643" t="s">
        <v>2123</v>
      </c>
      <c r="G250" s="95" t="s">
        <v>24</v>
      </c>
      <c r="H250" s="311" t="s">
        <v>130</v>
      </c>
      <c r="I250" s="335"/>
      <c r="J250" s="294"/>
      <c r="K250" s="52">
        <f t="shared" si="1127"/>
        <v>0</v>
      </c>
      <c r="L250" s="52">
        <f t="shared" si="1128"/>
        <v>0</v>
      </c>
      <c r="M250" s="52">
        <f t="shared" si="1156"/>
        <v>0</v>
      </c>
      <c r="N250" s="52">
        <f t="shared" si="1157"/>
        <v>0</v>
      </c>
      <c r="O250" s="52">
        <f t="shared" si="1129"/>
        <v>3.0872635475961968E-4</v>
      </c>
      <c r="P250" s="52">
        <f t="shared" si="1144"/>
        <v>3.1738384555681827E-4</v>
      </c>
      <c r="Q250" s="52">
        <f t="shared" si="1145"/>
        <v>0</v>
      </c>
      <c r="R250" s="52">
        <f t="shared" si="1130"/>
        <v>0</v>
      </c>
      <c r="S250" s="527">
        <f t="shared" si="1131"/>
        <v>0</v>
      </c>
      <c r="T250" s="533">
        <f t="shared" si="1132"/>
        <v>0</v>
      </c>
      <c r="U250" s="375">
        <f t="shared" si="1133"/>
        <v>0</v>
      </c>
      <c r="V250" s="375">
        <f t="shared" si="1201"/>
        <v>0</v>
      </c>
      <c r="W250" s="386">
        <f t="shared" si="1135"/>
        <v>0</v>
      </c>
      <c r="X250" s="386">
        <f t="shared" si="1158"/>
        <v>0</v>
      </c>
      <c r="Y250" s="386">
        <f t="shared" si="1171"/>
        <v>0</v>
      </c>
      <c r="Z250" s="375">
        <f t="shared" si="1168"/>
        <v>0</v>
      </c>
      <c r="AA250" s="375">
        <f t="shared" si="1138"/>
        <v>-3.0872635475961968E-4</v>
      </c>
      <c r="AB250" s="386">
        <f t="shared" si="1139"/>
        <v>0</v>
      </c>
      <c r="AC250" s="386">
        <f t="shared" si="1146"/>
        <v>0</v>
      </c>
      <c r="AD250" s="386">
        <f t="shared" si="1147"/>
        <v>0</v>
      </c>
      <c r="AE250" s="386">
        <f t="shared" si="1140"/>
        <v>-3.1738384555681827E-4</v>
      </c>
      <c r="AF250" s="386">
        <f t="shared" si="1148"/>
        <v>-3.0872635475961968E-4</v>
      </c>
      <c r="AG250" s="375">
        <f t="shared" si="1149"/>
        <v>0</v>
      </c>
      <c r="AH250" s="375">
        <f t="shared" si="1141"/>
        <v>0</v>
      </c>
      <c r="AI250" s="386">
        <f t="shared" si="1150"/>
        <v>0</v>
      </c>
      <c r="AJ250" s="386">
        <f t="shared" si="1151"/>
        <v>0</v>
      </c>
      <c r="AK250" s="386">
        <f t="shared" si="1152"/>
        <v>0</v>
      </c>
      <c r="AL250" s="377">
        <f t="shared" si="1153"/>
        <v>0</v>
      </c>
      <c r="AM250" s="377">
        <f t="shared" si="1154"/>
        <v>0</v>
      </c>
      <c r="AN250" s="377">
        <f t="shared" si="1155"/>
        <v>0</v>
      </c>
      <c r="AO250" s="283"/>
      <c r="AP250" s="295">
        <f t="shared" si="1205"/>
        <v>12.175806</v>
      </c>
      <c r="AQ250" s="183">
        <f t="shared" si="1206"/>
        <v>0</v>
      </c>
      <c r="AR250" s="94">
        <f t="shared" si="1207"/>
        <v>0</v>
      </c>
      <c r="AS250" s="94">
        <f t="shared" si="1208"/>
        <v>0</v>
      </c>
      <c r="AT250" s="94">
        <f t="shared" si="1209"/>
        <v>0</v>
      </c>
      <c r="AU250" s="94">
        <f t="shared" si="1210"/>
        <v>0</v>
      </c>
      <c r="AV250" s="94">
        <f t="shared" si="1211"/>
        <v>12.175806</v>
      </c>
      <c r="AW250" s="94">
        <f t="shared" si="1212"/>
        <v>12.175806</v>
      </c>
      <c r="AX250" s="94">
        <f t="shared" si="1200"/>
        <v>0</v>
      </c>
      <c r="AY250" s="94">
        <f t="shared" si="1213"/>
        <v>0</v>
      </c>
      <c r="AZ250" s="433">
        <f t="shared" si="1214"/>
        <v>0</v>
      </c>
      <c r="BA250" s="1008">
        <v>0</v>
      </c>
      <c r="BB250" s="409">
        <v>0</v>
      </c>
      <c r="BC250" s="1035">
        <f>0</f>
        <v>0</v>
      </c>
      <c r="BD250" s="1030">
        <v>0</v>
      </c>
      <c r="BE250" s="389">
        <v>0</v>
      </c>
      <c r="BF250" s="516">
        <v>0</v>
      </c>
      <c r="BG250" s="207">
        <v>0</v>
      </c>
      <c r="BH250" s="207">
        <f>-12.175806</f>
        <v>-12.175806</v>
      </c>
      <c r="BI250" s="389">
        <v>0</v>
      </c>
      <c r="BJ250" s="516">
        <v>0</v>
      </c>
      <c r="BK250" s="516">
        <v>0</v>
      </c>
      <c r="BL250" s="516">
        <v>-12.175806</v>
      </c>
      <c r="BM250" s="516">
        <v>-12.175806</v>
      </c>
      <c r="BN250" s="409">
        <v>0</v>
      </c>
      <c r="BO250" s="207">
        <v>0</v>
      </c>
      <c r="BP250" s="389">
        <v>0</v>
      </c>
      <c r="BQ250" s="389">
        <v>0</v>
      </c>
      <c r="BR250" s="389">
        <v>0</v>
      </c>
      <c r="BS250" s="296">
        <v>0</v>
      </c>
      <c r="BT250" s="296">
        <v>0</v>
      </c>
      <c r="BU250" s="296">
        <v>0</v>
      </c>
      <c r="BV250" s="409">
        <v>0</v>
      </c>
      <c r="BW250" s="1011">
        <f t="shared" si="1215"/>
        <v>0</v>
      </c>
      <c r="BX250" s="449" t="s">
        <v>2124</v>
      </c>
    </row>
    <row r="251" spans="1:76" s="1" customFormat="1" ht="90" hidden="1" customHeight="1" outlineLevel="1" x14ac:dyDescent="0.25">
      <c r="A251" s="678">
        <v>141</v>
      </c>
      <c r="B251" s="702" t="s">
        <v>69</v>
      </c>
      <c r="C251" s="697" t="s">
        <v>701</v>
      </c>
      <c r="D251" s="671">
        <v>44748</v>
      </c>
      <c r="E251" s="672" t="s">
        <v>2133</v>
      </c>
      <c r="F251" s="643" t="s">
        <v>2134</v>
      </c>
      <c r="G251" s="95" t="s">
        <v>24</v>
      </c>
      <c r="H251" s="311" t="s">
        <v>1798</v>
      </c>
      <c r="I251" s="335"/>
      <c r="J251" s="294"/>
      <c r="K251" s="52">
        <f t="shared" ref="K251:K259" si="1216">AR251/U$8</f>
        <v>0</v>
      </c>
      <c r="L251" s="52">
        <f t="shared" ref="L251:L259" si="1217">AS251/V$8</f>
        <v>0</v>
      </c>
      <c r="M251" s="52">
        <f t="shared" ref="M251:M259" si="1218">AT251/Y$8</f>
        <v>0</v>
      </c>
      <c r="N251" s="52">
        <f t="shared" ref="N251:N259" si="1219">AU251/Z$8</f>
        <v>0</v>
      </c>
      <c r="O251" s="52">
        <f t="shared" si="1129"/>
        <v>9.3367553426510811E-5</v>
      </c>
      <c r="P251" s="52">
        <f t="shared" si="1144"/>
        <v>9.5985822719316566E-5</v>
      </c>
      <c r="Q251" s="52">
        <f t="shared" si="1145"/>
        <v>0</v>
      </c>
      <c r="R251" s="52">
        <f t="shared" si="1130"/>
        <v>0</v>
      </c>
      <c r="S251" s="527">
        <f t="shared" ref="S251:S259" si="1220">AZ251/AN$8</f>
        <v>0</v>
      </c>
      <c r="T251" s="533">
        <f t="shared" ref="T251:T259" si="1221">BA251/T$8</f>
        <v>0</v>
      </c>
      <c r="U251" s="375">
        <f t="shared" ref="U251:U259" si="1222">BB251/U$8</f>
        <v>0</v>
      </c>
      <c r="V251" s="375">
        <f t="shared" ref="V251:V259" si="1223">BC251/V$8</f>
        <v>0</v>
      </c>
      <c r="W251" s="386">
        <f t="shared" ref="W251:W259" si="1224">BD251/W$8</f>
        <v>0</v>
      </c>
      <c r="X251" s="386">
        <f t="shared" ref="X251:X259" si="1225">BE251/X$8</f>
        <v>0</v>
      </c>
      <c r="Y251" s="386">
        <f t="shared" ref="Y251:Y259" si="1226">BF251/Y$8</f>
        <v>0</v>
      </c>
      <c r="Z251" s="375">
        <f t="shared" ref="Z251:Z259" si="1227">BG251/Z$8</f>
        <v>0</v>
      </c>
      <c r="AA251" s="375">
        <f t="shared" ref="AA251:AA259" si="1228">BH251/AA$8</f>
        <v>-9.3367553426510811E-5</v>
      </c>
      <c r="AB251" s="386">
        <f t="shared" ref="AB251:AB259" si="1229">BI251/AB$8</f>
        <v>0</v>
      </c>
      <c r="AC251" s="386">
        <f t="shared" si="1146"/>
        <v>0</v>
      </c>
      <c r="AD251" s="386">
        <f t="shared" si="1147"/>
        <v>0</v>
      </c>
      <c r="AE251" s="386">
        <f t="shared" si="1140"/>
        <v>-9.5985822719316566E-5</v>
      </c>
      <c r="AF251" s="386">
        <f t="shared" si="1148"/>
        <v>-9.3367553426510811E-5</v>
      </c>
      <c r="AG251" s="375">
        <f t="shared" si="1149"/>
        <v>0</v>
      </c>
      <c r="AH251" s="375">
        <f t="shared" si="1141"/>
        <v>0</v>
      </c>
      <c r="AI251" s="386">
        <f t="shared" si="1150"/>
        <v>0</v>
      </c>
      <c r="AJ251" s="386">
        <f t="shared" si="1151"/>
        <v>0</v>
      </c>
      <c r="AK251" s="386">
        <f t="shared" si="1152"/>
        <v>0</v>
      </c>
      <c r="AL251" s="377">
        <f t="shared" si="1153"/>
        <v>0</v>
      </c>
      <c r="AM251" s="377">
        <f t="shared" si="1154"/>
        <v>0</v>
      </c>
      <c r="AN251" s="377">
        <f t="shared" si="1155"/>
        <v>0</v>
      </c>
      <c r="AO251" s="283"/>
      <c r="AP251" s="295">
        <f t="shared" si="1205"/>
        <v>3.6823070000000002</v>
      </c>
      <c r="AQ251" s="183">
        <f t="shared" si="1206"/>
        <v>0</v>
      </c>
      <c r="AR251" s="94">
        <f t="shared" si="1207"/>
        <v>0</v>
      </c>
      <c r="AS251" s="94">
        <f t="shared" si="1208"/>
        <v>0</v>
      </c>
      <c r="AT251" s="94">
        <f t="shared" si="1209"/>
        <v>0</v>
      </c>
      <c r="AU251" s="94">
        <f t="shared" si="1210"/>
        <v>0</v>
      </c>
      <c r="AV251" s="94">
        <f t="shared" ref="AV251:AV252" si="1230">-BH251</f>
        <v>3.6823070000000002</v>
      </c>
      <c r="AW251" s="94">
        <f t="shared" ref="AW251:AW257" si="1231">-BH251</f>
        <v>3.6823070000000002</v>
      </c>
      <c r="AX251" s="94">
        <f t="shared" si="1200"/>
        <v>0</v>
      </c>
      <c r="AY251" s="94">
        <f t="shared" si="1213"/>
        <v>0</v>
      </c>
      <c r="AZ251" s="433">
        <f t="shared" ref="AZ251:AZ257" si="1232">-BU251</f>
        <v>0</v>
      </c>
      <c r="BA251" s="1008">
        <v>0</v>
      </c>
      <c r="BB251" s="409">
        <v>0</v>
      </c>
      <c r="BC251" s="1035">
        <f>0</f>
        <v>0</v>
      </c>
      <c r="BD251" s="1030">
        <v>0</v>
      </c>
      <c r="BE251" s="389">
        <v>0</v>
      </c>
      <c r="BF251" s="516">
        <v>0</v>
      </c>
      <c r="BG251" s="207">
        <v>0</v>
      </c>
      <c r="BH251" s="207">
        <f>-3.682307</f>
        <v>-3.6823070000000002</v>
      </c>
      <c r="BI251" s="389">
        <v>0</v>
      </c>
      <c r="BJ251" s="516">
        <v>0</v>
      </c>
      <c r="BK251" s="516">
        <v>0</v>
      </c>
      <c r="BL251" s="516">
        <v>-3.6823070000000002</v>
      </c>
      <c r="BM251" s="516">
        <v>-3.6823070000000002</v>
      </c>
      <c r="BN251" s="409">
        <v>0</v>
      </c>
      <c r="BO251" s="207">
        <v>0</v>
      </c>
      <c r="BP251" s="389">
        <v>0</v>
      </c>
      <c r="BQ251" s="389">
        <v>0</v>
      </c>
      <c r="BR251" s="389">
        <v>0</v>
      </c>
      <c r="BS251" s="296">
        <v>0</v>
      </c>
      <c r="BT251" s="296">
        <v>0</v>
      </c>
      <c r="BU251" s="296">
        <v>0</v>
      </c>
      <c r="BV251" s="409">
        <v>0</v>
      </c>
      <c r="BW251" s="1011">
        <f t="shared" si="1215"/>
        <v>0</v>
      </c>
      <c r="BX251" s="449" t="s">
        <v>2132</v>
      </c>
    </row>
    <row r="252" spans="1:76" s="1" customFormat="1" ht="116.45" hidden="1" customHeight="1" outlineLevel="1" x14ac:dyDescent="0.25">
      <c r="A252" s="678">
        <v>142</v>
      </c>
      <c r="B252" s="702" t="s">
        <v>69</v>
      </c>
      <c r="C252" s="697" t="s">
        <v>1736</v>
      </c>
      <c r="D252" s="671">
        <v>44810</v>
      </c>
      <c r="E252" s="672" t="s">
        <v>2143</v>
      </c>
      <c r="F252" s="643" t="s">
        <v>2142</v>
      </c>
      <c r="G252" s="95" t="s">
        <v>24</v>
      </c>
      <c r="H252" s="311" t="s">
        <v>130</v>
      </c>
      <c r="I252" s="335"/>
      <c r="J252" s="294">
        <f t="shared" ref="J252:J259" si="1233">AQ252/T$8</f>
        <v>0</v>
      </c>
      <c r="K252" s="52">
        <f t="shared" si="1216"/>
        <v>0</v>
      </c>
      <c r="L252" s="52">
        <f t="shared" si="1217"/>
        <v>0</v>
      </c>
      <c r="M252" s="52">
        <f t="shared" si="1218"/>
        <v>0</v>
      </c>
      <c r="N252" s="52">
        <f t="shared" si="1219"/>
        <v>0</v>
      </c>
      <c r="O252" s="52">
        <f t="shared" ref="O252:O259" si="1234">AV252/AA$8</f>
        <v>1.7236743899050723E-4</v>
      </c>
      <c r="P252" s="52">
        <f t="shared" ref="P252:P262" si="1235">AW252/AE$8</f>
        <v>1.7720107076113763E-4</v>
      </c>
      <c r="Q252" s="52">
        <f t="shared" ref="Q252:Q262" si="1236">AX252/AF$8</f>
        <v>1.7065681519082959E-4</v>
      </c>
      <c r="R252" s="52">
        <f t="shared" ref="R252:R259" si="1237">AY252/AH$8</f>
        <v>0</v>
      </c>
      <c r="S252" s="527">
        <f t="shared" si="1220"/>
        <v>0</v>
      </c>
      <c r="T252" s="533">
        <f t="shared" si="1221"/>
        <v>0</v>
      </c>
      <c r="U252" s="375">
        <f t="shared" si="1222"/>
        <v>0</v>
      </c>
      <c r="V252" s="375">
        <f t="shared" si="1223"/>
        <v>0</v>
      </c>
      <c r="W252" s="386">
        <f t="shared" si="1224"/>
        <v>0</v>
      </c>
      <c r="X252" s="386">
        <f t="shared" si="1225"/>
        <v>0</v>
      </c>
      <c r="Y252" s="386">
        <f t="shared" si="1226"/>
        <v>0</v>
      </c>
      <c r="Z252" s="375">
        <f t="shared" si="1227"/>
        <v>0</v>
      </c>
      <c r="AA252" s="375">
        <f t="shared" si="1228"/>
        <v>-1.7236743899050723E-4</v>
      </c>
      <c r="AB252" s="386">
        <f t="shared" si="1229"/>
        <v>0</v>
      </c>
      <c r="AC252" s="386">
        <f t="shared" si="1146"/>
        <v>0</v>
      </c>
      <c r="AD252" s="386">
        <f t="shared" si="1147"/>
        <v>0</v>
      </c>
      <c r="AE252" s="386">
        <f t="shared" ref="AE252:AE259" si="1238">BL252/AE$8</f>
        <v>0</v>
      </c>
      <c r="AF252" s="386">
        <f t="shared" ref="AF252:AF262" si="1239">BM252/AF$8</f>
        <v>0</v>
      </c>
      <c r="AG252" s="375">
        <f t="shared" ref="AG252:AG262" si="1240">BN252/AG$8</f>
        <v>-1.7222054151338462E-4</v>
      </c>
      <c r="AH252" s="375">
        <f t="shared" ref="AH252:AH259" si="1241">BO252/AH$8</f>
        <v>0</v>
      </c>
      <c r="AI252" s="386">
        <f t="shared" si="1150"/>
        <v>0</v>
      </c>
      <c r="AJ252" s="386">
        <f t="shared" si="1151"/>
        <v>0</v>
      </c>
      <c r="AK252" s="386">
        <f t="shared" si="1152"/>
        <v>0</v>
      </c>
      <c r="AL252" s="377">
        <f t="shared" ref="AL252:AL262" si="1242">BS252/AL$8</f>
        <v>0</v>
      </c>
      <c r="AM252" s="377">
        <f t="shared" ref="AM252:AM262" si="1243">BT252/AM$8</f>
        <v>0</v>
      </c>
      <c r="AN252" s="377">
        <f t="shared" ref="AN252:AN262" si="1244">BU252/AN$8</f>
        <v>0</v>
      </c>
      <c r="AO252" s="283"/>
      <c r="AP252" s="295">
        <f t="shared" si="1205"/>
        <v>6.7979700000000003</v>
      </c>
      <c r="AQ252" s="183">
        <f t="shared" si="1206"/>
        <v>0</v>
      </c>
      <c r="AR252" s="94">
        <f t="shared" si="1207"/>
        <v>0</v>
      </c>
      <c r="AS252" s="94">
        <f t="shared" si="1208"/>
        <v>0</v>
      </c>
      <c r="AT252" s="94">
        <f t="shared" si="1209"/>
        <v>0</v>
      </c>
      <c r="AU252" s="94">
        <f t="shared" si="1210"/>
        <v>0</v>
      </c>
      <c r="AV252" s="94">
        <f t="shared" si="1230"/>
        <v>6.7979700000000003</v>
      </c>
      <c r="AW252" s="94">
        <f t="shared" si="1231"/>
        <v>6.7979700000000003</v>
      </c>
      <c r="AX252" s="94">
        <f t="shared" si="1200"/>
        <v>6.730505</v>
      </c>
      <c r="AY252" s="94">
        <f t="shared" si="1213"/>
        <v>0</v>
      </c>
      <c r="AZ252" s="433">
        <f t="shared" si="1232"/>
        <v>0</v>
      </c>
      <c r="BA252" s="1008">
        <v>0</v>
      </c>
      <c r="BB252" s="409">
        <v>0</v>
      </c>
      <c r="BC252" s="1035">
        <f>0</f>
        <v>0</v>
      </c>
      <c r="BD252" s="1030">
        <v>0</v>
      </c>
      <c r="BE252" s="389">
        <v>0</v>
      </c>
      <c r="BF252" s="516">
        <v>0</v>
      </c>
      <c r="BG252" s="207">
        <v>0</v>
      </c>
      <c r="BH252" s="207">
        <f>-6.79797</f>
        <v>-6.7979700000000003</v>
      </c>
      <c r="BI252" s="389">
        <v>0</v>
      </c>
      <c r="BJ252" s="516">
        <v>0</v>
      </c>
      <c r="BK252" s="516">
        <v>0</v>
      </c>
      <c r="BL252" s="516">
        <v>0</v>
      </c>
      <c r="BM252" s="516">
        <v>0</v>
      </c>
      <c r="BN252" s="713">
        <f>-0.00305-0.00093-0.243975-6.48255</f>
        <v>-6.730505</v>
      </c>
      <c r="BO252" s="207">
        <v>0</v>
      </c>
      <c r="BP252" s="389">
        <v>0</v>
      </c>
      <c r="BQ252" s="389">
        <v>0</v>
      </c>
      <c r="BR252" s="389">
        <v>0</v>
      </c>
      <c r="BS252" s="296">
        <v>0</v>
      </c>
      <c r="BT252" s="296">
        <v>0</v>
      </c>
      <c r="BU252" s="296">
        <v>0</v>
      </c>
      <c r="BV252" s="713">
        <v>0</v>
      </c>
      <c r="BW252" s="1011">
        <f t="shared" si="1215"/>
        <v>0</v>
      </c>
      <c r="BX252" s="449" t="s">
        <v>2141</v>
      </c>
    </row>
    <row r="253" spans="1:76" s="1" customFormat="1" ht="116.45" hidden="1" customHeight="1" outlineLevel="1" x14ac:dyDescent="0.25">
      <c r="A253" s="678">
        <v>143</v>
      </c>
      <c r="B253" s="702" t="s">
        <v>69</v>
      </c>
      <c r="C253" s="697" t="s">
        <v>1738</v>
      </c>
      <c r="D253" s="671">
        <v>44839</v>
      </c>
      <c r="E253" s="672" t="s">
        <v>2323</v>
      </c>
      <c r="F253" s="643" t="s">
        <v>2324</v>
      </c>
      <c r="G253" s="95" t="s">
        <v>24</v>
      </c>
      <c r="H253" s="311" t="s">
        <v>130</v>
      </c>
      <c r="I253" s="335"/>
      <c r="J253" s="294">
        <f t="shared" si="1233"/>
        <v>0</v>
      </c>
      <c r="K253" s="52">
        <f t="shared" si="1216"/>
        <v>0</v>
      </c>
      <c r="L253" s="52">
        <f t="shared" si="1217"/>
        <v>0</v>
      </c>
      <c r="M253" s="52">
        <f t="shared" si="1218"/>
        <v>0</v>
      </c>
      <c r="N253" s="52">
        <f t="shared" si="1219"/>
        <v>0</v>
      </c>
      <c r="O253" s="52">
        <f t="shared" si="1234"/>
        <v>3.8614229371215743E-6</v>
      </c>
      <c r="P253" s="52">
        <f t="shared" si="1235"/>
        <v>3.9697072900018163E-6</v>
      </c>
      <c r="Q253" s="52">
        <f t="shared" si="1236"/>
        <v>3.9882015482293802E-6</v>
      </c>
      <c r="R253" s="52">
        <f t="shared" si="1237"/>
        <v>0</v>
      </c>
      <c r="S253" s="527">
        <f t="shared" si="1220"/>
        <v>0</v>
      </c>
      <c r="T253" s="533">
        <f t="shared" si="1221"/>
        <v>0</v>
      </c>
      <c r="U253" s="375">
        <f t="shared" si="1222"/>
        <v>0</v>
      </c>
      <c r="V253" s="375">
        <f t="shared" si="1223"/>
        <v>0</v>
      </c>
      <c r="W253" s="386">
        <f t="shared" si="1224"/>
        <v>0</v>
      </c>
      <c r="X253" s="386">
        <f t="shared" si="1225"/>
        <v>0</v>
      </c>
      <c r="Y253" s="386">
        <f t="shared" si="1226"/>
        <v>0</v>
      </c>
      <c r="Z253" s="375">
        <f t="shared" si="1227"/>
        <v>0</v>
      </c>
      <c r="AA253" s="375">
        <f t="shared" si="1228"/>
        <v>-3.8614229371215743E-6</v>
      </c>
      <c r="AB253" s="386">
        <f t="shared" si="1229"/>
        <v>0</v>
      </c>
      <c r="AC253" s="386">
        <f t="shared" si="1146"/>
        <v>0</v>
      </c>
      <c r="AD253" s="386">
        <f t="shared" si="1147"/>
        <v>0</v>
      </c>
      <c r="AE253" s="386">
        <f t="shared" si="1238"/>
        <v>0</v>
      </c>
      <c r="AF253" s="386">
        <f t="shared" si="1239"/>
        <v>0</v>
      </c>
      <c r="AG253" s="375">
        <f t="shared" si="1240"/>
        <v>-4.0247453905227425E-6</v>
      </c>
      <c r="AH253" s="375">
        <f t="shared" si="1241"/>
        <v>0</v>
      </c>
      <c r="AI253" s="386">
        <f t="shared" si="1150"/>
        <v>0</v>
      </c>
      <c r="AJ253" s="386">
        <f t="shared" si="1151"/>
        <v>0</v>
      </c>
      <c r="AK253" s="386">
        <f t="shared" si="1152"/>
        <v>0</v>
      </c>
      <c r="AL253" s="377">
        <f t="shared" si="1242"/>
        <v>0</v>
      </c>
      <c r="AM253" s="377">
        <f t="shared" si="1243"/>
        <v>0</v>
      </c>
      <c r="AN253" s="377">
        <f t="shared" si="1244"/>
        <v>0</v>
      </c>
      <c r="AO253" s="283"/>
      <c r="AP253" s="295">
        <f t="shared" si="1205"/>
        <v>0.15229000000000001</v>
      </c>
      <c r="AQ253" s="183">
        <f t="shared" si="1206"/>
        <v>0</v>
      </c>
      <c r="AR253" s="94">
        <f t="shared" si="1207"/>
        <v>0</v>
      </c>
      <c r="AS253" s="94">
        <f t="shared" si="1208"/>
        <v>0</v>
      </c>
      <c r="AT253" s="94">
        <f t="shared" si="1209"/>
        <v>0</v>
      </c>
      <c r="AU253" s="94">
        <f t="shared" si="1210"/>
        <v>0</v>
      </c>
      <c r="AV253" s="94">
        <f t="shared" ref="AV253:AV257" si="1245">-BH253</f>
        <v>0.15229000000000001</v>
      </c>
      <c r="AW253" s="94">
        <f t="shared" si="1231"/>
        <v>0.15229000000000001</v>
      </c>
      <c r="AX253" s="94">
        <f t="shared" si="1200"/>
        <v>0.15729000000000001</v>
      </c>
      <c r="AY253" s="94">
        <f t="shared" si="1213"/>
        <v>0</v>
      </c>
      <c r="AZ253" s="433">
        <f t="shared" si="1232"/>
        <v>0</v>
      </c>
      <c r="BA253" s="1008">
        <v>0</v>
      </c>
      <c r="BB253" s="409">
        <v>0</v>
      </c>
      <c r="BC253" s="1035">
        <f>0</f>
        <v>0</v>
      </c>
      <c r="BD253" s="1030">
        <v>0</v>
      </c>
      <c r="BE253" s="389">
        <v>0</v>
      </c>
      <c r="BF253" s="516">
        <v>0</v>
      </c>
      <c r="BG253" s="207">
        <v>0</v>
      </c>
      <c r="BH253" s="207">
        <f>-0.15229</f>
        <v>-0.15229000000000001</v>
      </c>
      <c r="BI253" s="389">
        <v>0</v>
      </c>
      <c r="BJ253" s="516">
        <v>0</v>
      </c>
      <c r="BK253" s="516">
        <v>0</v>
      </c>
      <c r="BL253" s="516">
        <v>0</v>
      </c>
      <c r="BM253" s="516">
        <v>0</v>
      </c>
      <c r="BN253" s="713">
        <f>-0.15729</f>
        <v>-0.15729000000000001</v>
      </c>
      <c r="BO253" s="207">
        <v>0</v>
      </c>
      <c r="BP253" s="389">
        <v>0</v>
      </c>
      <c r="BQ253" s="389">
        <v>0</v>
      </c>
      <c r="BR253" s="389">
        <v>0</v>
      </c>
      <c r="BS253" s="296">
        <v>0</v>
      </c>
      <c r="BT253" s="296">
        <v>0</v>
      </c>
      <c r="BU253" s="296">
        <v>0</v>
      </c>
      <c r="BV253" s="713">
        <v>0</v>
      </c>
      <c r="BW253" s="1011">
        <f t="shared" si="1215"/>
        <v>0</v>
      </c>
      <c r="BX253" s="449" t="s">
        <v>2328</v>
      </c>
    </row>
    <row r="254" spans="1:76" s="1" customFormat="1" ht="116.45" hidden="1" customHeight="1" outlineLevel="1" x14ac:dyDescent="0.25">
      <c r="A254" s="678">
        <v>144</v>
      </c>
      <c r="B254" s="702" t="s">
        <v>69</v>
      </c>
      <c r="C254" s="697" t="s">
        <v>1737</v>
      </c>
      <c r="D254" s="671">
        <v>44839</v>
      </c>
      <c r="E254" s="672" t="s">
        <v>2325</v>
      </c>
      <c r="F254" s="643" t="s">
        <v>2326</v>
      </c>
      <c r="G254" s="95" t="s">
        <v>24</v>
      </c>
      <c r="H254" s="311" t="s">
        <v>130</v>
      </c>
      <c r="I254" s="335"/>
      <c r="J254" s="294">
        <f t="shared" si="1233"/>
        <v>0</v>
      </c>
      <c r="K254" s="52">
        <f t="shared" si="1216"/>
        <v>0</v>
      </c>
      <c r="L254" s="52">
        <f t="shared" si="1217"/>
        <v>0</v>
      </c>
      <c r="M254" s="52">
        <f t="shared" si="1218"/>
        <v>0</v>
      </c>
      <c r="N254" s="52">
        <f t="shared" si="1219"/>
        <v>0</v>
      </c>
      <c r="O254" s="52">
        <f t="shared" si="1234"/>
        <v>4.2374148281139952E-4</v>
      </c>
      <c r="P254" s="52">
        <f t="shared" si="1235"/>
        <v>4.3562429725620903E-4</v>
      </c>
      <c r="Q254" s="52">
        <f t="shared" si="1236"/>
        <v>2.8379645653704726E-6</v>
      </c>
      <c r="R254" s="52">
        <f t="shared" si="1237"/>
        <v>0</v>
      </c>
      <c r="S254" s="527">
        <f t="shared" si="1220"/>
        <v>0</v>
      </c>
      <c r="T254" s="533">
        <f t="shared" si="1221"/>
        <v>0</v>
      </c>
      <c r="U254" s="375">
        <f t="shared" si="1222"/>
        <v>0</v>
      </c>
      <c r="V254" s="375">
        <f t="shared" si="1223"/>
        <v>0</v>
      </c>
      <c r="W254" s="386">
        <f t="shared" si="1224"/>
        <v>0</v>
      </c>
      <c r="X254" s="386">
        <f t="shared" si="1225"/>
        <v>0</v>
      </c>
      <c r="Y254" s="386">
        <f t="shared" si="1226"/>
        <v>0</v>
      </c>
      <c r="Z254" s="375">
        <f t="shared" si="1227"/>
        <v>0</v>
      </c>
      <c r="AA254" s="375">
        <f t="shared" si="1228"/>
        <v>-4.2374148281139952E-4</v>
      </c>
      <c r="AB254" s="386">
        <f t="shared" si="1229"/>
        <v>0</v>
      </c>
      <c r="AC254" s="386">
        <f t="shared" si="1146"/>
        <v>0</v>
      </c>
      <c r="AD254" s="386">
        <f t="shared" si="1147"/>
        <v>0</v>
      </c>
      <c r="AE254" s="386">
        <f t="shared" si="1238"/>
        <v>0</v>
      </c>
      <c r="AF254" s="386">
        <f t="shared" si="1239"/>
        <v>0</v>
      </c>
      <c r="AG254" s="375">
        <f t="shared" si="1240"/>
        <v>-2.8639688001757796E-6</v>
      </c>
      <c r="AH254" s="375">
        <f t="shared" si="1241"/>
        <v>0</v>
      </c>
      <c r="AI254" s="386">
        <f t="shared" si="1150"/>
        <v>0</v>
      </c>
      <c r="AJ254" s="386">
        <f t="shared" si="1151"/>
        <v>0</v>
      </c>
      <c r="AK254" s="386">
        <f t="shared" si="1152"/>
        <v>0</v>
      </c>
      <c r="AL254" s="377">
        <f t="shared" si="1242"/>
        <v>0</v>
      </c>
      <c r="AM254" s="377">
        <f t="shared" si="1243"/>
        <v>0</v>
      </c>
      <c r="AN254" s="377">
        <f t="shared" si="1244"/>
        <v>0</v>
      </c>
      <c r="AO254" s="283"/>
      <c r="AP254" s="295">
        <f t="shared" si="1205"/>
        <v>16.711867999999999</v>
      </c>
      <c r="AQ254" s="183">
        <f t="shared" si="1206"/>
        <v>0</v>
      </c>
      <c r="AR254" s="94">
        <f t="shared" si="1207"/>
        <v>0</v>
      </c>
      <c r="AS254" s="94">
        <f t="shared" si="1208"/>
        <v>0</v>
      </c>
      <c r="AT254" s="94">
        <f t="shared" si="1209"/>
        <v>0</v>
      </c>
      <c r="AU254" s="94">
        <f t="shared" si="1210"/>
        <v>0</v>
      </c>
      <c r="AV254" s="94">
        <f t="shared" si="1245"/>
        <v>16.711867999999999</v>
      </c>
      <c r="AW254" s="94">
        <f t="shared" si="1231"/>
        <v>16.711867999999999</v>
      </c>
      <c r="AX254" s="94">
        <f t="shared" si="1200"/>
        <v>0.111926</v>
      </c>
      <c r="AY254" s="94">
        <f t="shared" si="1213"/>
        <v>0</v>
      </c>
      <c r="AZ254" s="433">
        <f t="shared" si="1232"/>
        <v>0</v>
      </c>
      <c r="BA254" s="1008">
        <v>0</v>
      </c>
      <c r="BB254" s="409">
        <v>0</v>
      </c>
      <c r="BC254" s="1035">
        <f>0</f>
        <v>0</v>
      </c>
      <c r="BD254" s="1030">
        <v>0</v>
      </c>
      <c r="BE254" s="389">
        <v>0</v>
      </c>
      <c r="BF254" s="516">
        <v>0</v>
      </c>
      <c r="BG254" s="207">
        <v>0</v>
      </c>
      <c r="BH254" s="207">
        <f>-16.711868</f>
        <v>-16.711867999999999</v>
      </c>
      <c r="BI254" s="389">
        <v>0</v>
      </c>
      <c r="BJ254" s="516">
        <v>0</v>
      </c>
      <c r="BK254" s="516">
        <v>0</v>
      </c>
      <c r="BL254" s="516">
        <v>0</v>
      </c>
      <c r="BM254" s="516">
        <v>0</v>
      </c>
      <c r="BN254" s="713">
        <f>-0.000541-0.111385</f>
        <v>-0.111926</v>
      </c>
      <c r="BO254" s="207">
        <v>0</v>
      </c>
      <c r="BP254" s="389">
        <v>0</v>
      </c>
      <c r="BQ254" s="389">
        <v>0</v>
      </c>
      <c r="BR254" s="389">
        <v>0</v>
      </c>
      <c r="BS254" s="296">
        <v>0</v>
      </c>
      <c r="BT254" s="296">
        <v>0</v>
      </c>
      <c r="BU254" s="296">
        <v>0</v>
      </c>
      <c r="BV254" s="713">
        <v>0</v>
      </c>
      <c r="BW254" s="1011">
        <f t="shared" si="1215"/>
        <v>0</v>
      </c>
      <c r="BX254" s="449" t="s">
        <v>2327</v>
      </c>
    </row>
    <row r="255" spans="1:76" s="1" customFormat="1" ht="116.45" hidden="1" customHeight="1" outlineLevel="1" x14ac:dyDescent="0.25">
      <c r="A255" s="678">
        <v>145</v>
      </c>
      <c r="B255" s="702" t="s">
        <v>69</v>
      </c>
      <c r="C255" s="697" t="s">
        <v>1737</v>
      </c>
      <c r="D255" s="671">
        <v>44832</v>
      </c>
      <c r="E255" s="672" t="s">
        <v>2333</v>
      </c>
      <c r="F255" s="643" t="s">
        <v>2334</v>
      </c>
      <c r="G255" s="95" t="s">
        <v>24</v>
      </c>
      <c r="H255" s="311" t="s">
        <v>130</v>
      </c>
      <c r="I255" s="335"/>
      <c r="J255" s="294">
        <f t="shared" si="1233"/>
        <v>0</v>
      </c>
      <c r="K255" s="52">
        <f t="shared" si="1216"/>
        <v>0</v>
      </c>
      <c r="L255" s="52">
        <f t="shared" si="1217"/>
        <v>0</v>
      </c>
      <c r="M255" s="52">
        <f t="shared" si="1218"/>
        <v>0</v>
      </c>
      <c r="N255" s="52">
        <f t="shared" si="1219"/>
        <v>0</v>
      </c>
      <c r="O255" s="52">
        <f t="shared" si="1234"/>
        <v>4.1084383830040246E-6</v>
      </c>
      <c r="P255" s="52">
        <f t="shared" si="1235"/>
        <v>4.2236496921240682E-6</v>
      </c>
      <c r="Q255" s="52">
        <f t="shared" si="1236"/>
        <v>6.5686026872732327E-6</v>
      </c>
      <c r="R255" s="52">
        <f t="shared" si="1237"/>
        <v>0</v>
      </c>
      <c r="S255" s="527">
        <f t="shared" si="1220"/>
        <v>0</v>
      </c>
      <c r="T255" s="533">
        <f t="shared" si="1221"/>
        <v>0</v>
      </c>
      <c r="U255" s="375">
        <f t="shared" si="1222"/>
        <v>0</v>
      </c>
      <c r="V255" s="375">
        <f t="shared" si="1223"/>
        <v>0</v>
      </c>
      <c r="W255" s="386">
        <f t="shared" si="1224"/>
        <v>0</v>
      </c>
      <c r="X255" s="386">
        <f t="shared" si="1225"/>
        <v>0</v>
      </c>
      <c r="Y255" s="386">
        <f t="shared" si="1226"/>
        <v>0</v>
      </c>
      <c r="Z255" s="375">
        <f t="shared" si="1227"/>
        <v>0</v>
      </c>
      <c r="AA255" s="375">
        <f t="shared" si="1228"/>
        <v>-4.1084383830040246E-6</v>
      </c>
      <c r="AB255" s="386">
        <f t="shared" si="1229"/>
        <v>0</v>
      </c>
      <c r="AC255" s="386">
        <f t="shared" ref="AC255" si="1246">BJ255/AC$8</f>
        <v>0</v>
      </c>
      <c r="AD255" s="386">
        <f t="shared" ref="AD255" si="1247">BK255/AD$8</f>
        <v>0</v>
      </c>
      <c r="AE255" s="386">
        <f t="shared" si="1238"/>
        <v>0</v>
      </c>
      <c r="AF255" s="386">
        <f t="shared" si="1239"/>
        <v>0</v>
      </c>
      <c r="AG255" s="375">
        <f t="shared" si="1240"/>
        <v>-6.6287907138282183E-6</v>
      </c>
      <c r="AH255" s="375">
        <f t="shared" si="1241"/>
        <v>0</v>
      </c>
      <c r="AI255" s="386">
        <f t="shared" ref="AI255" si="1248">BP255/AI$8</f>
        <v>0</v>
      </c>
      <c r="AJ255" s="386">
        <f t="shared" ref="AJ255:AK262" si="1249">BQ255/AJ$8</f>
        <v>0</v>
      </c>
      <c r="AK255" s="386">
        <f t="shared" si="1249"/>
        <v>0</v>
      </c>
      <c r="AL255" s="377">
        <f t="shared" si="1242"/>
        <v>0</v>
      </c>
      <c r="AM255" s="377">
        <f t="shared" si="1243"/>
        <v>0</v>
      </c>
      <c r="AN255" s="377">
        <f t="shared" si="1244"/>
        <v>0</v>
      </c>
      <c r="AO255" s="283"/>
      <c r="AP255" s="295">
        <f t="shared" si="1205"/>
        <v>0.16203200000000001</v>
      </c>
      <c r="AQ255" s="183">
        <f t="shared" si="1206"/>
        <v>0</v>
      </c>
      <c r="AR255" s="94">
        <f t="shared" si="1207"/>
        <v>0</v>
      </c>
      <c r="AS255" s="94">
        <f t="shared" si="1208"/>
        <v>0</v>
      </c>
      <c r="AT255" s="94">
        <f t="shared" si="1209"/>
        <v>0</v>
      </c>
      <c r="AU255" s="94">
        <f t="shared" si="1210"/>
        <v>0</v>
      </c>
      <c r="AV255" s="94">
        <f t="shared" si="1245"/>
        <v>0.16203200000000001</v>
      </c>
      <c r="AW255" s="94">
        <f t="shared" si="1231"/>
        <v>0.16203200000000001</v>
      </c>
      <c r="AX255" s="94">
        <f t="shared" si="1200"/>
        <v>0.25905800000000001</v>
      </c>
      <c r="AY255" s="94">
        <f t="shared" si="1213"/>
        <v>0</v>
      </c>
      <c r="AZ255" s="433">
        <f t="shared" si="1232"/>
        <v>0</v>
      </c>
      <c r="BA255" s="1008">
        <v>0</v>
      </c>
      <c r="BB255" s="409">
        <v>0</v>
      </c>
      <c r="BC255" s="1035">
        <f>0</f>
        <v>0</v>
      </c>
      <c r="BD255" s="1030">
        <v>0</v>
      </c>
      <c r="BE255" s="389">
        <v>0</v>
      </c>
      <c r="BF255" s="516">
        <v>0</v>
      </c>
      <c r="BG255" s="207">
        <v>0</v>
      </c>
      <c r="BH255" s="207">
        <f>-0.162032</f>
        <v>-0.16203200000000001</v>
      </c>
      <c r="BI255" s="389">
        <v>0</v>
      </c>
      <c r="BJ255" s="516">
        <v>0</v>
      </c>
      <c r="BK255" s="516">
        <v>0</v>
      </c>
      <c r="BL255" s="516">
        <v>0</v>
      </c>
      <c r="BM255" s="516">
        <v>0</v>
      </c>
      <c r="BN255" s="713">
        <f>-0.259058</f>
        <v>-0.25905800000000001</v>
      </c>
      <c r="BO255" s="207">
        <v>0</v>
      </c>
      <c r="BP255" s="389">
        <v>0</v>
      </c>
      <c r="BQ255" s="389">
        <v>0</v>
      </c>
      <c r="BR255" s="389">
        <v>0</v>
      </c>
      <c r="BS255" s="296">
        <v>0</v>
      </c>
      <c r="BT255" s="296">
        <v>0</v>
      </c>
      <c r="BU255" s="296">
        <v>0</v>
      </c>
      <c r="BV255" s="713">
        <v>0</v>
      </c>
      <c r="BW255" s="1011">
        <f t="shared" si="1215"/>
        <v>0</v>
      </c>
      <c r="BX255" s="449" t="s">
        <v>2335</v>
      </c>
    </row>
    <row r="256" spans="1:76" s="1" customFormat="1" ht="116.45" hidden="1" customHeight="1" outlineLevel="1" x14ac:dyDescent="0.25">
      <c r="A256" s="678">
        <v>146</v>
      </c>
      <c r="B256" s="702" t="s">
        <v>69</v>
      </c>
      <c r="C256" s="697" t="s">
        <v>1738</v>
      </c>
      <c r="D256" s="671">
        <v>44880</v>
      </c>
      <c r="E256" s="672" t="s">
        <v>2359</v>
      </c>
      <c r="F256" s="643" t="s">
        <v>2360</v>
      </c>
      <c r="G256" s="95" t="s">
        <v>24</v>
      </c>
      <c r="H256" s="311" t="s">
        <v>130</v>
      </c>
      <c r="I256" s="335"/>
      <c r="J256" s="294">
        <f t="shared" ref="J256" si="1250">AQ256/T$8</f>
        <v>0</v>
      </c>
      <c r="K256" s="52">
        <f t="shared" ref="K256" si="1251">AR256/U$8</f>
        <v>0</v>
      </c>
      <c r="L256" s="52">
        <f t="shared" ref="L256" si="1252">AS256/V$8</f>
        <v>0</v>
      </c>
      <c r="M256" s="52">
        <f t="shared" ref="M256" si="1253">AT256/Y$8</f>
        <v>0</v>
      </c>
      <c r="N256" s="52">
        <f t="shared" ref="N256" si="1254">AU256/Z$8</f>
        <v>0</v>
      </c>
      <c r="O256" s="52">
        <f t="shared" ref="O256" si="1255">AV256/AA$8</f>
        <v>1.5541029264039366E-6</v>
      </c>
      <c r="P256" s="52">
        <f t="shared" si="1235"/>
        <v>1.5976840187720225E-6</v>
      </c>
      <c r="Q256" s="52">
        <f t="shared" si="1236"/>
        <v>0</v>
      </c>
      <c r="R256" s="52">
        <f t="shared" ref="R256" si="1256">AY256/AH$8</f>
        <v>0</v>
      </c>
      <c r="S256" s="527">
        <f t="shared" ref="S256" si="1257">AZ256/AN$8</f>
        <v>0</v>
      </c>
      <c r="T256" s="533">
        <f t="shared" ref="T256" si="1258">BA256/T$8</f>
        <v>0</v>
      </c>
      <c r="U256" s="375">
        <f t="shared" ref="U256" si="1259">BB256/U$8</f>
        <v>0</v>
      </c>
      <c r="V256" s="375">
        <f t="shared" ref="V256" si="1260">BC256/V$8</f>
        <v>0</v>
      </c>
      <c r="W256" s="386">
        <f t="shared" ref="W256" si="1261">BD256/W$8</f>
        <v>0</v>
      </c>
      <c r="X256" s="386">
        <f t="shared" ref="X256" si="1262">BE256/X$8</f>
        <v>0</v>
      </c>
      <c r="Y256" s="386">
        <f t="shared" ref="Y256" si="1263">BF256/Y$8</f>
        <v>0</v>
      </c>
      <c r="Z256" s="375">
        <f t="shared" ref="Z256" si="1264">BG256/Z$8</f>
        <v>0</v>
      </c>
      <c r="AA256" s="375">
        <f t="shared" ref="AA256" si="1265">BH256/AA$8</f>
        <v>-1.5541029264039366E-6</v>
      </c>
      <c r="AB256" s="386">
        <f t="shared" ref="AB256" si="1266">BI256/AB$8</f>
        <v>0</v>
      </c>
      <c r="AC256" s="386">
        <f t="shared" si="1146"/>
        <v>0</v>
      </c>
      <c r="AD256" s="386">
        <f t="shared" si="1147"/>
        <v>0</v>
      </c>
      <c r="AE256" s="386">
        <f t="shared" ref="AE256" si="1267">BL256/AE$8</f>
        <v>0</v>
      </c>
      <c r="AF256" s="386">
        <f t="shared" si="1239"/>
        <v>0</v>
      </c>
      <c r="AG256" s="375">
        <f t="shared" si="1240"/>
        <v>0</v>
      </c>
      <c r="AH256" s="375">
        <f t="shared" ref="AH256" si="1268">BO256/AH$8</f>
        <v>0</v>
      </c>
      <c r="AI256" s="386">
        <f>BP256/AI$8</f>
        <v>0</v>
      </c>
      <c r="AJ256" s="386">
        <f t="shared" si="1249"/>
        <v>0</v>
      </c>
      <c r="AK256" s="386">
        <f t="shared" si="1249"/>
        <v>0</v>
      </c>
      <c r="AL256" s="377">
        <f t="shared" si="1242"/>
        <v>0</v>
      </c>
      <c r="AM256" s="377">
        <f t="shared" si="1243"/>
        <v>0</v>
      </c>
      <c r="AN256" s="377">
        <f t="shared" si="1244"/>
        <v>0</v>
      </c>
      <c r="AO256" s="283"/>
      <c r="AP256" s="295">
        <f t="shared" ref="AP256" si="1269">AR256+AU256+AZ256+AW256+AY256</f>
        <v>6.1291999999999999E-2</v>
      </c>
      <c r="AQ256" s="183">
        <f t="shared" ref="AQ256" si="1270">-BA256</f>
        <v>0</v>
      </c>
      <c r="AR256" s="94">
        <f t="shared" ref="AR256" si="1271">-BB256</f>
        <v>0</v>
      </c>
      <c r="AS256" s="94">
        <f t="shared" ref="AS256" si="1272">-BC256</f>
        <v>0</v>
      </c>
      <c r="AT256" s="94">
        <f t="shared" ref="AT256" si="1273">-BC256</f>
        <v>0</v>
      </c>
      <c r="AU256" s="94">
        <f t="shared" ref="AU256" si="1274">-BG256</f>
        <v>0</v>
      </c>
      <c r="AV256" s="94">
        <f t="shared" si="1245"/>
        <v>6.1291999999999999E-2</v>
      </c>
      <c r="AW256" s="94">
        <f t="shared" si="1231"/>
        <v>6.1291999999999999E-2</v>
      </c>
      <c r="AX256" s="94">
        <f t="shared" si="1200"/>
        <v>0</v>
      </c>
      <c r="AY256" s="94">
        <f t="shared" ref="AY256" si="1275">-BO256</f>
        <v>0</v>
      </c>
      <c r="AZ256" s="433">
        <f t="shared" si="1232"/>
        <v>0</v>
      </c>
      <c r="BA256" s="1008">
        <v>0</v>
      </c>
      <c r="BB256" s="409">
        <v>0</v>
      </c>
      <c r="BC256" s="1035">
        <f>0</f>
        <v>0</v>
      </c>
      <c r="BD256" s="1030">
        <v>0</v>
      </c>
      <c r="BE256" s="389">
        <v>0</v>
      </c>
      <c r="BF256" s="516">
        <v>0</v>
      </c>
      <c r="BG256" s="207">
        <v>0</v>
      </c>
      <c r="BH256" s="207">
        <f>-0.061292</f>
        <v>-6.1291999999999999E-2</v>
      </c>
      <c r="BI256" s="389">
        <v>0</v>
      </c>
      <c r="BJ256" s="516">
        <v>0</v>
      </c>
      <c r="BK256" s="516">
        <v>0</v>
      </c>
      <c r="BL256" s="516">
        <v>0</v>
      </c>
      <c r="BM256" s="516">
        <v>0</v>
      </c>
      <c r="BN256" s="409">
        <v>0</v>
      </c>
      <c r="BO256" s="207">
        <v>0</v>
      </c>
      <c r="BP256" s="389">
        <v>0</v>
      </c>
      <c r="BQ256" s="389">
        <v>0</v>
      </c>
      <c r="BR256" s="389">
        <v>0</v>
      </c>
      <c r="BS256" s="296">
        <v>0</v>
      </c>
      <c r="BT256" s="296">
        <v>0</v>
      </c>
      <c r="BU256" s="296">
        <v>0</v>
      </c>
      <c r="BV256" s="409">
        <v>0</v>
      </c>
      <c r="BW256" s="1011">
        <f t="shared" ref="BW256" si="1276">-BV256</f>
        <v>0</v>
      </c>
      <c r="BX256" s="449" t="s">
        <v>2335</v>
      </c>
    </row>
    <row r="257" spans="1:76" s="1" customFormat="1" ht="116.45" hidden="1" customHeight="1" outlineLevel="1" x14ac:dyDescent="0.25">
      <c r="A257" s="678">
        <v>147</v>
      </c>
      <c r="B257" s="702" t="s">
        <v>69</v>
      </c>
      <c r="C257" s="697" t="s">
        <v>1738</v>
      </c>
      <c r="D257" s="671">
        <v>44880</v>
      </c>
      <c r="E257" s="672" t="s">
        <v>2361</v>
      </c>
      <c r="F257" s="643" t="s">
        <v>2362</v>
      </c>
      <c r="G257" s="95" t="s">
        <v>24</v>
      </c>
      <c r="H257" s="311" t="s">
        <v>130</v>
      </c>
      <c r="I257" s="335"/>
      <c r="J257" s="294">
        <f t="shared" si="1233"/>
        <v>0</v>
      </c>
      <c r="K257" s="52">
        <f t="shared" si="1216"/>
        <v>0</v>
      </c>
      <c r="L257" s="52">
        <f t="shared" si="1217"/>
        <v>0</v>
      </c>
      <c r="M257" s="52">
        <f t="shared" si="1218"/>
        <v>0</v>
      </c>
      <c r="N257" s="52">
        <f t="shared" si="1219"/>
        <v>0</v>
      </c>
      <c r="O257" s="52">
        <f t="shared" si="1234"/>
        <v>7.7610569476310394E-6</v>
      </c>
      <c r="P257" s="52">
        <f t="shared" si="1235"/>
        <v>7.9786971913768865E-6</v>
      </c>
      <c r="Q257" s="52">
        <f t="shared" si="1236"/>
        <v>0</v>
      </c>
      <c r="R257" s="52">
        <f t="shared" si="1237"/>
        <v>0</v>
      </c>
      <c r="S257" s="527">
        <f t="shared" si="1220"/>
        <v>0</v>
      </c>
      <c r="T257" s="533">
        <f t="shared" si="1221"/>
        <v>0</v>
      </c>
      <c r="U257" s="375">
        <f t="shared" si="1222"/>
        <v>0</v>
      </c>
      <c r="V257" s="375">
        <f t="shared" si="1223"/>
        <v>0</v>
      </c>
      <c r="W257" s="386">
        <f t="shared" si="1224"/>
        <v>0</v>
      </c>
      <c r="X257" s="386">
        <f t="shared" si="1225"/>
        <v>0</v>
      </c>
      <c r="Y257" s="386">
        <f t="shared" si="1226"/>
        <v>0</v>
      </c>
      <c r="Z257" s="375">
        <f t="shared" si="1227"/>
        <v>0</v>
      </c>
      <c r="AA257" s="375">
        <f t="shared" si="1228"/>
        <v>-7.7610569476310394E-6</v>
      </c>
      <c r="AB257" s="386">
        <f t="shared" si="1229"/>
        <v>0</v>
      </c>
      <c r="AC257" s="386">
        <f t="shared" ref="AC257:AC259" si="1277">BJ257/AC$8</f>
        <v>0</v>
      </c>
      <c r="AD257" s="386">
        <f t="shared" ref="AD257:AD259" si="1278">BK257/AD$8</f>
        <v>0</v>
      </c>
      <c r="AE257" s="386">
        <f t="shared" si="1238"/>
        <v>0</v>
      </c>
      <c r="AF257" s="386">
        <f t="shared" si="1239"/>
        <v>0</v>
      </c>
      <c r="AG257" s="375">
        <f t="shared" si="1240"/>
        <v>0</v>
      </c>
      <c r="AH257" s="375">
        <f t="shared" si="1241"/>
        <v>0</v>
      </c>
      <c r="AI257" s="386">
        <f t="shared" ref="AI257:AI259" si="1279">BP257/AI$8</f>
        <v>0</v>
      </c>
      <c r="AJ257" s="386">
        <f t="shared" si="1249"/>
        <v>0</v>
      </c>
      <c r="AK257" s="386">
        <f t="shared" si="1249"/>
        <v>0</v>
      </c>
      <c r="AL257" s="377">
        <f t="shared" si="1242"/>
        <v>0</v>
      </c>
      <c r="AM257" s="377">
        <f t="shared" si="1243"/>
        <v>0</v>
      </c>
      <c r="AN257" s="377">
        <f t="shared" si="1244"/>
        <v>0</v>
      </c>
      <c r="AO257" s="283"/>
      <c r="AP257" s="295">
        <f t="shared" si="1205"/>
        <v>0.306087</v>
      </c>
      <c r="AQ257" s="183">
        <f t="shared" si="1206"/>
        <v>0</v>
      </c>
      <c r="AR257" s="94">
        <f t="shared" si="1207"/>
        <v>0</v>
      </c>
      <c r="AS257" s="94">
        <f t="shared" si="1208"/>
        <v>0</v>
      </c>
      <c r="AT257" s="94">
        <f t="shared" si="1209"/>
        <v>0</v>
      </c>
      <c r="AU257" s="94">
        <f t="shared" si="1210"/>
        <v>0</v>
      </c>
      <c r="AV257" s="94">
        <f t="shared" si="1245"/>
        <v>0.306087</v>
      </c>
      <c r="AW257" s="94">
        <f t="shared" si="1231"/>
        <v>0.306087</v>
      </c>
      <c r="AX257" s="94">
        <f t="shared" si="1200"/>
        <v>0</v>
      </c>
      <c r="AY257" s="94">
        <f t="shared" si="1213"/>
        <v>0</v>
      </c>
      <c r="AZ257" s="433">
        <f t="shared" si="1232"/>
        <v>0</v>
      </c>
      <c r="BA257" s="1008">
        <v>0</v>
      </c>
      <c r="BB257" s="409">
        <v>0</v>
      </c>
      <c r="BC257" s="1035">
        <f>0</f>
        <v>0</v>
      </c>
      <c r="BD257" s="1030">
        <v>0</v>
      </c>
      <c r="BE257" s="389">
        <v>0</v>
      </c>
      <c r="BF257" s="516">
        <v>0</v>
      </c>
      <c r="BG257" s="207">
        <v>0</v>
      </c>
      <c r="BH257" s="207">
        <f>-0.306087</f>
        <v>-0.306087</v>
      </c>
      <c r="BI257" s="389">
        <v>0</v>
      </c>
      <c r="BJ257" s="516">
        <v>0</v>
      </c>
      <c r="BK257" s="516">
        <v>0</v>
      </c>
      <c r="BL257" s="516">
        <v>0</v>
      </c>
      <c r="BM257" s="516">
        <v>0</v>
      </c>
      <c r="BN257" s="409">
        <v>0</v>
      </c>
      <c r="BO257" s="207">
        <v>0</v>
      </c>
      <c r="BP257" s="389">
        <v>0</v>
      </c>
      <c r="BQ257" s="389">
        <v>0</v>
      </c>
      <c r="BR257" s="389">
        <v>0</v>
      </c>
      <c r="BS257" s="296">
        <v>0</v>
      </c>
      <c r="BT257" s="296">
        <v>0</v>
      </c>
      <c r="BU257" s="296">
        <v>0</v>
      </c>
      <c r="BV257" s="409">
        <v>0</v>
      </c>
      <c r="BW257" s="1011">
        <f t="shared" si="1215"/>
        <v>0</v>
      </c>
      <c r="BX257" s="449" t="s">
        <v>2335</v>
      </c>
    </row>
    <row r="258" spans="1:76" s="1" customFormat="1" ht="116.45" hidden="1" customHeight="1" outlineLevel="1" x14ac:dyDescent="0.25">
      <c r="A258" s="678">
        <v>148</v>
      </c>
      <c r="B258" s="702" t="s">
        <v>69</v>
      </c>
      <c r="C258" s="697" t="s">
        <v>1740</v>
      </c>
      <c r="D258" s="671">
        <v>44894</v>
      </c>
      <c r="E258" s="672" t="s">
        <v>2363</v>
      </c>
      <c r="F258" s="643" t="s">
        <v>2364</v>
      </c>
      <c r="G258" s="95" t="s">
        <v>24</v>
      </c>
      <c r="H258" s="311" t="s">
        <v>130</v>
      </c>
      <c r="I258" s="335"/>
      <c r="J258" s="294">
        <f t="shared" si="1233"/>
        <v>0</v>
      </c>
      <c r="K258" s="52">
        <f t="shared" si="1216"/>
        <v>0</v>
      </c>
      <c r="L258" s="52">
        <f t="shared" si="1217"/>
        <v>0</v>
      </c>
      <c r="M258" s="52">
        <f t="shared" si="1218"/>
        <v>0</v>
      </c>
      <c r="N258" s="52">
        <f t="shared" si="1219"/>
        <v>0</v>
      </c>
      <c r="O258" s="52">
        <f t="shared" si="1234"/>
        <v>1.0223427199733525E-6</v>
      </c>
      <c r="P258" s="52">
        <f t="shared" si="1235"/>
        <v>1.051011871645369E-6</v>
      </c>
      <c r="Q258" s="52">
        <f t="shared" si="1236"/>
        <v>1.0223427199733525E-6</v>
      </c>
      <c r="R258" s="52">
        <f t="shared" si="1237"/>
        <v>0</v>
      </c>
      <c r="S258" s="527">
        <f t="shared" si="1220"/>
        <v>0</v>
      </c>
      <c r="T258" s="533">
        <f t="shared" si="1221"/>
        <v>0</v>
      </c>
      <c r="U258" s="375">
        <f t="shared" si="1222"/>
        <v>0</v>
      </c>
      <c r="V258" s="375">
        <f t="shared" si="1223"/>
        <v>0</v>
      </c>
      <c r="W258" s="386">
        <f t="shared" si="1224"/>
        <v>0</v>
      </c>
      <c r="X258" s="386">
        <f t="shared" si="1225"/>
        <v>0</v>
      </c>
      <c r="Y258" s="386">
        <f t="shared" si="1226"/>
        <v>0</v>
      </c>
      <c r="Z258" s="375">
        <f t="shared" si="1227"/>
        <v>0</v>
      </c>
      <c r="AA258" s="375">
        <f t="shared" si="1228"/>
        <v>-1.0223427199733525E-6</v>
      </c>
      <c r="AB258" s="386">
        <f t="shared" si="1229"/>
        <v>0</v>
      </c>
      <c r="AC258" s="386">
        <f t="shared" si="1277"/>
        <v>0</v>
      </c>
      <c r="AD258" s="386">
        <f t="shared" si="1278"/>
        <v>0</v>
      </c>
      <c r="AE258" s="386">
        <f t="shared" si="1238"/>
        <v>0</v>
      </c>
      <c r="AF258" s="386">
        <f t="shared" si="1239"/>
        <v>0</v>
      </c>
      <c r="AG258" s="375">
        <f t="shared" si="1240"/>
        <v>-1.0317104338856696E-6</v>
      </c>
      <c r="AH258" s="375">
        <f t="shared" si="1241"/>
        <v>0</v>
      </c>
      <c r="AI258" s="386">
        <f t="shared" si="1279"/>
        <v>0</v>
      </c>
      <c r="AJ258" s="386">
        <f t="shared" si="1249"/>
        <v>0</v>
      </c>
      <c r="AK258" s="386">
        <f t="shared" si="1249"/>
        <v>0</v>
      </c>
      <c r="AL258" s="377">
        <f t="shared" si="1242"/>
        <v>0</v>
      </c>
      <c r="AM258" s="377">
        <f t="shared" si="1243"/>
        <v>0</v>
      </c>
      <c r="AN258" s="377">
        <f t="shared" si="1244"/>
        <v>0</v>
      </c>
      <c r="AO258" s="283"/>
      <c r="AP258" s="295">
        <f t="shared" si="1205"/>
        <v>4.0320000000000002E-2</v>
      </c>
      <c r="AQ258" s="183">
        <f t="shared" si="1206"/>
        <v>0</v>
      </c>
      <c r="AR258" s="94">
        <f t="shared" si="1207"/>
        <v>0</v>
      </c>
      <c r="AS258" s="94">
        <f t="shared" si="1208"/>
        <v>0</v>
      </c>
      <c r="AT258" s="94">
        <f t="shared" si="1209"/>
        <v>0</v>
      </c>
      <c r="AU258" s="94">
        <f t="shared" si="1210"/>
        <v>0</v>
      </c>
      <c r="AV258" s="94">
        <f t="shared" ref="AV258:AV259" si="1280">-BH258</f>
        <v>4.0320000000000002E-2</v>
      </c>
      <c r="AW258" s="94">
        <f t="shared" ref="AW258:AW259" si="1281">-BH258</f>
        <v>4.0320000000000002E-2</v>
      </c>
      <c r="AX258" s="94">
        <f t="shared" si="1200"/>
        <v>4.0320000000000002E-2</v>
      </c>
      <c r="AY258" s="94">
        <f t="shared" si="1213"/>
        <v>0</v>
      </c>
      <c r="AZ258" s="433">
        <f t="shared" ref="AZ258:AZ259" si="1282">-BU258</f>
        <v>0</v>
      </c>
      <c r="BA258" s="1008">
        <v>0</v>
      </c>
      <c r="BB258" s="409">
        <v>0</v>
      </c>
      <c r="BC258" s="1035">
        <f>0</f>
        <v>0</v>
      </c>
      <c r="BD258" s="1030">
        <v>0</v>
      </c>
      <c r="BE258" s="389">
        <v>0</v>
      </c>
      <c r="BF258" s="516">
        <v>0</v>
      </c>
      <c r="BG258" s="207">
        <v>0</v>
      </c>
      <c r="BH258" s="1013">
        <f>-0.04032</f>
        <v>-4.0320000000000002E-2</v>
      </c>
      <c r="BI258" s="389">
        <v>0</v>
      </c>
      <c r="BJ258" s="516">
        <v>0</v>
      </c>
      <c r="BK258" s="516">
        <v>0</v>
      </c>
      <c r="BL258" s="516">
        <v>0</v>
      </c>
      <c r="BM258" s="516">
        <v>0</v>
      </c>
      <c r="BN258" s="713">
        <f>-0.04032</f>
        <v>-4.0320000000000002E-2</v>
      </c>
      <c r="BO258" s="207">
        <v>0</v>
      </c>
      <c r="BP258" s="389">
        <v>0</v>
      </c>
      <c r="BQ258" s="389">
        <v>0</v>
      </c>
      <c r="BR258" s="389">
        <v>0</v>
      </c>
      <c r="BS258" s="296">
        <v>0</v>
      </c>
      <c r="BT258" s="296">
        <v>0</v>
      </c>
      <c r="BU258" s="296">
        <v>0</v>
      </c>
      <c r="BV258" s="713">
        <v>0</v>
      </c>
      <c r="BW258" s="1011">
        <f t="shared" si="1215"/>
        <v>0</v>
      </c>
      <c r="BX258" s="449" t="s">
        <v>2335</v>
      </c>
    </row>
    <row r="259" spans="1:76" s="1" customFormat="1" ht="116.45" hidden="1" customHeight="1" outlineLevel="1" x14ac:dyDescent="0.25">
      <c r="A259" s="678">
        <v>148</v>
      </c>
      <c r="B259" s="702" t="s">
        <v>69</v>
      </c>
      <c r="C259" s="697" t="s">
        <v>1737</v>
      </c>
      <c r="D259" s="671">
        <v>44908</v>
      </c>
      <c r="E259" s="672" t="s">
        <v>2374</v>
      </c>
      <c r="F259" s="643" t="s">
        <v>2373</v>
      </c>
      <c r="G259" s="95" t="s">
        <v>24</v>
      </c>
      <c r="H259" s="311" t="s">
        <v>129</v>
      </c>
      <c r="I259" s="335"/>
      <c r="J259" s="294">
        <f t="shared" si="1233"/>
        <v>0</v>
      </c>
      <c r="K259" s="52">
        <f t="shared" si="1216"/>
        <v>0</v>
      </c>
      <c r="L259" s="52">
        <f t="shared" si="1217"/>
        <v>0</v>
      </c>
      <c r="M259" s="52">
        <f t="shared" si="1218"/>
        <v>0</v>
      </c>
      <c r="N259" s="52">
        <f t="shared" si="1219"/>
        <v>0</v>
      </c>
      <c r="O259" s="52">
        <f t="shared" si="1234"/>
        <v>2.6979249115407893E-6</v>
      </c>
      <c r="P259" s="52">
        <f t="shared" si="1235"/>
        <v>2.7735817504633479E-6</v>
      </c>
      <c r="Q259" s="52">
        <f t="shared" si="1236"/>
        <v>1.5049204320107741E-5</v>
      </c>
      <c r="R259" s="52">
        <f t="shared" si="1237"/>
        <v>0</v>
      </c>
      <c r="S259" s="527">
        <f t="shared" si="1220"/>
        <v>0</v>
      </c>
      <c r="T259" s="533">
        <f t="shared" si="1221"/>
        <v>0</v>
      </c>
      <c r="U259" s="375">
        <f t="shared" si="1222"/>
        <v>0</v>
      </c>
      <c r="V259" s="375">
        <f t="shared" si="1223"/>
        <v>0</v>
      </c>
      <c r="W259" s="386">
        <f t="shared" si="1224"/>
        <v>0</v>
      </c>
      <c r="X259" s="386">
        <f t="shared" si="1225"/>
        <v>0</v>
      </c>
      <c r="Y259" s="386">
        <f t="shared" si="1226"/>
        <v>0</v>
      </c>
      <c r="Z259" s="375">
        <f t="shared" si="1227"/>
        <v>0</v>
      </c>
      <c r="AA259" s="375">
        <f t="shared" si="1228"/>
        <v>-2.6979249115407893E-6</v>
      </c>
      <c r="AB259" s="386">
        <f t="shared" si="1229"/>
        <v>0</v>
      </c>
      <c r="AC259" s="386">
        <f t="shared" si="1277"/>
        <v>0</v>
      </c>
      <c r="AD259" s="386">
        <f t="shared" si="1278"/>
        <v>0</v>
      </c>
      <c r="AE259" s="386">
        <f t="shared" si="1238"/>
        <v>0</v>
      </c>
      <c r="AF259" s="386">
        <f t="shared" si="1239"/>
        <v>0</v>
      </c>
      <c r="AG259" s="375">
        <f t="shared" si="1240"/>
        <v>-1.5187099996307643E-5</v>
      </c>
      <c r="AH259" s="375">
        <f t="shared" si="1241"/>
        <v>0</v>
      </c>
      <c r="AI259" s="386">
        <f t="shared" si="1279"/>
        <v>0</v>
      </c>
      <c r="AJ259" s="386">
        <f t="shared" si="1249"/>
        <v>0</v>
      </c>
      <c r="AK259" s="386">
        <f t="shared" si="1249"/>
        <v>0</v>
      </c>
      <c r="AL259" s="377">
        <f t="shared" si="1242"/>
        <v>0</v>
      </c>
      <c r="AM259" s="377">
        <f t="shared" si="1243"/>
        <v>0</v>
      </c>
      <c r="AN259" s="377">
        <f t="shared" si="1244"/>
        <v>0</v>
      </c>
      <c r="AO259" s="283"/>
      <c r="AP259" s="295">
        <f t="shared" si="1205"/>
        <v>0.106403</v>
      </c>
      <c r="AQ259" s="183">
        <f t="shared" si="1206"/>
        <v>0</v>
      </c>
      <c r="AR259" s="94">
        <f t="shared" si="1207"/>
        <v>0</v>
      </c>
      <c r="AS259" s="94">
        <f t="shared" si="1208"/>
        <v>0</v>
      </c>
      <c r="AT259" s="94">
        <f t="shared" si="1209"/>
        <v>0</v>
      </c>
      <c r="AU259" s="94">
        <f t="shared" si="1210"/>
        <v>0</v>
      </c>
      <c r="AV259" s="94">
        <f t="shared" si="1280"/>
        <v>0.106403</v>
      </c>
      <c r="AW259" s="94">
        <f t="shared" si="1281"/>
        <v>0.106403</v>
      </c>
      <c r="AX259" s="94">
        <f t="shared" si="1200"/>
        <v>0.59352300000000002</v>
      </c>
      <c r="AY259" s="94">
        <f t="shared" si="1213"/>
        <v>0</v>
      </c>
      <c r="AZ259" s="433">
        <f t="shared" si="1282"/>
        <v>0</v>
      </c>
      <c r="BA259" s="1008">
        <v>0</v>
      </c>
      <c r="BB259" s="409">
        <v>0</v>
      </c>
      <c r="BC259" s="1035">
        <f>0</f>
        <v>0</v>
      </c>
      <c r="BD259" s="1030">
        <v>0</v>
      </c>
      <c r="BE259" s="389">
        <v>0</v>
      </c>
      <c r="BF259" s="516">
        <v>0</v>
      </c>
      <c r="BG259" s="207">
        <v>0</v>
      </c>
      <c r="BH259" s="1013">
        <f>-0.106403</f>
        <v>-0.106403</v>
      </c>
      <c r="BI259" s="389">
        <v>0</v>
      </c>
      <c r="BJ259" s="516">
        <v>0</v>
      </c>
      <c r="BK259" s="516">
        <v>0</v>
      </c>
      <c r="BL259" s="516">
        <v>0</v>
      </c>
      <c r="BM259" s="516">
        <v>0</v>
      </c>
      <c r="BN259" s="713">
        <f>-0.593523</f>
        <v>-0.59352300000000002</v>
      </c>
      <c r="BO259" s="207">
        <v>0</v>
      </c>
      <c r="BP259" s="389">
        <v>0</v>
      </c>
      <c r="BQ259" s="389">
        <v>0</v>
      </c>
      <c r="BR259" s="389">
        <v>0</v>
      </c>
      <c r="BS259" s="296">
        <v>0</v>
      </c>
      <c r="BT259" s="296">
        <v>0</v>
      </c>
      <c r="BU259" s="296">
        <v>0</v>
      </c>
      <c r="BV259" s="713">
        <v>0</v>
      </c>
      <c r="BW259" s="1011">
        <f t="shared" si="1215"/>
        <v>0</v>
      </c>
      <c r="BX259" s="449"/>
    </row>
    <row r="260" spans="1:76" s="1" customFormat="1" ht="116.45" hidden="1" customHeight="1" outlineLevel="1" x14ac:dyDescent="0.25">
      <c r="A260" s="678">
        <v>148</v>
      </c>
      <c r="B260" s="702" t="s">
        <v>69</v>
      </c>
      <c r="C260" s="697" t="s">
        <v>1737</v>
      </c>
      <c r="D260" s="671">
        <v>44908</v>
      </c>
      <c r="E260" s="672" t="s">
        <v>2375</v>
      </c>
      <c r="F260" s="643" t="s">
        <v>2373</v>
      </c>
      <c r="G260" s="95" t="s">
        <v>24</v>
      </c>
      <c r="H260" s="311" t="s">
        <v>129</v>
      </c>
      <c r="I260" s="335"/>
      <c r="J260" s="294">
        <f t="shared" ref="J260:J262" si="1283">AQ260/T$8</f>
        <v>0</v>
      </c>
      <c r="K260" s="52">
        <f t="shared" ref="K260:K262" si="1284">AR260/U$8</f>
        <v>0</v>
      </c>
      <c r="L260" s="52">
        <f t="shared" ref="L260:L262" si="1285">AS260/V$8</f>
        <v>0</v>
      </c>
      <c r="M260" s="52">
        <f t="shared" ref="M260:M262" si="1286">AT260/Y$8</f>
        <v>0</v>
      </c>
      <c r="N260" s="52">
        <f t="shared" ref="N260:N262" si="1287">AU260/Z$8</f>
        <v>0</v>
      </c>
      <c r="O260" s="52">
        <f t="shared" ref="O260:O262" si="1288">AV260/AA$8</f>
        <v>4.2532651971891377E-5</v>
      </c>
      <c r="P260" s="52">
        <f t="shared" si="1235"/>
        <v>4.372537827254624E-5</v>
      </c>
      <c r="Q260" s="52">
        <f t="shared" si="1236"/>
        <v>4.2532651971891377E-5</v>
      </c>
      <c r="R260" s="52">
        <f t="shared" ref="R260:R262" si="1289">AY260/AH$8</f>
        <v>0</v>
      </c>
      <c r="S260" s="527">
        <f t="shared" ref="S260:S262" si="1290">AZ260/AN$8</f>
        <v>0</v>
      </c>
      <c r="T260" s="533">
        <f t="shared" ref="T260:T262" si="1291">BA260/T$8</f>
        <v>0</v>
      </c>
      <c r="U260" s="375">
        <f t="shared" ref="U260:U262" si="1292">BB260/U$8</f>
        <v>0</v>
      </c>
      <c r="V260" s="375">
        <f t="shared" ref="V260:V262" si="1293">BC260/V$8</f>
        <v>0</v>
      </c>
      <c r="W260" s="386">
        <f t="shared" ref="W260:W262" si="1294">BD260/W$8</f>
        <v>0</v>
      </c>
      <c r="X260" s="386">
        <f t="shared" ref="X260:X262" si="1295">BE260/X$8</f>
        <v>0</v>
      </c>
      <c r="Y260" s="386">
        <f t="shared" ref="Y260:Y262" si="1296">BF260/Y$8</f>
        <v>0</v>
      </c>
      <c r="Z260" s="375">
        <f t="shared" ref="Z260:Z262" si="1297">BG260/Z$8</f>
        <v>0</v>
      </c>
      <c r="AA260" s="375">
        <f t="shared" ref="AA260:AA262" si="1298">BH260/AA$8</f>
        <v>-4.2532651971891377E-5</v>
      </c>
      <c r="AB260" s="386">
        <f t="shared" ref="AB260:AB262" si="1299">BI260/AB$8</f>
        <v>0</v>
      </c>
      <c r="AC260" s="386">
        <f t="shared" ref="AC260:AC262" si="1300">BJ260/AC$8</f>
        <v>0</v>
      </c>
      <c r="AD260" s="386">
        <f t="shared" ref="AD260:AD262" si="1301">BK260/AD$8</f>
        <v>0</v>
      </c>
      <c r="AE260" s="386">
        <f t="shared" ref="AE260:AE262" si="1302">BL260/AE$8</f>
        <v>0</v>
      </c>
      <c r="AF260" s="386">
        <f t="shared" si="1239"/>
        <v>0</v>
      </c>
      <c r="AG260" s="375">
        <f t="shared" si="1240"/>
        <v>-4.2922378144749739E-5</v>
      </c>
      <c r="AH260" s="375">
        <f t="shared" ref="AH260:AH262" si="1303">BO260/AH$8</f>
        <v>0</v>
      </c>
      <c r="AI260" s="386">
        <f t="shared" ref="AI260:AI262" si="1304">BP260/AI$8</f>
        <v>0</v>
      </c>
      <c r="AJ260" s="386">
        <f t="shared" si="1249"/>
        <v>0</v>
      </c>
      <c r="AK260" s="386">
        <f t="shared" si="1249"/>
        <v>0</v>
      </c>
      <c r="AL260" s="377">
        <f t="shared" si="1242"/>
        <v>0</v>
      </c>
      <c r="AM260" s="377">
        <f t="shared" si="1243"/>
        <v>0</v>
      </c>
      <c r="AN260" s="377">
        <f t="shared" si="1244"/>
        <v>0</v>
      </c>
      <c r="AO260" s="283"/>
      <c r="AP260" s="295">
        <f t="shared" ref="AP260:AP262" si="1305">AR260+AU260+AZ260+AW260+AY260</f>
        <v>1.677438</v>
      </c>
      <c r="AQ260" s="183">
        <f t="shared" ref="AQ260:AQ262" si="1306">-BA260</f>
        <v>0</v>
      </c>
      <c r="AR260" s="94">
        <f t="shared" ref="AR260:AR262" si="1307">-BB260</f>
        <v>0</v>
      </c>
      <c r="AS260" s="94">
        <f t="shared" ref="AS260:AS262" si="1308">-BC260</f>
        <v>0</v>
      </c>
      <c r="AT260" s="94">
        <f t="shared" ref="AT260:AT262" si="1309">-BC260</f>
        <v>0</v>
      </c>
      <c r="AU260" s="94">
        <f t="shared" ref="AU260:AU262" si="1310">-BG260</f>
        <v>0</v>
      </c>
      <c r="AV260" s="94">
        <f t="shared" ref="AV260:AV262" si="1311">-BH260</f>
        <v>1.677438</v>
      </c>
      <c r="AW260" s="94">
        <f t="shared" ref="AW260:AW262" si="1312">-BH260</f>
        <v>1.677438</v>
      </c>
      <c r="AX260" s="94">
        <f t="shared" si="1200"/>
        <v>1.677438</v>
      </c>
      <c r="AY260" s="94">
        <f t="shared" ref="AY260:AY262" si="1313">-BO260</f>
        <v>0</v>
      </c>
      <c r="AZ260" s="433">
        <f t="shared" ref="AZ260:AZ262" si="1314">-BU260</f>
        <v>0</v>
      </c>
      <c r="BA260" s="1008">
        <v>0</v>
      </c>
      <c r="BB260" s="409">
        <v>0</v>
      </c>
      <c r="BC260" s="1035">
        <f>0</f>
        <v>0</v>
      </c>
      <c r="BD260" s="1030">
        <v>0</v>
      </c>
      <c r="BE260" s="389">
        <v>0</v>
      </c>
      <c r="BF260" s="516">
        <v>0</v>
      </c>
      <c r="BG260" s="207">
        <v>0</v>
      </c>
      <c r="BH260" s="1013">
        <f>-1.677438</f>
        <v>-1.677438</v>
      </c>
      <c r="BI260" s="389">
        <v>0</v>
      </c>
      <c r="BJ260" s="516">
        <v>0</v>
      </c>
      <c r="BK260" s="516">
        <v>0</v>
      </c>
      <c r="BL260" s="516">
        <v>0</v>
      </c>
      <c r="BM260" s="516">
        <v>0</v>
      </c>
      <c r="BN260" s="713">
        <f>-1.677438</f>
        <v>-1.677438</v>
      </c>
      <c r="BO260" s="207">
        <v>0</v>
      </c>
      <c r="BP260" s="389">
        <v>0</v>
      </c>
      <c r="BQ260" s="389">
        <v>0</v>
      </c>
      <c r="BR260" s="389">
        <v>0</v>
      </c>
      <c r="BS260" s="296">
        <v>0</v>
      </c>
      <c r="BT260" s="296">
        <v>0</v>
      </c>
      <c r="BU260" s="296">
        <v>0</v>
      </c>
      <c r="BV260" s="713">
        <v>0</v>
      </c>
      <c r="BW260" s="1011">
        <f t="shared" ref="BW260:BW262" si="1315">-BV260</f>
        <v>0</v>
      </c>
      <c r="BX260" s="449"/>
    </row>
    <row r="261" spans="1:76" s="1" customFormat="1" ht="116.45" hidden="1" customHeight="1" outlineLevel="1" x14ac:dyDescent="0.25">
      <c r="A261" s="678">
        <v>148</v>
      </c>
      <c r="B261" s="702" t="s">
        <v>69</v>
      </c>
      <c r="C261" s="697" t="s">
        <v>1740</v>
      </c>
      <c r="D261" s="671">
        <v>44916</v>
      </c>
      <c r="E261" s="672" t="s">
        <v>2376</v>
      </c>
      <c r="F261" s="643" t="s">
        <v>2377</v>
      </c>
      <c r="G261" s="95" t="s">
        <v>24</v>
      </c>
      <c r="H261" s="311" t="s">
        <v>129</v>
      </c>
      <c r="I261" s="335"/>
      <c r="J261" s="294">
        <f t="shared" si="1283"/>
        <v>0</v>
      </c>
      <c r="K261" s="52">
        <f t="shared" si="1284"/>
        <v>0</v>
      </c>
      <c r="L261" s="52">
        <f t="shared" si="1285"/>
        <v>0</v>
      </c>
      <c r="M261" s="52">
        <f t="shared" si="1286"/>
        <v>0</v>
      </c>
      <c r="N261" s="52">
        <f t="shared" si="1287"/>
        <v>0</v>
      </c>
      <c r="O261" s="52">
        <f t="shared" si="1288"/>
        <v>9.1584868664279491E-6</v>
      </c>
      <c r="P261" s="52">
        <f t="shared" si="1235"/>
        <v>9.4153146834897632E-6</v>
      </c>
      <c r="Q261" s="52">
        <f t="shared" si="1236"/>
        <v>9.1584868664279491E-6</v>
      </c>
      <c r="R261" s="52">
        <f t="shared" si="1289"/>
        <v>0</v>
      </c>
      <c r="S261" s="527">
        <f t="shared" si="1290"/>
        <v>0</v>
      </c>
      <c r="T261" s="533">
        <f t="shared" si="1291"/>
        <v>0</v>
      </c>
      <c r="U261" s="375">
        <f t="shared" si="1292"/>
        <v>0</v>
      </c>
      <c r="V261" s="375">
        <f t="shared" si="1293"/>
        <v>0</v>
      </c>
      <c r="W261" s="386">
        <f t="shared" si="1294"/>
        <v>0</v>
      </c>
      <c r="X261" s="386">
        <f t="shared" si="1295"/>
        <v>0</v>
      </c>
      <c r="Y261" s="386">
        <f t="shared" si="1296"/>
        <v>0</v>
      </c>
      <c r="Z261" s="375">
        <f t="shared" si="1297"/>
        <v>0</v>
      </c>
      <c r="AA261" s="375">
        <f t="shared" si="1298"/>
        <v>-9.1584868664279491E-6</v>
      </c>
      <c r="AB261" s="386">
        <f t="shared" si="1299"/>
        <v>0</v>
      </c>
      <c r="AC261" s="386">
        <f t="shared" si="1300"/>
        <v>0</v>
      </c>
      <c r="AD261" s="386">
        <f t="shared" si="1301"/>
        <v>0</v>
      </c>
      <c r="AE261" s="386">
        <f t="shared" si="1302"/>
        <v>0</v>
      </c>
      <c r="AF261" s="386">
        <f t="shared" si="1239"/>
        <v>0</v>
      </c>
      <c r="AG261" s="375">
        <f t="shared" si="1240"/>
        <v>-9.2424059702257886E-6</v>
      </c>
      <c r="AH261" s="375">
        <f t="shared" si="1303"/>
        <v>0</v>
      </c>
      <c r="AI261" s="386">
        <f t="shared" si="1304"/>
        <v>0</v>
      </c>
      <c r="AJ261" s="386">
        <f t="shared" si="1249"/>
        <v>0</v>
      </c>
      <c r="AK261" s="386">
        <f t="shared" si="1249"/>
        <v>0</v>
      </c>
      <c r="AL261" s="377">
        <f t="shared" si="1242"/>
        <v>0</v>
      </c>
      <c r="AM261" s="377">
        <f t="shared" si="1243"/>
        <v>0</v>
      </c>
      <c r="AN261" s="377">
        <f t="shared" si="1244"/>
        <v>0</v>
      </c>
      <c r="AO261" s="283"/>
      <c r="AP261" s="295">
        <f t="shared" si="1305"/>
        <v>0.36120000000000002</v>
      </c>
      <c r="AQ261" s="183">
        <f t="shared" si="1306"/>
        <v>0</v>
      </c>
      <c r="AR261" s="94">
        <f t="shared" si="1307"/>
        <v>0</v>
      </c>
      <c r="AS261" s="94">
        <f t="shared" si="1308"/>
        <v>0</v>
      </c>
      <c r="AT261" s="94">
        <f t="shared" si="1309"/>
        <v>0</v>
      </c>
      <c r="AU261" s="94">
        <f t="shared" si="1310"/>
        <v>0</v>
      </c>
      <c r="AV261" s="94">
        <f t="shared" si="1311"/>
        <v>0.36120000000000002</v>
      </c>
      <c r="AW261" s="94">
        <f t="shared" si="1312"/>
        <v>0.36120000000000002</v>
      </c>
      <c r="AX261" s="94">
        <f t="shared" si="1200"/>
        <v>0.36120000000000002</v>
      </c>
      <c r="AY261" s="94">
        <f t="shared" si="1313"/>
        <v>0</v>
      </c>
      <c r="AZ261" s="433">
        <f t="shared" si="1314"/>
        <v>0</v>
      </c>
      <c r="BA261" s="1008">
        <v>0</v>
      </c>
      <c r="BB261" s="409">
        <v>0</v>
      </c>
      <c r="BC261" s="1035">
        <f>0</f>
        <v>0</v>
      </c>
      <c r="BD261" s="1030">
        <v>0</v>
      </c>
      <c r="BE261" s="389">
        <v>0</v>
      </c>
      <c r="BF261" s="516">
        <v>0</v>
      </c>
      <c r="BG261" s="207">
        <v>0</v>
      </c>
      <c r="BH261" s="1013">
        <f>-0.3612</f>
        <v>-0.36120000000000002</v>
      </c>
      <c r="BI261" s="389">
        <v>0</v>
      </c>
      <c r="BJ261" s="516">
        <v>0</v>
      </c>
      <c r="BK261" s="516">
        <v>0</v>
      </c>
      <c r="BL261" s="516">
        <v>0</v>
      </c>
      <c r="BM261" s="516">
        <v>0</v>
      </c>
      <c r="BN261" s="713">
        <f>-0.3612</f>
        <v>-0.36120000000000002</v>
      </c>
      <c r="BO261" s="207">
        <v>0</v>
      </c>
      <c r="BP261" s="389">
        <v>0</v>
      </c>
      <c r="BQ261" s="389">
        <v>0</v>
      </c>
      <c r="BR261" s="389">
        <v>0</v>
      </c>
      <c r="BS261" s="296">
        <v>0</v>
      </c>
      <c r="BT261" s="296">
        <v>0</v>
      </c>
      <c r="BU261" s="296">
        <v>0</v>
      </c>
      <c r="BV261" s="713">
        <v>0</v>
      </c>
      <c r="BW261" s="1011">
        <f t="shared" si="1315"/>
        <v>0</v>
      </c>
      <c r="BX261" s="449"/>
    </row>
    <row r="262" spans="1:76" s="1" customFormat="1" ht="116.45" hidden="1" customHeight="1" outlineLevel="1" x14ac:dyDescent="0.25">
      <c r="A262" s="678">
        <v>148</v>
      </c>
      <c r="B262" s="702" t="s">
        <v>69</v>
      </c>
      <c r="C262" s="697" t="s">
        <v>1737</v>
      </c>
      <c r="D262" s="671">
        <v>44888</v>
      </c>
      <c r="E262" s="672" t="s">
        <v>2379</v>
      </c>
      <c r="F262" s="643" t="s">
        <v>2378</v>
      </c>
      <c r="G262" s="95" t="s">
        <v>24</v>
      </c>
      <c r="H262" s="311" t="s">
        <v>129</v>
      </c>
      <c r="I262" s="335"/>
      <c r="J262" s="294">
        <f t="shared" si="1283"/>
        <v>0</v>
      </c>
      <c r="K262" s="52">
        <f t="shared" si="1284"/>
        <v>0</v>
      </c>
      <c r="L262" s="52">
        <f t="shared" si="1285"/>
        <v>0</v>
      </c>
      <c r="M262" s="52">
        <f t="shared" si="1286"/>
        <v>0</v>
      </c>
      <c r="N262" s="52">
        <f t="shared" si="1287"/>
        <v>0</v>
      </c>
      <c r="O262" s="52">
        <f t="shared" si="1288"/>
        <v>2.7143047080959181E-6</v>
      </c>
      <c r="P262" s="52">
        <f t="shared" si="1235"/>
        <v>2.790420879160841E-6</v>
      </c>
      <c r="Q262" s="52">
        <f t="shared" si="1236"/>
        <v>2.7143047080959181E-6</v>
      </c>
      <c r="R262" s="52">
        <f t="shared" si="1289"/>
        <v>0</v>
      </c>
      <c r="S262" s="527">
        <f t="shared" si="1290"/>
        <v>0</v>
      </c>
      <c r="T262" s="533">
        <f t="shared" si="1291"/>
        <v>0</v>
      </c>
      <c r="U262" s="375">
        <f t="shared" si="1292"/>
        <v>0</v>
      </c>
      <c r="V262" s="375">
        <f t="shared" si="1293"/>
        <v>0</v>
      </c>
      <c r="W262" s="386">
        <f t="shared" si="1294"/>
        <v>0</v>
      </c>
      <c r="X262" s="386">
        <f t="shared" si="1295"/>
        <v>0</v>
      </c>
      <c r="Y262" s="386">
        <f t="shared" si="1296"/>
        <v>0</v>
      </c>
      <c r="Z262" s="375">
        <f t="shared" si="1297"/>
        <v>0</v>
      </c>
      <c r="AA262" s="375">
        <f t="shared" si="1298"/>
        <v>-2.7143047080959181E-6</v>
      </c>
      <c r="AB262" s="386">
        <f t="shared" si="1299"/>
        <v>0</v>
      </c>
      <c r="AC262" s="386">
        <f t="shared" si="1300"/>
        <v>0</v>
      </c>
      <c r="AD262" s="386">
        <f t="shared" si="1301"/>
        <v>0</v>
      </c>
      <c r="AE262" s="386">
        <f t="shared" si="1302"/>
        <v>0</v>
      </c>
      <c r="AF262" s="386">
        <f t="shared" si="1239"/>
        <v>0</v>
      </c>
      <c r="AG262" s="375">
        <f t="shared" si="1240"/>
        <v>-2.7391758491326148E-6</v>
      </c>
      <c r="AH262" s="375">
        <f t="shared" si="1303"/>
        <v>0</v>
      </c>
      <c r="AI262" s="386">
        <f t="shared" si="1304"/>
        <v>0</v>
      </c>
      <c r="AJ262" s="386">
        <f t="shared" si="1249"/>
        <v>0</v>
      </c>
      <c r="AK262" s="386">
        <f t="shared" si="1249"/>
        <v>0</v>
      </c>
      <c r="AL262" s="377">
        <f t="shared" si="1242"/>
        <v>0</v>
      </c>
      <c r="AM262" s="377">
        <f t="shared" si="1243"/>
        <v>0</v>
      </c>
      <c r="AN262" s="377">
        <f t="shared" si="1244"/>
        <v>0</v>
      </c>
      <c r="AO262" s="283"/>
      <c r="AP262" s="295">
        <f t="shared" si="1305"/>
        <v>0.10704900000000001</v>
      </c>
      <c r="AQ262" s="183">
        <f t="shared" si="1306"/>
        <v>0</v>
      </c>
      <c r="AR262" s="94">
        <f t="shared" si="1307"/>
        <v>0</v>
      </c>
      <c r="AS262" s="94">
        <f t="shared" si="1308"/>
        <v>0</v>
      </c>
      <c r="AT262" s="94">
        <f t="shared" si="1309"/>
        <v>0</v>
      </c>
      <c r="AU262" s="94">
        <f t="shared" si="1310"/>
        <v>0</v>
      </c>
      <c r="AV262" s="94">
        <f t="shared" si="1311"/>
        <v>0.10704900000000001</v>
      </c>
      <c r="AW262" s="94">
        <f t="shared" si="1312"/>
        <v>0.10704900000000001</v>
      </c>
      <c r="AX262" s="94">
        <f t="shared" si="1200"/>
        <v>0.10704900000000001</v>
      </c>
      <c r="AY262" s="94">
        <f t="shared" si="1313"/>
        <v>0</v>
      </c>
      <c r="AZ262" s="433">
        <f t="shared" si="1314"/>
        <v>0</v>
      </c>
      <c r="BA262" s="1008">
        <v>0</v>
      </c>
      <c r="BB262" s="409">
        <v>0</v>
      </c>
      <c r="BC262" s="1035">
        <f>0</f>
        <v>0</v>
      </c>
      <c r="BD262" s="1030">
        <v>0</v>
      </c>
      <c r="BE262" s="389">
        <v>0</v>
      </c>
      <c r="BF262" s="516">
        <v>0</v>
      </c>
      <c r="BG262" s="207">
        <v>0</v>
      </c>
      <c r="BH262" s="1013">
        <f>-0.107049</f>
        <v>-0.10704900000000001</v>
      </c>
      <c r="BI262" s="389">
        <v>0</v>
      </c>
      <c r="BJ262" s="516">
        <v>0</v>
      </c>
      <c r="BK262" s="516">
        <v>0</v>
      </c>
      <c r="BL262" s="516">
        <v>0</v>
      </c>
      <c r="BM262" s="516">
        <v>0</v>
      </c>
      <c r="BN262" s="713">
        <f>-0.107049</f>
        <v>-0.10704900000000001</v>
      </c>
      <c r="BO262" s="207">
        <v>0</v>
      </c>
      <c r="BP262" s="389">
        <v>0</v>
      </c>
      <c r="BQ262" s="389">
        <v>0</v>
      </c>
      <c r="BR262" s="389">
        <v>0</v>
      </c>
      <c r="BS262" s="296">
        <v>0</v>
      </c>
      <c r="BT262" s="296">
        <v>0</v>
      </c>
      <c r="BU262" s="296">
        <v>0</v>
      </c>
      <c r="BV262" s="409">
        <v>0</v>
      </c>
      <c r="BW262" s="1011">
        <f t="shared" si="1315"/>
        <v>0</v>
      </c>
      <c r="BX262" s="449"/>
    </row>
    <row r="263" spans="1:76" s="1" customFormat="1" ht="18.75" collapsed="1" x14ac:dyDescent="0.25">
      <c r="A263" s="467">
        <v>2</v>
      </c>
      <c r="B263" s="708" t="s">
        <v>1725</v>
      </c>
      <c r="C263" s="689"/>
      <c r="D263" s="348"/>
      <c r="E263" s="712"/>
      <c r="F263" s="540"/>
      <c r="G263" s="400" t="s">
        <v>1730</v>
      </c>
      <c r="H263" s="401" t="s">
        <v>1730</v>
      </c>
      <c r="I263" s="349"/>
      <c r="J263" s="379">
        <f t="shared" ref="J263:AN263" si="1316">SUM(J264:J280)</f>
        <v>1.1912587642760871E-2</v>
      </c>
      <c r="K263" s="380">
        <f t="shared" si="1316"/>
        <v>1.3480396691825077E-2</v>
      </c>
      <c r="L263" s="380">
        <f t="shared" si="1316"/>
        <v>9.4736353758570046E-3</v>
      </c>
      <c r="M263" s="380">
        <f t="shared" si="1316"/>
        <v>9.8687146838249782E-3</v>
      </c>
      <c r="N263" s="380">
        <f t="shared" si="1316"/>
        <v>6.7855679029441198E-3</v>
      </c>
      <c r="O263" s="380">
        <f t="shared" ref="O263:P263" si="1317">SUM(O264:O280)</f>
        <v>1.7441931024213151E-3</v>
      </c>
      <c r="P263" s="380">
        <f t="shared" si="1317"/>
        <v>1.793104818249746E-3</v>
      </c>
      <c r="Q263" s="380">
        <f t="shared" ref="Q263" si="1318">SUM(Q264:Q280)</f>
        <v>1.7437019367261613E-3</v>
      </c>
      <c r="R263" s="380">
        <f t="shared" si="1316"/>
        <v>0</v>
      </c>
      <c r="S263" s="381">
        <f t="shared" si="1316"/>
        <v>0</v>
      </c>
      <c r="T263" s="379">
        <f t="shared" si="1316"/>
        <v>-1.4572728098176918E-2</v>
      </c>
      <c r="U263" s="380">
        <f t="shared" si="1316"/>
        <v>-1.3480396691825077E-2</v>
      </c>
      <c r="V263" s="380">
        <f t="shared" si="1316"/>
        <v>-9.4736353758570046E-3</v>
      </c>
      <c r="W263" s="385">
        <f t="shared" si="1316"/>
        <v>-4.4141320054490356E-3</v>
      </c>
      <c r="X263" s="385">
        <f t="shared" si="1316"/>
        <v>-6.4915481473620581E-3</v>
      </c>
      <c r="Y263" s="385">
        <f t="shared" si="1316"/>
        <v>-9.3610777988359841E-3</v>
      </c>
      <c r="Z263" s="380">
        <f t="shared" si="1316"/>
        <v>-6.7855679029441198E-3</v>
      </c>
      <c r="AA263" s="380">
        <f t="shared" si="1316"/>
        <v>-1.7441931024213151E-3</v>
      </c>
      <c r="AB263" s="385">
        <f t="shared" si="1316"/>
        <v>0</v>
      </c>
      <c r="AC263" s="385">
        <f t="shared" si="1316"/>
        <v>0</v>
      </c>
      <c r="AD263" s="385">
        <f t="shared" ref="AD263" si="1319">SUM(AD264:AD280)</f>
        <v>-6.9922682911536301E-4</v>
      </c>
      <c r="AE263" s="385">
        <f t="shared" si="1316"/>
        <v>-1.793104818249746E-3</v>
      </c>
      <c r="AF263" s="385">
        <f t="shared" ref="AF263:AG263" si="1320">SUM(AF264:AF280)</f>
        <v>-1.7441931024213151E-3</v>
      </c>
      <c r="AG263" s="380">
        <f t="shared" si="1320"/>
        <v>-1.7596794563704832E-3</v>
      </c>
      <c r="AH263" s="380">
        <f t="shared" ref="AH263:AI263" si="1321">SUM(AH264:AH280)</f>
        <v>0</v>
      </c>
      <c r="AI263" s="385">
        <f t="shared" si="1321"/>
        <v>0</v>
      </c>
      <c r="AJ263" s="385">
        <f t="shared" ref="AJ263:AM263" si="1322">SUM(AJ264:AJ280)</f>
        <v>0</v>
      </c>
      <c r="AK263" s="385">
        <f t="shared" si="1322"/>
        <v>0</v>
      </c>
      <c r="AL263" s="381">
        <f t="shared" si="1322"/>
        <v>0</v>
      </c>
      <c r="AM263" s="381">
        <f t="shared" si="1322"/>
        <v>0</v>
      </c>
      <c r="AN263" s="381">
        <f t="shared" si="1316"/>
        <v>0</v>
      </c>
      <c r="AO263" s="403"/>
      <c r="AP263" s="350">
        <f t="shared" ref="AP263:BW263" ca="1" si="1323">SUM(AP264:AP280)</f>
        <v>705.07547599999998</v>
      </c>
      <c r="AQ263" s="382">
        <f t="shared" si="1323"/>
        <v>410.863496</v>
      </c>
      <c r="AR263" s="382">
        <f t="shared" si="1323"/>
        <v>408.375744</v>
      </c>
      <c r="AS263" s="382">
        <f t="shared" si="1323"/>
        <v>309.52261499999992</v>
      </c>
      <c r="AT263" s="382">
        <f t="shared" si="1323"/>
        <v>309.52261499999992</v>
      </c>
      <c r="AU263" s="382">
        <f t="shared" si="1323"/>
        <v>227.910798</v>
      </c>
      <c r="AV263" s="382">
        <f t="shared" ref="AV263" si="1324">SUM(AV264:AV280)</f>
        <v>68.788933999999998</v>
      </c>
      <c r="AW263" s="382">
        <f t="shared" si="1323"/>
        <v>68.788933999999998</v>
      </c>
      <c r="AX263" s="382">
        <f t="shared" ref="AX263" si="1325">SUM(AX264:AX280)</f>
        <v>68.769563000000005</v>
      </c>
      <c r="AY263" s="382">
        <f t="shared" si="1323"/>
        <v>0</v>
      </c>
      <c r="AZ263" s="383">
        <f t="shared" si="1323"/>
        <v>0</v>
      </c>
      <c r="BA263" s="656">
        <f t="shared" si="1323"/>
        <v>-410.863496</v>
      </c>
      <c r="BB263" s="350">
        <f t="shared" si="1323"/>
        <v>-408.375744</v>
      </c>
      <c r="BC263" s="382">
        <f t="shared" si="1323"/>
        <v>-309.52261499999992</v>
      </c>
      <c r="BD263" s="387">
        <f t="shared" si="1323"/>
        <v>-135.19999999999999</v>
      </c>
      <c r="BE263" s="387">
        <f t="shared" si="1323"/>
        <v>-203.601079</v>
      </c>
      <c r="BF263" s="651">
        <f t="shared" si="1323"/>
        <v>-293.60107899999997</v>
      </c>
      <c r="BG263" s="360">
        <f t="shared" si="1323"/>
        <v>-227.910798</v>
      </c>
      <c r="BH263" s="382">
        <f t="shared" si="1323"/>
        <v>-68.788933999999998</v>
      </c>
      <c r="BI263" s="387">
        <f t="shared" si="1323"/>
        <v>0</v>
      </c>
      <c r="BJ263" s="515">
        <f t="shared" si="1323"/>
        <v>0</v>
      </c>
      <c r="BK263" s="515">
        <f t="shared" si="1323"/>
        <v>-23.788934000000001</v>
      </c>
      <c r="BL263" s="515">
        <f t="shared" ref="BL263:BN263" si="1326">SUM(BL264:BL280)</f>
        <v>-68.788933999999998</v>
      </c>
      <c r="BM263" s="515">
        <f t="shared" si="1326"/>
        <v>-68.788933999999998</v>
      </c>
      <c r="BN263" s="350">
        <f t="shared" si="1326"/>
        <v>-68.769563000000005</v>
      </c>
      <c r="BO263" s="382">
        <f t="shared" si="1323"/>
        <v>0</v>
      </c>
      <c r="BP263" s="387">
        <f t="shared" ref="BP263:BQ263" si="1327">SUM(BP264:BP280)</f>
        <v>0</v>
      </c>
      <c r="BQ263" s="387">
        <f t="shared" si="1327"/>
        <v>0</v>
      </c>
      <c r="BR263" s="387">
        <f t="shared" ref="BR263:BT263" si="1328">SUM(BR264:BR280)</f>
        <v>0</v>
      </c>
      <c r="BS263" s="383">
        <f t="shared" si="1328"/>
        <v>0</v>
      </c>
      <c r="BT263" s="383">
        <f t="shared" si="1328"/>
        <v>0</v>
      </c>
      <c r="BU263" s="383">
        <f t="shared" si="1323"/>
        <v>0</v>
      </c>
      <c r="BV263" s="350">
        <f t="shared" si="1323"/>
        <v>0</v>
      </c>
      <c r="BW263" s="1024">
        <f t="shared" si="1323"/>
        <v>0</v>
      </c>
      <c r="BX263" s="351"/>
    </row>
    <row r="264" spans="1:76" ht="132" hidden="1" customHeight="1" outlineLevel="1" x14ac:dyDescent="0.25">
      <c r="A264" s="417">
        <v>1</v>
      </c>
      <c r="B264" s="710" t="s">
        <v>35</v>
      </c>
      <c r="C264" s="696" t="s">
        <v>35</v>
      </c>
      <c r="D264" s="262" t="s">
        <v>296</v>
      </c>
      <c r="E264" s="463" t="s">
        <v>295</v>
      </c>
      <c r="F264" s="542" t="s">
        <v>356</v>
      </c>
      <c r="G264" s="94" t="s">
        <v>23</v>
      </c>
      <c r="H264" s="311" t="s">
        <v>128</v>
      </c>
      <c r="I264" s="335"/>
      <c r="J264" s="294">
        <f t="shared" ref="J264:J280" si="1329">AQ264/T$8</f>
        <v>8.8671348513868192E-3</v>
      </c>
      <c r="K264" s="52">
        <f t="shared" ref="K264:K280" si="1330">AR264/U$8</f>
        <v>8.2524469743145892E-3</v>
      </c>
      <c r="L264" s="52">
        <f t="shared" ref="L264:L280" si="1331">AS264/V$8</f>
        <v>0</v>
      </c>
      <c r="M264" s="52">
        <f t="shared" ref="M264:M280" si="1332">AT264/Y$8</f>
        <v>0</v>
      </c>
      <c r="N264" s="52">
        <f t="shared" ref="N264:N272" si="1333">AU264/Z$8</f>
        <v>0</v>
      </c>
      <c r="O264" s="52">
        <f t="shared" ref="O264:O280" si="1334">AV264/AA$8</f>
        <v>0</v>
      </c>
      <c r="P264" s="52">
        <f t="shared" ref="P264:P280" si="1335">AW264/AE$8</f>
        <v>0</v>
      </c>
      <c r="Q264" s="52">
        <f t="shared" ref="Q264:Q280" si="1336">AX264/AF$8</f>
        <v>0</v>
      </c>
      <c r="R264" s="52">
        <f t="shared" ref="R264:R280" si="1337">AY264/AH$8</f>
        <v>0</v>
      </c>
      <c r="S264" s="527">
        <f t="shared" ref="S264:S280" si="1338">AZ264/AN$8</f>
        <v>0</v>
      </c>
      <c r="T264" s="533">
        <f t="shared" ref="T264:T280" si="1339">BA264/T$8</f>
        <v>-8.8671348513868192E-3</v>
      </c>
      <c r="U264" s="375">
        <f t="shared" ref="U264:U280" si="1340">BB264/U$8</f>
        <v>-8.2524469743145892E-3</v>
      </c>
      <c r="V264" s="375">
        <f t="shared" ref="V264:V280" si="1341">BC264/V$8</f>
        <v>0</v>
      </c>
      <c r="W264" s="386">
        <f t="shared" ref="W264:W280" si="1342">BD264/W$8</f>
        <v>0</v>
      </c>
      <c r="X264" s="386">
        <f t="shared" ref="X264:X280" si="1343">BE264/X$8</f>
        <v>0</v>
      </c>
      <c r="Y264" s="386">
        <f t="shared" ref="Y264:Y272" si="1344">BF264/Y$8</f>
        <v>0</v>
      </c>
      <c r="Z264" s="375">
        <f t="shared" ref="Z264:Z272" si="1345">BG264/Z$8</f>
        <v>0</v>
      </c>
      <c r="AA264" s="375">
        <f t="shared" ref="AA264:AA280" si="1346">BH264/AA$8</f>
        <v>0</v>
      </c>
      <c r="AB264" s="386">
        <f t="shared" ref="AB264:AB280" si="1347">BI264/AB$8</f>
        <v>0</v>
      </c>
      <c r="AC264" s="386">
        <f t="shared" ref="AC264:AF269" si="1348">BJ264/AC$8</f>
        <v>0</v>
      </c>
      <c r="AD264" s="386">
        <f t="shared" si="1348"/>
        <v>0</v>
      </c>
      <c r="AE264" s="386">
        <f t="shared" si="1348"/>
        <v>0</v>
      </c>
      <c r="AF264" s="386">
        <f t="shared" si="1348"/>
        <v>0</v>
      </c>
      <c r="AG264" s="375">
        <f t="shared" ref="AG264:AG280" si="1349">BN264/AG$8</f>
        <v>0</v>
      </c>
      <c r="AH264" s="375">
        <f t="shared" ref="AH264:AK269" si="1350">BO264/AH$8</f>
        <v>0</v>
      </c>
      <c r="AI264" s="386">
        <f t="shared" si="1350"/>
        <v>0</v>
      </c>
      <c r="AJ264" s="386">
        <f t="shared" si="1350"/>
        <v>0</v>
      </c>
      <c r="AK264" s="386">
        <f t="shared" si="1350"/>
        <v>0</v>
      </c>
      <c r="AL264" s="377">
        <f t="shared" ref="AL264:AL280" si="1351">BS264/AL$8</f>
        <v>0</v>
      </c>
      <c r="AM264" s="377">
        <f t="shared" ref="AM264:AM280" si="1352">BT264/AM$8</f>
        <v>0</v>
      </c>
      <c r="AN264" s="377">
        <f t="shared" ref="AN264:AN280" si="1353">BU264/AN$8</f>
        <v>0</v>
      </c>
      <c r="AO264" s="283"/>
      <c r="AP264" s="295">
        <f t="shared" ref="AP264:AP280" si="1354">AR264+AU264+AZ264+AW264+AY264</f>
        <v>250</v>
      </c>
      <c r="AQ264" s="182">
        <f t="shared" ref="AQ264:AS270" si="1355">-BA264</f>
        <v>250</v>
      </c>
      <c r="AR264" s="80">
        <f>-BB264</f>
        <v>250</v>
      </c>
      <c r="AS264" s="80">
        <f>-BC264</f>
        <v>0</v>
      </c>
      <c r="AT264" s="80">
        <f t="shared" ref="AT264:AT280" si="1356">-BC264</f>
        <v>0</v>
      </c>
      <c r="AU264" s="80">
        <f t="shared" ref="AU264:AU280" si="1357">-BG264</f>
        <v>0</v>
      </c>
      <c r="AV264" s="80">
        <f t="shared" ref="AV264:AV280" si="1358">-BH264</f>
        <v>0</v>
      </c>
      <c r="AW264" s="80">
        <f t="shared" ref="AW264:AW270" si="1359">-BH264</f>
        <v>0</v>
      </c>
      <c r="AX264" s="80">
        <f t="shared" ref="AX264:AX280" si="1360">-BN264</f>
        <v>0</v>
      </c>
      <c r="AY264" s="80">
        <f t="shared" ref="AY264:AY270" si="1361">-BO264</f>
        <v>0</v>
      </c>
      <c r="AZ264" s="432">
        <f>-BU264</f>
        <v>0</v>
      </c>
      <c r="BA264" s="1008">
        <v>-250</v>
      </c>
      <c r="BB264" s="409">
        <v>-250</v>
      </c>
      <c r="BC264" s="207">
        <v>0</v>
      </c>
      <c r="BD264" s="389">
        <v>0</v>
      </c>
      <c r="BE264" s="389">
        <v>0</v>
      </c>
      <c r="BF264" s="516">
        <v>0</v>
      </c>
      <c r="BG264" s="207">
        <v>0</v>
      </c>
      <c r="BH264" s="207">
        <v>0</v>
      </c>
      <c r="BI264" s="389">
        <v>0</v>
      </c>
      <c r="BJ264" s="516">
        <v>0</v>
      </c>
      <c r="BK264" s="516">
        <v>0</v>
      </c>
      <c r="BL264" s="516">
        <v>0</v>
      </c>
      <c r="BM264" s="516">
        <v>0</v>
      </c>
      <c r="BN264" s="409">
        <v>0</v>
      </c>
      <c r="BO264" s="207">
        <v>0</v>
      </c>
      <c r="BP264" s="389">
        <v>0</v>
      </c>
      <c r="BQ264" s="389">
        <v>0</v>
      </c>
      <c r="BR264" s="389">
        <v>0</v>
      </c>
      <c r="BS264" s="296">
        <v>0</v>
      </c>
      <c r="BT264" s="296">
        <v>0</v>
      </c>
      <c r="BU264" s="296">
        <v>0</v>
      </c>
      <c r="BV264" s="409">
        <v>0</v>
      </c>
      <c r="BW264" s="1011">
        <f t="shared" ref="BW264:BW269" si="1362">-BV264</f>
        <v>0</v>
      </c>
      <c r="BX264" s="439" t="s">
        <v>297</v>
      </c>
    </row>
    <row r="265" spans="1:76" ht="144.94999999999999" hidden="1" customHeight="1" outlineLevel="1" x14ac:dyDescent="0.25">
      <c r="A265" s="417">
        <v>2</v>
      </c>
      <c r="B265" s="710" t="s">
        <v>35</v>
      </c>
      <c r="C265" s="696" t="s">
        <v>35</v>
      </c>
      <c r="D265" s="263">
        <v>43915</v>
      </c>
      <c r="E265" s="463" t="s">
        <v>62</v>
      </c>
      <c r="F265" s="556" t="s">
        <v>65</v>
      </c>
      <c r="G265" s="80" t="s">
        <v>23</v>
      </c>
      <c r="H265" s="311" t="s">
        <v>128</v>
      </c>
      <c r="I265" s="335"/>
      <c r="J265" s="294">
        <f t="shared" si="1329"/>
        <v>2.1281123643328368E-4</v>
      </c>
      <c r="K265" s="52">
        <f t="shared" si="1330"/>
        <v>1.9805872738355015E-4</v>
      </c>
      <c r="L265" s="52">
        <f t="shared" si="1331"/>
        <v>0</v>
      </c>
      <c r="M265" s="52">
        <f t="shared" si="1332"/>
        <v>0</v>
      </c>
      <c r="N265" s="52">
        <f t="shared" si="1333"/>
        <v>0</v>
      </c>
      <c r="O265" s="52">
        <f t="shared" si="1334"/>
        <v>0</v>
      </c>
      <c r="P265" s="52">
        <f t="shared" si="1335"/>
        <v>0</v>
      </c>
      <c r="Q265" s="52">
        <f t="shared" si="1336"/>
        <v>0</v>
      </c>
      <c r="R265" s="52">
        <f t="shared" si="1337"/>
        <v>0</v>
      </c>
      <c r="S265" s="527">
        <f t="shared" si="1338"/>
        <v>0</v>
      </c>
      <c r="T265" s="533">
        <f t="shared" si="1339"/>
        <v>-2.1281123643328368E-4</v>
      </c>
      <c r="U265" s="375">
        <f t="shared" si="1340"/>
        <v>-1.9805872738355015E-4</v>
      </c>
      <c r="V265" s="375">
        <f t="shared" si="1341"/>
        <v>0</v>
      </c>
      <c r="W265" s="386">
        <f t="shared" si="1342"/>
        <v>0</v>
      </c>
      <c r="X265" s="386">
        <f t="shared" si="1343"/>
        <v>0</v>
      </c>
      <c r="Y265" s="386">
        <f t="shared" si="1344"/>
        <v>0</v>
      </c>
      <c r="Z265" s="375">
        <f t="shared" si="1345"/>
        <v>0</v>
      </c>
      <c r="AA265" s="375">
        <f t="shared" si="1346"/>
        <v>0</v>
      </c>
      <c r="AB265" s="386">
        <f t="shared" si="1347"/>
        <v>0</v>
      </c>
      <c r="AC265" s="386">
        <f t="shared" si="1348"/>
        <v>0</v>
      </c>
      <c r="AD265" s="386">
        <f t="shared" si="1348"/>
        <v>0</v>
      </c>
      <c r="AE265" s="386">
        <f t="shared" si="1348"/>
        <v>0</v>
      </c>
      <c r="AF265" s="386">
        <f t="shared" si="1348"/>
        <v>0</v>
      </c>
      <c r="AG265" s="375">
        <f t="shared" si="1349"/>
        <v>0</v>
      </c>
      <c r="AH265" s="375">
        <f t="shared" si="1350"/>
        <v>0</v>
      </c>
      <c r="AI265" s="386">
        <f t="shared" si="1350"/>
        <v>0</v>
      </c>
      <c r="AJ265" s="386">
        <f t="shared" si="1350"/>
        <v>0</v>
      </c>
      <c r="AK265" s="386">
        <f t="shared" si="1350"/>
        <v>0</v>
      </c>
      <c r="AL265" s="377">
        <f t="shared" si="1351"/>
        <v>0</v>
      </c>
      <c r="AM265" s="377">
        <f t="shared" si="1352"/>
        <v>0</v>
      </c>
      <c r="AN265" s="377">
        <f t="shared" si="1353"/>
        <v>0</v>
      </c>
      <c r="AO265" s="283"/>
      <c r="AP265" s="295">
        <f t="shared" si="1354"/>
        <v>6</v>
      </c>
      <c r="AQ265" s="182">
        <f t="shared" si="1355"/>
        <v>6</v>
      </c>
      <c r="AR265" s="80">
        <f t="shared" si="1355"/>
        <v>6</v>
      </c>
      <c r="AS265" s="80">
        <f t="shared" si="1355"/>
        <v>0</v>
      </c>
      <c r="AT265" s="80">
        <f t="shared" si="1356"/>
        <v>0</v>
      </c>
      <c r="AU265" s="80">
        <f t="shared" si="1357"/>
        <v>0</v>
      </c>
      <c r="AV265" s="80">
        <f t="shared" si="1358"/>
        <v>0</v>
      </c>
      <c r="AW265" s="80">
        <f t="shared" si="1359"/>
        <v>0</v>
      </c>
      <c r="AX265" s="80">
        <f t="shared" si="1360"/>
        <v>0</v>
      </c>
      <c r="AY265" s="80">
        <f t="shared" si="1361"/>
        <v>0</v>
      </c>
      <c r="AZ265" s="432">
        <f>-BU265</f>
        <v>0</v>
      </c>
      <c r="BA265" s="1008">
        <v>-6</v>
      </c>
      <c r="BB265" s="409">
        <v>-6</v>
      </c>
      <c r="BC265" s="207">
        <v>0</v>
      </c>
      <c r="BD265" s="389">
        <v>0</v>
      </c>
      <c r="BE265" s="389">
        <v>0</v>
      </c>
      <c r="BF265" s="516">
        <v>0</v>
      </c>
      <c r="BG265" s="207">
        <v>0</v>
      </c>
      <c r="BH265" s="207">
        <v>0</v>
      </c>
      <c r="BI265" s="389">
        <v>0</v>
      </c>
      <c r="BJ265" s="516">
        <v>0</v>
      </c>
      <c r="BK265" s="516">
        <v>0</v>
      </c>
      <c r="BL265" s="516">
        <v>0</v>
      </c>
      <c r="BM265" s="516">
        <v>0</v>
      </c>
      <c r="BN265" s="409">
        <v>0</v>
      </c>
      <c r="BO265" s="207">
        <v>0</v>
      </c>
      <c r="BP265" s="389">
        <v>0</v>
      </c>
      <c r="BQ265" s="389">
        <v>0</v>
      </c>
      <c r="BR265" s="389">
        <v>0</v>
      </c>
      <c r="BS265" s="296">
        <v>0</v>
      </c>
      <c r="BT265" s="296">
        <v>0</v>
      </c>
      <c r="BU265" s="296">
        <v>0</v>
      </c>
      <c r="BV265" s="409">
        <v>0</v>
      </c>
      <c r="BW265" s="1011">
        <f t="shared" si="1362"/>
        <v>0</v>
      </c>
      <c r="BX265" s="439" t="s">
        <v>580</v>
      </c>
    </row>
    <row r="266" spans="1:76" ht="43.5" hidden="1" customHeight="1" outlineLevel="1" x14ac:dyDescent="0.25">
      <c r="A266" s="417">
        <v>3</v>
      </c>
      <c r="B266" s="710" t="s">
        <v>35</v>
      </c>
      <c r="C266" s="696" t="s">
        <v>35</v>
      </c>
      <c r="D266" s="263">
        <v>43944</v>
      </c>
      <c r="E266" s="463" t="s">
        <v>239</v>
      </c>
      <c r="F266" s="542" t="s">
        <v>227</v>
      </c>
      <c r="G266" s="80" t="s">
        <v>23</v>
      </c>
      <c r="H266" s="311" t="s">
        <v>128</v>
      </c>
      <c r="I266" s="335"/>
      <c r="J266" s="294">
        <f t="shared" si="1329"/>
        <v>1.599027807334894E-4</v>
      </c>
      <c r="K266" s="52">
        <f t="shared" si="1330"/>
        <v>1.4881799376742196E-4</v>
      </c>
      <c r="L266" s="52">
        <f t="shared" si="1331"/>
        <v>0</v>
      </c>
      <c r="M266" s="52">
        <f t="shared" si="1332"/>
        <v>0</v>
      </c>
      <c r="N266" s="52">
        <f t="shared" si="1333"/>
        <v>0</v>
      </c>
      <c r="O266" s="52">
        <f t="shared" si="1334"/>
        <v>0</v>
      </c>
      <c r="P266" s="52">
        <f t="shared" si="1335"/>
        <v>0</v>
      </c>
      <c r="Q266" s="52">
        <f t="shared" si="1336"/>
        <v>0</v>
      </c>
      <c r="R266" s="52">
        <f t="shared" si="1337"/>
        <v>0</v>
      </c>
      <c r="S266" s="527">
        <f t="shared" si="1338"/>
        <v>0</v>
      </c>
      <c r="T266" s="533">
        <f t="shared" si="1339"/>
        <v>-1.599027807334894E-4</v>
      </c>
      <c r="U266" s="375">
        <f t="shared" si="1340"/>
        <v>-1.4881799376742196E-4</v>
      </c>
      <c r="V266" s="375">
        <f t="shared" si="1341"/>
        <v>0</v>
      </c>
      <c r="W266" s="386">
        <f t="shared" si="1342"/>
        <v>0</v>
      </c>
      <c r="X266" s="386">
        <f t="shared" si="1343"/>
        <v>0</v>
      </c>
      <c r="Y266" s="386">
        <f t="shared" si="1344"/>
        <v>0</v>
      </c>
      <c r="Z266" s="375">
        <f t="shared" si="1345"/>
        <v>0</v>
      </c>
      <c r="AA266" s="375">
        <f t="shared" si="1346"/>
        <v>0</v>
      </c>
      <c r="AB266" s="386">
        <f t="shared" si="1347"/>
        <v>0</v>
      </c>
      <c r="AC266" s="386">
        <f t="shared" si="1348"/>
        <v>0</v>
      </c>
      <c r="AD266" s="386">
        <f t="shared" si="1348"/>
        <v>0</v>
      </c>
      <c r="AE266" s="386">
        <f t="shared" si="1348"/>
        <v>0</v>
      </c>
      <c r="AF266" s="386">
        <f t="shared" si="1348"/>
        <v>0</v>
      </c>
      <c r="AG266" s="375">
        <f t="shared" si="1349"/>
        <v>0</v>
      </c>
      <c r="AH266" s="375">
        <f t="shared" si="1350"/>
        <v>0</v>
      </c>
      <c r="AI266" s="386">
        <f t="shared" si="1350"/>
        <v>0</v>
      </c>
      <c r="AJ266" s="386">
        <f t="shared" si="1350"/>
        <v>0</v>
      </c>
      <c r="AK266" s="386">
        <f t="shared" si="1350"/>
        <v>0</v>
      </c>
      <c r="AL266" s="377">
        <f t="shared" si="1351"/>
        <v>0</v>
      </c>
      <c r="AM266" s="377">
        <f t="shared" si="1352"/>
        <v>0</v>
      </c>
      <c r="AN266" s="377">
        <f t="shared" si="1353"/>
        <v>0</v>
      </c>
      <c r="AO266" s="283"/>
      <c r="AP266" s="295">
        <f t="shared" si="1354"/>
        <v>4.5082990000000001</v>
      </c>
      <c r="AQ266" s="182">
        <f t="shared" si="1355"/>
        <v>4.5082990000000001</v>
      </c>
      <c r="AR266" s="80">
        <f t="shared" si="1355"/>
        <v>4.5082990000000001</v>
      </c>
      <c r="AS266" s="80">
        <f t="shared" si="1355"/>
        <v>0</v>
      </c>
      <c r="AT266" s="80">
        <f t="shared" si="1356"/>
        <v>0</v>
      </c>
      <c r="AU266" s="80">
        <f t="shared" si="1357"/>
        <v>0</v>
      </c>
      <c r="AV266" s="80">
        <f t="shared" si="1358"/>
        <v>0</v>
      </c>
      <c r="AW266" s="80">
        <f t="shared" si="1359"/>
        <v>0</v>
      </c>
      <c r="AX266" s="80">
        <f t="shared" si="1360"/>
        <v>0</v>
      </c>
      <c r="AY266" s="80">
        <f t="shared" si="1361"/>
        <v>0</v>
      </c>
      <c r="AZ266" s="432">
        <f>-BU266</f>
        <v>0</v>
      </c>
      <c r="BA266" s="1008">
        <v>-4.5082990000000001</v>
      </c>
      <c r="BB266" s="409">
        <v>-4.5082990000000001</v>
      </c>
      <c r="BC266" s="207">
        <v>0</v>
      </c>
      <c r="BD266" s="389">
        <v>0</v>
      </c>
      <c r="BE266" s="389">
        <v>0</v>
      </c>
      <c r="BF266" s="516">
        <v>0</v>
      </c>
      <c r="BG266" s="207">
        <v>0</v>
      </c>
      <c r="BH266" s="207">
        <v>0</v>
      </c>
      <c r="BI266" s="389">
        <v>0</v>
      </c>
      <c r="BJ266" s="516">
        <v>0</v>
      </c>
      <c r="BK266" s="516">
        <v>0</v>
      </c>
      <c r="BL266" s="516">
        <v>0</v>
      </c>
      <c r="BM266" s="516">
        <v>0</v>
      </c>
      <c r="BN266" s="409">
        <v>0</v>
      </c>
      <c r="BO266" s="207">
        <v>0</v>
      </c>
      <c r="BP266" s="389">
        <v>0</v>
      </c>
      <c r="BQ266" s="389">
        <v>0</v>
      </c>
      <c r="BR266" s="389">
        <v>0</v>
      </c>
      <c r="BS266" s="296">
        <v>0</v>
      </c>
      <c r="BT266" s="296">
        <v>0</v>
      </c>
      <c r="BU266" s="296">
        <v>0</v>
      </c>
      <c r="BV266" s="409">
        <v>0</v>
      </c>
      <c r="BW266" s="1011">
        <f t="shared" si="1362"/>
        <v>0</v>
      </c>
      <c r="BX266" s="439" t="s">
        <v>187</v>
      </c>
    </row>
    <row r="267" spans="1:76" ht="72.599999999999994" hidden="1" customHeight="1" outlineLevel="1" x14ac:dyDescent="0.25">
      <c r="A267" s="417">
        <v>4</v>
      </c>
      <c r="B267" s="710" t="s">
        <v>35</v>
      </c>
      <c r="C267" s="696" t="s">
        <v>35</v>
      </c>
      <c r="D267" s="264" t="s">
        <v>1436</v>
      </c>
      <c r="E267" s="463" t="s">
        <v>1435</v>
      </c>
      <c r="F267" s="542" t="s">
        <v>155</v>
      </c>
      <c r="G267" s="80" t="s">
        <v>23</v>
      </c>
      <c r="H267" s="311" t="s">
        <v>128</v>
      </c>
      <c r="I267" s="335"/>
      <c r="J267" s="294">
        <f t="shared" si="1329"/>
        <v>0</v>
      </c>
      <c r="K267" s="52">
        <f t="shared" si="1330"/>
        <v>0</v>
      </c>
      <c r="L267" s="52">
        <f t="shared" si="1331"/>
        <v>1.0782933398628795E-3</v>
      </c>
      <c r="M267" s="52">
        <f t="shared" si="1332"/>
        <v>1.123261440238071E-3</v>
      </c>
      <c r="N267" s="52">
        <f t="shared" si="1333"/>
        <v>1.0488996542442073E-3</v>
      </c>
      <c r="O267" s="52">
        <f t="shared" si="1334"/>
        <v>0</v>
      </c>
      <c r="P267" s="52">
        <f t="shared" si="1335"/>
        <v>0</v>
      </c>
      <c r="Q267" s="52">
        <f t="shared" si="1336"/>
        <v>0</v>
      </c>
      <c r="R267" s="52">
        <f t="shared" si="1337"/>
        <v>0</v>
      </c>
      <c r="S267" s="527">
        <f t="shared" si="1338"/>
        <v>0</v>
      </c>
      <c r="T267" s="533">
        <f t="shared" si="1339"/>
        <v>0</v>
      </c>
      <c r="U267" s="375">
        <f t="shared" si="1340"/>
        <v>0</v>
      </c>
      <c r="V267" s="375">
        <f t="shared" si="1341"/>
        <v>-1.0782933398628795E-3</v>
      </c>
      <c r="W267" s="386">
        <f t="shared" si="1342"/>
        <v>-1.1492414688743051E-3</v>
      </c>
      <c r="X267" s="386">
        <f t="shared" si="1343"/>
        <v>-1.123261440238071E-3</v>
      </c>
      <c r="Y267" s="386">
        <f t="shared" si="1344"/>
        <v>-1.123261440238071E-3</v>
      </c>
      <c r="Z267" s="375">
        <f t="shared" si="1345"/>
        <v>-1.0488996542442073E-3</v>
      </c>
      <c r="AA267" s="375">
        <f t="shared" si="1346"/>
        <v>0</v>
      </c>
      <c r="AB267" s="386">
        <f t="shared" si="1347"/>
        <v>0</v>
      </c>
      <c r="AC267" s="386">
        <f t="shared" si="1348"/>
        <v>0</v>
      </c>
      <c r="AD267" s="386">
        <f t="shared" si="1348"/>
        <v>0</v>
      </c>
      <c r="AE267" s="386">
        <f t="shared" si="1348"/>
        <v>0</v>
      </c>
      <c r="AF267" s="386">
        <f t="shared" si="1348"/>
        <v>0</v>
      </c>
      <c r="AG267" s="375">
        <f t="shared" si="1349"/>
        <v>0</v>
      </c>
      <c r="AH267" s="375">
        <f t="shared" si="1350"/>
        <v>0</v>
      </c>
      <c r="AI267" s="386">
        <f t="shared" si="1350"/>
        <v>0</v>
      </c>
      <c r="AJ267" s="386">
        <f t="shared" si="1350"/>
        <v>0</v>
      </c>
      <c r="AK267" s="386">
        <f t="shared" si="1350"/>
        <v>0</v>
      </c>
      <c r="AL267" s="377">
        <f t="shared" si="1351"/>
        <v>0</v>
      </c>
      <c r="AM267" s="377">
        <f t="shared" si="1352"/>
        <v>0</v>
      </c>
      <c r="AN267" s="377">
        <f t="shared" si="1353"/>
        <v>0</v>
      </c>
      <c r="AO267" s="283"/>
      <c r="AP267" s="295">
        <f t="shared" si="1354"/>
        <v>35.229999999999997</v>
      </c>
      <c r="AQ267" s="182">
        <f t="shared" si="1355"/>
        <v>0</v>
      </c>
      <c r="AR267" s="80">
        <f t="shared" si="1355"/>
        <v>0</v>
      </c>
      <c r="AS267" s="80">
        <f t="shared" si="1355"/>
        <v>35.229999999999997</v>
      </c>
      <c r="AT267" s="80">
        <f t="shared" si="1356"/>
        <v>35.229999999999997</v>
      </c>
      <c r="AU267" s="80">
        <f t="shared" si="1357"/>
        <v>35.229999999999997</v>
      </c>
      <c r="AV267" s="80">
        <f t="shared" si="1358"/>
        <v>0</v>
      </c>
      <c r="AW267" s="80">
        <f t="shared" si="1359"/>
        <v>0</v>
      </c>
      <c r="AX267" s="80">
        <f t="shared" si="1360"/>
        <v>0</v>
      </c>
      <c r="AY267" s="80">
        <f t="shared" si="1361"/>
        <v>0</v>
      </c>
      <c r="AZ267" s="432">
        <f>-BU267</f>
        <v>0</v>
      </c>
      <c r="BA267" s="1008">
        <v>0</v>
      </c>
      <c r="BB267" s="409">
        <v>0</v>
      </c>
      <c r="BC267" s="207">
        <v>-35.229999999999997</v>
      </c>
      <c r="BD267" s="389">
        <v>-35.200000000000003</v>
      </c>
      <c r="BE267" s="389">
        <v>-35.229999999999997</v>
      </c>
      <c r="BF267" s="516">
        <v>-35.229999999999997</v>
      </c>
      <c r="BG267" s="207">
        <v>-35.229999999999997</v>
      </c>
      <c r="BH267" s="207">
        <v>0</v>
      </c>
      <c r="BI267" s="389">
        <v>0</v>
      </c>
      <c r="BJ267" s="516">
        <v>0</v>
      </c>
      <c r="BK267" s="516">
        <v>0</v>
      </c>
      <c r="BL267" s="516">
        <v>0</v>
      </c>
      <c r="BM267" s="516">
        <v>0</v>
      </c>
      <c r="BN267" s="409">
        <v>0</v>
      </c>
      <c r="BO267" s="207">
        <v>0</v>
      </c>
      <c r="BP267" s="389">
        <v>0</v>
      </c>
      <c r="BQ267" s="389">
        <v>0</v>
      </c>
      <c r="BR267" s="389">
        <v>0</v>
      </c>
      <c r="BS267" s="296">
        <v>0</v>
      </c>
      <c r="BT267" s="296">
        <v>0</v>
      </c>
      <c r="BU267" s="296">
        <v>0</v>
      </c>
      <c r="BV267" s="409">
        <v>0</v>
      </c>
      <c r="BW267" s="1011">
        <f t="shared" si="1362"/>
        <v>0</v>
      </c>
      <c r="BX267" s="439" t="s">
        <v>1369</v>
      </c>
    </row>
    <row r="268" spans="1:76" ht="58.5" hidden="1" customHeight="1" outlineLevel="1" x14ac:dyDescent="0.25">
      <c r="A268" s="417">
        <v>5</v>
      </c>
      <c r="B268" s="710" t="s">
        <v>35</v>
      </c>
      <c r="C268" s="696" t="s">
        <v>35</v>
      </c>
      <c r="D268" s="263">
        <v>44279</v>
      </c>
      <c r="E268" s="463" t="s">
        <v>1344</v>
      </c>
      <c r="F268" s="542" t="s">
        <v>1222</v>
      </c>
      <c r="G268" s="80" t="s">
        <v>23</v>
      </c>
      <c r="H268" s="311" t="s">
        <v>127</v>
      </c>
      <c r="I268" s="335"/>
      <c r="J268" s="294">
        <f t="shared" si="1329"/>
        <v>0</v>
      </c>
      <c r="K268" s="52">
        <f t="shared" si="1330"/>
        <v>0</v>
      </c>
      <c r="L268" s="52">
        <f t="shared" si="1331"/>
        <v>5.8740205680705191E-5</v>
      </c>
      <c r="M268" s="52">
        <f t="shared" si="1332"/>
        <v>6.1189850288029981E-5</v>
      </c>
      <c r="N268" s="52">
        <f t="shared" si="1333"/>
        <v>5.4111045038405416E-5</v>
      </c>
      <c r="O268" s="52">
        <f t="shared" si="1334"/>
        <v>0</v>
      </c>
      <c r="P268" s="52">
        <f t="shared" si="1335"/>
        <v>0</v>
      </c>
      <c r="Q268" s="52">
        <f t="shared" si="1336"/>
        <v>0</v>
      </c>
      <c r="R268" s="52">
        <f t="shared" si="1337"/>
        <v>0</v>
      </c>
      <c r="S268" s="527">
        <f t="shared" si="1338"/>
        <v>0</v>
      </c>
      <c r="T268" s="533">
        <f t="shared" si="1339"/>
        <v>0</v>
      </c>
      <c r="U268" s="375">
        <f t="shared" si="1340"/>
        <v>0</v>
      </c>
      <c r="V268" s="375">
        <f t="shared" si="1341"/>
        <v>-5.8740205680705191E-5</v>
      </c>
      <c r="W268" s="386">
        <f t="shared" si="1342"/>
        <v>0</v>
      </c>
      <c r="X268" s="386">
        <f t="shared" si="1343"/>
        <v>-6.1189850288029981E-5</v>
      </c>
      <c r="Y268" s="386">
        <f t="shared" si="1344"/>
        <v>-6.1189850288029981E-5</v>
      </c>
      <c r="Z268" s="375">
        <f t="shared" si="1345"/>
        <v>-5.4111045038405416E-5</v>
      </c>
      <c r="AA268" s="375">
        <f t="shared" si="1346"/>
        <v>0</v>
      </c>
      <c r="AB268" s="386">
        <f t="shared" si="1347"/>
        <v>0</v>
      </c>
      <c r="AC268" s="386">
        <f t="shared" si="1348"/>
        <v>0</v>
      </c>
      <c r="AD268" s="386">
        <f t="shared" si="1348"/>
        <v>0</v>
      </c>
      <c r="AE268" s="386">
        <f t="shared" si="1348"/>
        <v>0</v>
      </c>
      <c r="AF268" s="386">
        <f t="shared" si="1348"/>
        <v>0</v>
      </c>
      <c r="AG268" s="375">
        <f t="shared" si="1349"/>
        <v>0</v>
      </c>
      <c r="AH268" s="375">
        <f t="shared" si="1350"/>
        <v>0</v>
      </c>
      <c r="AI268" s="386">
        <f t="shared" si="1350"/>
        <v>0</v>
      </c>
      <c r="AJ268" s="386">
        <f t="shared" si="1350"/>
        <v>0</v>
      </c>
      <c r="AK268" s="386">
        <f t="shared" si="1350"/>
        <v>0</v>
      </c>
      <c r="AL268" s="377">
        <f t="shared" si="1351"/>
        <v>0</v>
      </c>
      <c r="AM268" s="377">
        <f t="shared" si="1352"/>
        <v>0</v>
      </c>
      <c r="AN268" s="377">
        <f t="shared" si="1353"/>
        <v>0</v>
      </c>
      <c r="AO268" s="283"/>
      <c r="AP268" s="295">
        <f t="shared" si="1354"/>
        <v>1.8174589999999999</v>
      </c>
      <c r="AQ268" s="182">
        <f t="shared" ref="AQ268" si="1363">-BA268</f>
        <v>0</v>
      </c>
      <c r="AR268" s="80">
        <f t="shared" ref="AR268" si="1364">-BB268</f>
        <v>0</v>
      </c>
      <c r="AS268" s="80">
        <f t="shared" ref="AS268" si="1365">-BC268</f>
        <v>1.91916</v>
      </c>
      <c r="AT268" s="80">
        <f t="shared" si="1356"/>
        <v>1.91916</v>
      </c>
      <c r="AU268" s="80">
        <f t="shared" si="1357"/>
        <v>1.8174589999999999</v>
      </c>
      <c r="AV268" s="80">
        <f t="shared" si="1358"/>
        <v>0</v>
      </c>
      <c r="AW268" s="80">
        <f t="shared" si="1359"/>
        <v>0</v>
      </c>
      <c r="AX268" s="80">
        <f t="shared" si="1360"/>
        <v>0</v>
      </c>
      <c r="AY268" s="80">
        <f t="shared" ref="AY268" si="1366">-BO268</f>
        <v>0</v>
      </c>
      <c r="AZ268" s="432">
        <f t="shared" ref="AZ268" si="1367">-BU268</f>
        <v>0</v>
      </c>
      <c r="BA268" s="1008">
        <v>0</v>
      </c>
      <c r="BB268" s="409">
        <v>0</v>
      </c>
      <c r="BC268" s="207">
        <v>-1.91916</v>
      </c>
      <c r="BD268" s="389">
        <v>0</v>
      </c>
      <c r="BE268" s="389">
        <v>-1.91916</v>
      </c>
      <c r="BF268" s="516">
        <v>-1.91916</v>
      </c>
      <c r="BG268" s="207">
        <f>-1.817459</f>
        <v>-1.8174589999999999</v>
      </c>
      <c r="BH268" s="207">
        <v>0</v>
      </c>
      <c r="BI268" s="389">
        <v>0</v>
      </c>
      <c r="BJ268" s="516">
        <v>0</v>
      </c>
      <c r="BK268" s="516">
        <v>0</v>
      </c>
      <c r="BL268" s="516">
        <v>0</v>
      </c>
      <c r="BM268" s="516">
        <v>0</v>
      </c>
      <c r="BN268" s="409">
        <v>0</v>
      </c>
      <c r="BO268" s="207">
        <v>0</v>
      </c>
      <c r="BP268" s="389">
        <v>0</v>
      </c>
      <c r="BQ268" s="389">
        <v>0</v>
      </c>
      <c r="BR268" s="389">
        <v>0</v>
      </c>
      <c r="BS268" s="296">
        <v>0</v>
      </c>
      <c r="BT268" s="296">
        <v>0</v>
      </c>
      <c r="BU268" s="296">
        <v>0</v>
      </c>
      <c r="BV268" s="409">
        <v>0</v>
      </c>
      <c r="BW268" s="1011">
        <f t="shared" ref="BW268" si="1368">-BV268</f>
        <v>0</v>
      </c>
      <c r="BX268" s="439" t="s">
        <v>1223</v>
      </c>
    </row>
    <row r="269" spans="1:76" ht="76.5" hidden="1" customHeight="1" outlineLevel="1" x14ac:dyDescent="0.25">
      <c r="A269" s="417">
        <v>6</v>
      </c>
      <c r="B269" s="710" t="s">
        <v>35</v>
      </c>
      <c r="C269" s="696" t="s">
        <v>35</v>
      </c>
      <c r="D269" s="86">
        <v>44431</v>
      </c>
      <c r="E269" s="463" t="s">
        <v>1593</v>
      </c>
      <c r="F269" s="542" t="s">
        <v>1591</v>
      </c>
      <c r="G269" s="80" t="s">
        <v>23</v>
      </c>
      <c r="H269" s="311" t="s">
        <v>128</v>
      </c>
      <c r="I269" s="335"/>
      <c r="J269" s="294">
        <f t="shared" si="1329"/>
        <v>0</v>
      </c>
      <c r="K269" s="52">
        <f t="shared" si="1330"/>
        <v>0</v>
      </c>
      <c r="L269" s="52">
        <f t="shared" si="1331"/>
        <v>2.7546523016650343E-3</v>
      </c>
      <c r="M269" s="52">
        <f t="shared" si="1332"/>
        <v>2.8695296514739256E-3</v>
      </c>
      <c r="N269" s="52">
        <f t="shared" si="1333"/>
        <v>1.3397809946349513E-3</v>
      </c>
      <c r="O269" s="52">
        <f t="shared" si="1334"/>
        <v>0</v>
      </c>
      <c r="P269" s="52">
        <f t="shared" si="1335"/>
        <v>0</v>
      </c>
      <c r="Q269" s="52">
        <f t="shared" si="1336"/>
        <v>0</v>
      </c>
      <c r="R269" s="52">
        <f t="shared" si="1337"/>
        <v>0</v>
      </c>
      <c r="S269" s="527">
        <f t="shared" si="1338"/>
        <v>0</v>
      </c>
      <c r="T269" s="533">
        <f t="shared" si="1339"/>
        <v>0</v>
      </c>
      <c r="U269" s="375">
        <f t="shared" si="1340"/>
        <v>0</v>
      </c>
      <c r="V269" s="375">
        <f t="shared" si="1341"/>
        <v>-2.7546523016650343E-3</v>
      </c>
      <c r="W269" s="386">
        <f t="shared" si="1342"/>
        <v>0</v>
      </c>
      <c r="X269" s="386">
        <f t="shared" si="1343"/>
        <v>0</v>
      </c>
      <c r="Y269" s="386">
        <f t="shared" si="1344"/>
        <v>-2.8695296514739256E-3</v>
      </c>
      <c r="Z269" s="375">
        <f t="shared" si="1345"/>
        <v>-1.3397809946349513E-3</v>
      </c>
      <c r="AA269" s="375">
        <f t="shared" si="1346"/>
        <v>0</v>
      </c>
      <c r="AB269" s="386">
        <f t="shared" si="1347"/>
        <v>0</v>
      </c>
      <c r="AC269" s="386">
        <f t="shared" si="1348"/>
        <v>0</v>
      </c>
      <c r="AD269" s="386">
        <f t="shared" si="1348"/>
        <v>0</v>
      </c>
      <c r="AE269" s="386">
        <f t="shared" si="1348"/>
        <v>0</v>
      </c>
      <c r="AF269" s="386">
        <f t="shared" si="1348"/>
        <v>0</v>
      </c>
      <c r="AG269" s="375">
        <f t="shared" si="1349"/>
        <v>0</v>
      </c>
      <c r="AH269" s="375">
        <f t="shared" si="1350"/>
        <v>0</v>
      </c>
      <c r="AI269" s="386">
        <f t="shared" si="1350"/>
        <v>0</v>
      </c>
      <c r="AJ269" s="386">
        <f t="shared" si="1350"/>
        <v>0</v>
      </c>
      <c r="AK269" s="386">
        <f t="shared" si="1350"/>
        <v>0</v>
      </c>
      <c r="AL269" s="377">
        <f t="shared" si="1351"/>
        <v>0</v>
      </c>
      <c r="AM269" s="377">
        <f t="shared" si="1352"/>
        <v>0</v>
      </c>
      <c r="AN269" s="377">
        <f t="shared" si="1353"/>
        <v>0</v>
      </c>
      <c r="AO269" s="283"/>
      <c r="AP269" s="295">
        <f t="shared" si="1354"/>
        <v>45</v>
      </c>
      <c r="AQ269" s="182">
        <f t="shared" si="1355"/>
        <v>0</v>
      </c>
      <c r="AR269" s="80">
        <f t="shared" si="1355"/>
        <v>0</v>
      </c>
      <c r="AS269" s="80">
        <f t="shared" si="1355"/>
        <v>90</v>
      </c>
      <c r="AT269" s="80">
        <f t="shared" si="1356"/>
        <v>90</v>
      </c>
      <c r="AU269" s="80">
        <f t="shared" si="1357"/>
        <v>45</v>
      </c>
      <c r="AV269" s="80">
        <f t="shared" si="1358"/>
        <v>0</v>
      </c>
      <c r="AW269" s="80">
        <f t="shared" si="1359"/>
        <v>0</v>
      </c>
      <c r="AX269" s="80">
        <f t="shared" si="1360"/>
        <v>0</v>
      </c>
      <c r="AY269" s="80">
        <f t="shared" si="1361"/>
        <v>0</v>
      </c>
      <c r="AZ269" s="432">
        <f>-BU269</f>
        <v>0</v>
      </c>
      <c r="BA269" s="1008">
        <v>0</v>
      </c>
      <c r="BB269" s="409">
        <v>0</v>
      </c>
      <c r="BC269" s="207">
        <f>-90</f>
        <v>-90</v>
      </c>
      <c r="BD269" s="389">
        <v>0</v>
      </c>
      <c r="BE269" s="389">
        <v>0</v>
      </c>
      <c r="BF269" s="516">
        <v>-90</v>
      </c>
      <c r="BG269" s="207">
        <v>-45</v>
      </c>
      <c r="BH269" s="207">
        <v>0</v>
      </c>
      <c r="BI269" s="389">
        <v>0</v>
      </c>
      <c r="BJ269" s="516">
        <v>0</v>
      </c>
      <c r="BK269" s="516">
        <v>0</v>
      </c>
      <c r="BL269" s="516">
        <v>0</v>
      </c>
      <c r="BM269" s="516">
        <v>0</v>
      </c>
      <c r="BN269" s="409">
        <v>0</v>
      </c>
      <c r="BO269" s="207">
        <v>0</v>
      </c>
      <c r="BP269" s="389">
        <v>0</v>
      </c>
      <c r="BQ269" s="389">
        <v>0</v>
      </c>
      <c r="BR269" s="389">
        <v>0</v>
      </c>
      <c r="BS269" s="296">
        <v>0</v>
      </c>
      <c r="BT269" s="296">
        <v>0</v>
      </c>
      <c r="BU269" s="296">
        <v>0</v>
      </c>
      <c r="BV269" s="409">
        <v>0</v>
      </c>
      <c r="BW269" s="1011">
        <f t="shared" si="1362"/>
        <v>0</v>
      </c>
      <c r="BX269" s="439" t="s">
        <v>1592</v>
      </c>
    </row>
    <row r="270" spans="1:76" ht="76.5" hidden="1" customHeight="1" outlineLevel="1" x14ac:dyDescent="0.25">
      <c r="A270" s="417">
        <v>7</v>
      </c>
      <c r="B270" s="702" t="s">
        <v>158</v>
      </c>
      <c r="C270" s="694" t="s">
        <v>158</v>
      </c>
      <c r="D270" s="63">
        <v>43950</v>
      </c>
      <c r="E270" s="463" t="s">
        <v>160</v>
      </c>
      <c r="F270" s="542" t="s">
        <v>157</v>
      </c>
      <c r="G270" s="71" t="s">
        <v>23</v>
      </c>
      <c r="H270" s="311" t="s">
        <v>171</v>
      </c>
      <c r="I270" s="335"/>
      <c r="J270" s="294"/>
      <c r="K270" s="52">
        <f t="shared" ref="K270" si="1369">AR270/U$8</f>
        <v>2.3936139264333963E-3</v>
      </c>
      <c r="L270" s="52">
        <f t="shared" ref="L270" si="1370">AS270/V$8</f>
        <v>0</v>
      </c>
      <c r="M270" s="52">
        <f t="shared" ref="M270" si="1371">AT270/Y$8</f>
        <v>0</v>
      </c>
      <c r="N270" s="52">
        <f t="shared" si="1333"/>
        <v>0</v>
      </c>
      <c r="O270" s="52">
        <f t="shared" si="1334"/>
        <v>0</v>
      </c>
      <c r="P270" s="52">
        <f t="shared" si="1335"/>
        <v>0</v>
      </c>
      <c r="Q270" s="52">
        <f t="shared" si="1336"/>
        <v>0</v>
      </c>
      <c r="R270" s="52">
        <f t="shared" si="1337"/>
        <v>0</v>
      </c>
      <c r="S270" s="527">
        <f t="shared" ref="S270" si="1372">AZ270/AN$8</f>
        <v>0</v>
      </c>
      <c r="T270" s="533">
        <f t="shared" ref="T270" si="1373">BA270/T$8</f>
        <v>-2.6601404554160461E-3</v>
      </c>
      <c r="U270" s="375">
        <f t="shared" ref="U270" si="1374">BB270/U$8</f>
        <v>-2.3936139264333963E-3</v>
      </c>
      <c r="V270" s="375">
        <f t="shared" ref="V270" si="1375">BC270/V$8</f>
        <v>0</v>
      </c>
      <c r="W270" s="386">
        <f t="shared" ref="W270" si="1376">BD270/W$8</f>
        <v>0</v>
      </c>
      <c r="X270" s="386">
        <f t="shared" ref="X270" si="1377">BE270/X$8</f>
        <v>0</v>
      </c>
      <c r="Y270" s="386">
        <f t="shared" ref="Y270" si="1378">BF270/Y$8</f>
        <v>0</v>
      </c>
      <c r="Z270" s="375">
        <f t="shared" ref="Z270" si="1379">BG270/Z$8</f>
        <v>0</v>
      </c>
      <c r="AA270" s="375">
        <f t="shared" ref="AA270" si="1380">BH270/AA$8</f>
        <v>0</v>
      </c>
      <c r="AB270" s="386">
        <f t="shared" ref="AB270" si="1381">BI270/AB$8</f>
        <v>0</v>
      </c>
      <c r="AC270" s="386">
        <f t="shared" ref="AC270:AC280" si="1382">BJ270/AC$8</f>
        <v>0</v>
      </c>
      <c r="AD270" s="386">
        <f t="shared" ref="AD270:AD280" si="1383">BK270/AD$8</f>
        <v>0</v>
      </c>
      <c r="AE270" s="386">
        <f t="shared" ref="AE270:AE280" si="1384">BL270/AE$8</f>
        <v>0</v>
      </c>
      <c r="AF270" s="386">
        <f t="shared" ref="AF270:AF280" si="1385">BM270/AF$8</f>
        <v>0</v>
      </c>
      <c r="AG270" s="375">
        <f t="shared" si="1349"/>
        <v>0</v>
      </c>
      <c r="AH270" s="375">
        <f t="shared" ref="AH270:AH280" si="1386">BO270/AH$8</f>
        <v>0</v>
      </c>
      <c r="AI270" s="386">
        <f t="shared" ref="AI270:AI280" si="1387">BP270/AI$8</f>
        <v>0</v>
      </c>
      <c r="AJ270" s="386">
        <f t="shared" ref="AJ270:AJ280" si="1388">BQ270/AJ$8</f>
        <v>0</v>
      </c>
      <c r="AK270" s="386">
        <f t="shared" ref="AK270:AK280" si="1389">BR270/AK$8</f>
        <v>0</v>
      </c>
      <c r="AL270" s="377">
        <f t="shared" si="1351"/>
        <v>0</v>
      </c>
      <c r="AM270" s="377">
        <f t="shared" si="1352"/>
        <v>0</v>
      </c>
      <c r="AN270" s="377">
        <f t="shared" si="1353"/>
        <v>0</v>
      </c>
      <c r="AO270" s="283"/>
      <c r="AP270" s="295" cm="1">
        <f t="array" aca="1" ref="AP270" ca="1">AP270:BW270=AR270+AU270+AZ270+AW270+AY270</f>
        <v>0</v>
      </c>
      <c r="AQ270" s="20">
        <f t="shared" si="1355"/>
        <v>75</v>
      </c>
      <c r="AR270" s="95">
        <f>-BB270</f>
        <v>72.512248</v>
      </c>
      <c r="AS270" s="94">
        <f t="shared" si="1355"/>
        <v>0</v>
      </c>
      <c r="AT270" s="94">
        <f t="shared" ref="AT270" si="1390">-BC270</f>
        <v>0</v>
      </c>
      <c r="AU270" s="94">
        <f>-BG270</f>
        <v>0</v>
      </c>
      <c r="AV270" s="94">
        <f t="shared" si="1358"/>
        <v>0</v>
      </c>
      <c r="AW270" s="94">
        <f t="shared" si="1359"/>
        <v>0</v>
      </c>
      <c r="AX270" s="94">
        <f t="shared" si="1360"/>
        <v>0</v>
      </c>
      <c r="AY270" s="94">
        <f t="shared" si="1361"/>
        <v>0</v>
      </c>
      <c r="AZ270" s="433">
        <f>-BU270</f>
        <v>0</v>
      </c>
      <c r="BA270" s="657">
        <v>-75</v>
      </c>
      <c r="BB270" s="327">
        <v>-72.512248</v>
      </c>
      <c r="BC270" s="207">
        <v>0</v>
      </c>
      <c r="BD270" s="389">
        <v>0</v>
      </c>
      <c r="BE270" s="389">
        <v>0</v>
      </c>
      <c r="BF270" s="516">
        <v>0</v>
      </c>
      <c r="BG270" s="207">
        <v>0</v>
      </c>
      <c r="BH270" s="207">
        <v>0</v>
      </c>
      <c r="BI270" s="389">
        <v>0</v>
      </c>
      <c r="BJ270" s="516">
        <v>0</v>
      </c>
      <c r="BK270" s="516">
        <v>0</v>
      </c>
      <c r="BL270" s="516">
        <v>0</v>
      </c>
      <c r="BM270" s="516">
        <v>0</v>
      </c>
      <c r="BN270" s="409">
        <v>0</v>
      </c>
      <c r="BO270" s="207">
        <v>0</v>
      </c>
      <c r="BP270" s="389">
        <v>0</v>
      </c>
      <c r="BQ270" s="389">
        <v>0</v>
      </c>
      <c r="BR270" s="389">
        <v>0</v>
      </c>
      <c r="BS270" s="296">
        <v>0</v>
      </c>
      <c r="BT270" s="296">
        <v>0</v>
      </c>
      <c r="BU270" s="296">
        <v>0</v>
      </c>
      <c r="BV270" s="409">
        <v>0</v>
      </c>
      <c r="BW270" s="1011">
        <f>-BV270</f>
        <v>0</v>
      </c>
      <c r="BX270" s="439" t="s">
        <v>159</v>
      </c>
    </row>
    <row r="271" spans="1:76" ht="87" hidden="1" customHeight="1" outlineLevel="1" x14ac:dyDescent="0.25">
      <c r="A271" s="417">
        <v>8</v>
      </c>
      <c r="B271" s="702" t="s">
        <v>158</v>
      </c>
      <c r="C271" s="694" t="s">
        <v>158</v>
      </c>
      <c r="D271" s="63">
        <v>44277</v>
      </c>
      <c r="E271" s="463" t="s">
        <v>1341</v>
      </c>
      <c r="F271" s="542" t="s">
        <v>1216</v>
      </c>
      <c r="G271" s="71" t="s">
        <v>23</v>
      </c>
      <c r="H271" s="311" t="s">
        <v>171</v>
      </c>
      <c r="I271" s="335"/>
      <c r="J271" s="294">
        <f t="shared" si="1329"/>
        <v>0</v>
      </c>
      <c r="K271" s="52">
        <f t="shared" si="1330"/>
        <v>0</v>
      </c>
      <c r="L271" s="52">
        <f t="shared" si="1331"/>
        <v>1.6833986287952988E-3</v>
      </c>
      <c r="M271" s="52">
        <f t="shared" si="1332"/>
        <v>1.7536014536785099E-3</v>
      </c>
      <c r="N271" s="52">
        <f t="shared" si="1333"/>
        <v>1.0670488635099304E-3</v>
      </c>
      <c r="O271" s="52">
        <f t="shared" si="1334"/>
        <v>0</v>
      </c>
      <c r="P271" s="52">
        <f t="shared" si="1335"/>
        <v>0</v>
      </c>
      <c r="Q271" s="52">
        <f t="shared" si="1336"/>
        <v>0</v>
      </c>
      <c r="R271" s="52">
        <f t="shared" si="1337"/>
        <v>0</v>
      </c>
      <c r="S271" s="527">
        <f t="shared" si="1338"/>
        <v>0</v>
      </c>
      <c r="T271" s="533">
        <f t="shared" si="1339"/>
        <v>0</v>
      </c>
      <c r="U271" s="375">
        <f t="shared" si="1340"/>
        <v>0</v>
      </c>
      <c r="V271" s="375">
        <f t="shared" si="1341"/>
        <v>-1.6833986287952988E-3</v>
      </c>
      <c r="W271" s="386">
        <f t="shared" si="1342"/>
        <v>0</v>
      </c>
      <c r="X271" s="386">
        <f t="shared" si="1343"/>
        <v>-1.7536014536785099E-3</v>
      </c>
      <c r="Y271" s="386">
        <f t="shared" si="1344"/>
        <v>-1.7536014536785099E-3</v>
      </c>
      <c r="Z271" s="375">
        <f t="shared" si="1345"/>
        <v>-1.0670488635099304E-3</v>
      </c>
      <c r="AA271" s="375">
        <f t="shared" si="1346"/>
        <v>0</v>
      </c>
      <c r="AB271" s="386">
        <f t="shared" si="1347"/>
        <v>0</v>
      </c>
      <c r="AC271" s="386">
        <f t="shared" si="1382"/>
        <v>0</v>
      </c>
      <c r="AD271" s="386">
        <f t="shared" si="1383"/>
        <v>0</v>
      </c>
      <c r="AE271" s="386">
        <f t="shared" si="1384"/>
        <v>0</v>
      </c>
      <c r="AF271" s="386">
        <f t="shared" si="1385"/>
        <v>0</v>
      </c>
      <c r="AG271" s="375">
        <f t="shared" si="1349"/>
        <v>0</v>
      </c>
      <c r="AH271" s="375">
        <f t="shared" si="1386"/>
        <v>0</v>
      </c>
      <c r="AI271" s="386">
        <f t="shared" si="1387"/>
        <v>0</v>
      </c>
      <c r="AJ271" s="386">
        <f t="shared" si="1388"/>
        <v>0</v>
      </c>
      <c r="AK271" s="386">
        <f t="shared" si="1389"/>
        <v>0</v>
      </c>
      <c r="AL271" s="377">
        <f t="shared" si="1351"/>
        <v>0</v>
      </c>
      <c r="AM271" s="377">
        <f t="shared" si="1352"/>
        <v>0</v>
      </c>
      <c r="AN271" s="377">
        <f t="shared" si="1353"/>
        <v>0</v>
      </c>
      <c r="AO271" s="283"/>
      <c r="AP271" s="295">
        <f t="shared" si="1354"/>
        <v>35.839587999999999</v>
      </c>
      <c r="AQ271" s="20">
        <f t="shared" ref="AQ271:AS276" si="1391">-BA271</f>
        <v>0</v>
      </c>
      <c r="AR271" s="95">
        <f t="shared" si="1391"/>
        <v>0</v>
      </c>
      <c r="AS271" s="94">
        <f t="shared" si="1391"/>
        <v>55</v>
      </c>
      <c r="AT271" s="94">
        <f t="shared" si="1356"/>
        <v>55</v>
      </c>
      <c r="AU271" s="94">
        <f t="shared" si="1357"/>
        <v>35.839587999999999</v>
      </c>
      <c r="AV271" s="94">
        <f t="shared" si="1358"/>
        <v>0</v>
      </c>
      <c r="AW271" s="94">
        <f t="shared" ref="AW271:AW277" si="1392">-BH271</f>
        <v>0</v>
      </c>
      <c r="AX271" s="94">
        <f t="shared" si="1360"/>
        <v>0</v>
      </c>
      <c r="AY271" s="94">
        <f t="shared" ref="AY271:AY277" si="1393">-BO271</f>
        <v>0</v>
      </c>
      <c r="AZ271" s="433">
        <f>-BU271</f>
        <v>0</v>
      </c>
      <c r="BA271" s="657">
        <v>0</v>
      </c>
      <c r="BB271" s="327">
        <v>0</v>
      </c>
      <c r="BC271" s="207">
        <v>-55</v>
      </c>
      <c r="BD271" s="389">
        <v>0</v>
      </c>
      <c r="BE271" s="389">
        <v>-55</v>
      </c>
      <c r="BF271" s="516">
        <v>-55</v>
      </c>
      <c r="BG271" s="207">
        <v>-35.839587999999999</v>
      </c>
      <c r="BH271" s="207">
        <v>0</v>
      </c>
      <c r="BI271" s="389">
        <v>0</v>
      </c>
      <c r="BJ271" s="516">
        <v>0</v>
      </c>
      <c r="BK271" s="516">
        <v>0</v>
      </c>
      <c r="BL271" s="516">
        <v>0</v>
      </c>
      <c r="BM271" s="516">
        <v>0</v>
      </c>
      <c r="BN271" s="409">
        <v>0</v>
      </c>
      <c r="BO271" s="207">
        <v>0</v>
      </c>
      <c r="BP271" s="389">
        <v>0</v>
      </c>
      <c r="BQ271" s="389">
        <v>0</v>
      </c>
      <c r="BR271" s="389">
        <v>0</v>
      </c>
      <c r="BS271" s="296">
        <v>0</v>
      </c>
      <c r="BT271" s="296">
        <v>0</v>
      </c>
      <c r="BU271" s="296">
        <v>0</v>
      </c>
      <c r="BV271" s="409">
        <v>0</v>
      </c>
      <c r="BW271" s="1011">
        <f t="shared" ref="BW271:BW272" si="1394">-BV271</f>
        <v>0</v>
      </c>
      <c r="BX271" s="439" t="s">
        <v>1217</v>
      </c>
    </row>
    <row r="272" spans="1:76" ht="43.5" hidden="1" customHeight="1" outlineLevel="1" x14ac:dyDescent="0.25">
      <c r="A272" s="417">
        <v>9</v>
      </c>
      <c r="B272" s="702" t="s">
        <v>158</v>
      </c>
      <c r="C272" s="694" t="s">
        <v>158</v>
      </c>
      <c r="D272" s="63">
        <v>44295</v>
      </c>
      <c r="E272" s="463" t="s">
        <v>1340</v>
      </c>
      <c r="F272" s="542" t="s">
        <v>1219</v>
      </c>
      <c r="G272" s="71" t="s">
        <v>23</v>
      </c>
      <c r="H272" s="311" t="s">
        <v>171</v>
      </c>
      <c r="I272" s="335"/>
      <c r="J272" s="294">
        <f t="shared" si="1329"/>
        <v>0</v>
      </c>
      <c r="K272" s="52">
        <f t="shared" si="1330"/>
        <v>0</v>
      </c>
      <c r="L272" s="52">
        <f t="shared" si="1331"/>
        <v>3.0607247796278158E-3</v>
      </c>
      <c r="M272" s="52">
        <f t="shared" si="1332"/>
        <v>3.1883662794154727E-3</v>
      </c>
      <c r="N272" s="52">
        <f t="shared" si="1333"/>
        <v>2.6977551433522494E-3</v>
      </c>
      <c r="O272" s="52">
        <f t="shared" si="1334"/>
        <v>0</v>
      </c>
      <c r="P272" s="52">
        <f t="shared" si="1335"/>
        <v>0</v>
      </c>
      <c r="Q272" s="52">
        <f t="shared" si="1336"/>
        <v>0</v>
      </c>
      <c r="R272" s="52">
        <f t="shared" si="1337"/>
        <v>0</v>
      </c>
      <c r="S272" s="527">
        <f t="shared" si="1338"/>
        <v>0</v>
      </c>
      <c r="T272" s="533">
        <f t="shared" si="1339"/>
        <v>0</v>
      </c>
      <c r="U272" s="375">
        <f t="shared" si="1340"/>
        <v>0</v>
      </c>
      <c r="V272" s="375">
        <f t="shared" si="1341"/>
        <v>-3.0607247796278158E-3</v>
      </c>
      <c r="W272" s="386">
        <f t="shared" si="1342"/>
        <v>-3.2648905365747303E-3</v>
      </c>
      <c r="X272" s="386">
        <f t="shared" si="1343"/>
        <v>-3.1883662794154727E-3</v>
      </c>
      <c r="Y272" s="386">
        <f t="shared" si="1344"/>
        <v>-3.1883662794154727E-3</v>
      </c>
      <c r="Z272" s="375">
        <f t="shared" si="1345"/>
        <v>-2.6977551433522494E-3</v>
      </c>
      <c r="AA272" s="375">
        <f t="shared" si="1346"/>
        <v>0</v>
      </c>
      <c r="AB272" s="386">
        <f t="shared" si="1347"/>
        <v>0</v>
      </c>
      <c r="AC272" s="386">
        <f t="shared" si="1382"/>
        <v>0</v>
      </c>
      <c r="AD272" s="386">
        <f t="shared" si="1383"/>
        <v>0</v>
      </c>
      <c r="AE272" s="386">
        <f t="shared" si="1384"/>
        <v>0</v>
      </c>
      <c r="AF272" s="386">
        <f t="shared" si="1385"/>
        <v>0</v>
      </c>
      <c r="AG272" s="375">
        <f t="shared" si="1349"/>
        <v>0</v>
      </c>
      <c r="AH272" s="375">
        <f t="shared" si="1386"/>
        <v>0</v>
      </c>
      <c r="AI272" s="386">
        <f t="shared" si="1387"/>
        <v>0</v>
      </c>
      <c r="AJ272" s="386">
        <f t="shared" si="1388"/>
        <v>0</v>
      </c>
      <c r="AK272" s="386">
        <f t="shared" si="1389"/>
        <v>0</v>
      </c>
      <c r="AL272" s="377">
        <f t="shared" si="1351"/>
        <v>0</v>
      </c>
      <c r="AM272" s="377">
        <f t="shared" si="1352"/>
        <v>0</v>
      </c>
      <c r="AN272" s="377">
        <f t="shared" si="1353"/>
        <v>0</v>
      </c>
      <c r="AO272" s="283"/>
      <c r="AP272" s="295">
        <f t="shared" si="1354"/>
        <v>90.611063999999999</v>
      </c>
      <c r="AQ272" s="20">
        <f t="shared" si="1391"/>
        <v>0</v>
      </c>
      <c r="AR272" s="95">
        <f t="shared" si="1391"/>
        <v>0</v>
      </c>
      <c r="AS272" s="94">
        <f t="shared" si="1391"/>
        <v>100</v>
      </c>
      <c r="AT272" s="94">
        <f t="shared" si="1356"/>
        <v>100</v>
      </c>
      <c r="AU272" s="94">
        <f t="shared" si="1357"/>
        <v>90.611063999999999</v>
      </c>
      <c r="AV272" s="94">
        <f t="shared" si="1358"/>
        <v>0</v>
      </c>
      <c r="AW272" s="94">
        <f t="shared" si="1392"/>
        <v>0</v>
      </c>
      <c r="AX272" s="94">
        <f t="shared" si="1360"/>
        <v>0</v>
      </c>
      <c r="AY272" s="94">
        <f t="shared" si="1393"/>
        <v>0</v>
      </c>
      <c r="AZ272" s="433">
        <f>-BU272</f>
        <v>0</v>
      </c>
      <c r="BA272" s="657">
        <v>0</v>
      </c>
      <c r="BB272" s="327">
        <v>0</v>
      </c>
      <c r="BC272" s="207">
        <v>-100</v>
      </c>
      <c r="BD272" s="389">
        <v>-100</v>
      </c>
      <c r="BE272" s="389">
        <v>-100</v>
      </c>
      <c r="BF272" s="516">
        <v>-100</v>
      </c>
      <c r="BG272" s="1010">
        <v>-90.611063999999999</v>
      </c>
      <c r="BH272" s="207">
        <v>0</v>
      </c>
      <c r="BI272" s="389">
        <v>0</v>
      </c>
      <c r="BJ272" s="516">
        <v>0</v>
      </c>
      <c r="BK272" s="516">
        <v>0</v>
      </c>
      <c r="BL272" s="516">
        <v>0</v>
      </c>
      <c r="BM272" s="516">
        <v>0</v>
      </c>
      <c r="BN272" s="1032">
        <v>0</v>
      </c>
      <c r="BO272" s="207">
        <v>0</v>
      </c>
      <c r="BP272" s="389">
        <v>0</v>
      </c>
      <c r="BQ272" s="389">
        <v>0</v>
      </c>
      <c r="BR272" s="389">
        <v>0</v>
      </c>
      <c r="BS272" s="296">
        <v>0</v>
      </c>
      <c r="BT272" s="296">
        <v>0</v>
      </c>
      <c r="BU272" s="296">
        <v>0</v>
      </c>
      <c r="BV272" s="1032">
        <v>0</v>
      </c>
      <c r="BW272" s="1011">
        <f t="shared" si="1394"/>
        <v>0</v>
      </c>
      <c r="BX272" s="439" t="s">
        <v>1220</v>
      </c>
    </row>
    <row r="273" spans="1:76" ht="87" hidden="1" customHeight="1" outlineLevel="1" x14ac:dyDescent="0.25">
      <c r="A273" s="417">
        <v>10</v>
      </c>
      <c r="B273" s="702" t="s">
        <v>158</v>
      </c>
      <c r="C273" s="694" t="s">
        <v>158</v>
      </c>
      <c r="D273" s="63">
        <v>44705</v>
      </c>
      <c r="E273" s="463" t="s">
        <v>2113</v>
      </c>
      <c r="F273" s="542" t="s">
        <v>1219</v>
      </c>
      <c r="G273" s="71" t="s">
        <v>23</v>
      </c>
      <c r="H273" s="311" t="s">
        <v>171</v>
      </c>
      <c r="I273" s="335"/>
      <c r="J273" s="294">
        <f t="shared" ref="J273" si="1395">AQ273/T$8</f>
        <v>0</v>
      </c>
      <c r="K273" s="52">
        <f t="shared" ref="K273" si="1396">AR273/U$8</f>
        <v>0</v>
      </c>
      <c r="L273" s="52">
        <f t="shared" ref="L273" si="1397">AS273/V$8</f>
        <v>0</v>
      </c>
      <c r="M273" s="52">
        <f t="shared" si="1332"/>
        <v>0</v>
      </c>
      <c r="N273" s="52">
        <f t="shared" ref="N273:N280" si="1398">AU273/Z$8</f>
        <v>0</v>
      </c>
      <c r="O273" s="52">
        <f t="shared" si="1334"/>
        <v>6.0318560245105574E-4</v>
      </c>
      <c r="P273" s="52">
        <f t="shared" si="1335"/>
        <v>6.2010049721696807E-4</v>
      </c>
      <c r="Q273" s="52">
        <f t="shared" si="1336"/>
        <v>6.0269443675590182E-4</v>
      </c>
      <c r="R273" s="52">
        <f t="shared" si="1337"/>
        <v>0</v>
      </c>
      <c r="S273" s="527">
        <f t="shared" ref="S273" si="1399">AZ273/AN$8</f>
        <v>0</v>
      </c>
      <c r="T273" s="533">
        <f t="shared" ref="T273" si="1400">BA273/T$8</f>
        <v>0</v>
      </c>
      <c r="U273" s="375">
        <f t="shared" ref="U273" si="1401">BB273/U$8</f>
        <v>0</v>
      </c>
      <c r="V273" s="375">
        <f t="shared" ref="V273" si="1402">BC273/V$8</f>
        <v>0</v>
      </c>
      <c r="W273" s="386">
        <f t="shared" ref="W273" si="1403">BD273/W$8</f>
        <v>0</v>
      </c>
      <c r="X273" s="386">
        <f t="shared" ref="X273" si="1404">BE273/X$8</f>
        <v>0</v>
      </c>
      <c r="Y273" s="386">
        <f t="shared" ref="Y273" si="1405">BF273/Y$8</f>
        <v>0</v>
      </c>
      <c r="Z273" s="375">
        <f t="shared" ref="Z273:Z280" si="1406">BG273/Z$8</f>
        <v>0</v>
      </c>
      <c r="AA273" s="375">
        <f t="shared" ref="AA273" si="1407">BH273/AA$8</f>
        <v>-6.0318560245105574E-4</v>
      </c>
      <c r="AB273" s="386">
        <f t="shared" ref="AB273" si="1408">BI273/AB$8</f>
        <v>0</v>
      </c>
      <c r="AC273" s="386">
        <f t="shared" si="1382"/>
        <v>0</v>
      </c>
      <c r="AD273" s="386">
        <f t="shared" si="1383"/>
        <v>-6.9922682911536301E-4</v>
      </c>
      <c r="AE273" s="386">
        <f t="shared" si="1384"/>
        <v>-6.2010049721696807E-4</v>
      </c>
      <c r="AF273" s="386">
        <f t="shared" si="1385"/>
        <v>-6.0318560245105574E-4</v>
      </c>
      <c r="AG273" s="375">
        <f t="shared" si="1349"/>
        <v>-6.0821691855165571E-4</v>
      </c>
      <c r="AH273" s="375">
        <f t="shared" si="1386"/>
        <v>0</v>
      </c>
      <c r="AI273" s="386">
        <f t="shared" si="1387"/>
        <v>0</v>
      </c>
      <c r="AJ273" s="386">
        <f t="shared" si="1388"/>
        <v>0</v>
      </c>
      <c r="AK273" s="386">
        <f t="shared" si="1389"/>
        <v>0</v>
      </c>
      <c r="AL273" s="377">
        <f t="shared" si="1351"/>
        <v>0</v>
      </c>
      <c r="AM273" s="377">
        <f t="shared" si="1352"/>
        <v>0</v>
      </c>
      <c r="AN273" s="377">
        <f t="shared" si="1353"/>
        <v>0</v>
      </c>
      <c r="AO273" s="283"/>
      <c r="AP273" s="295">
        <f t="shared" si="1354"/>
        <v>23.788934000000001</v>
      </c>
      <c r="AQ273" s="20">
        <f t="shared" ref="AQ273" si="1409">-BA273</f>
        <v>0</v>
      </c>
      <c r="AR273" s="95">
        <f t="shared" ref="AR273" si="1410">-BB273</f>
        <v>0</v>
      </c>
      <c r="AS273" s="94">
        <f t="shared" ref="AS273" si="1411">-BC273</f>
        <v>0</v>
      </c>
      <c r="AT273" s="94">
        <f t="shared" si="1356"/>
        <v>0</v>
      </c>
      <c r="AU273" s="94">
        <f t="shared" si="1357"/>
        <v>0</v>
      </c>
      <c r="AV273" s="94">
        <f t="shared" si="1358"/>
        <v>23.788934000000001</v>
      </c>
      <c r="AW273" s="94">
        <f>-BH273</f>
        <v>23.788934000000001</v>
      </c>
      <c r="AX273" s="94">
        <f t="shared" si="1360"/>
        <v>23.769563000000002</v>
      </c>
      <c r="AY273" s="94">
        <f t="shared" ref="AY273" si="1412">-BO273</f>
        <v>0</v>
      </c>
      <c r="AZ273" s="433">
        <f t="shared" ref="AZ273" si="1413">-BU273</f>
        <v>0</v>
      </c>
      <c r="BA273" s="657">
        <v>0</v>
      </c>
      <c r="BB273" s="327">
        <v>0</v>
      </c>
      <c r="BC273" s="207">
        <v>0</v>
      </c>
      <c r="BD273" s="389">
        <v>0</v>
      </c>
      <c r="BE273" s="389">
        <v>0</v>
      </c>
      <c r="BF273" s="516">
        <v>0</v>
      </c>
      <c r="BG273" s="1010">
        <v>0</v>
      </c>
      <c r="BH273" s="207">
        <v>-23.788934000000001</v>
      </c>
      <c r="BI273" s="389">
        <v>0</v>
      </c>
      <c r="BJ273" s="516">
        <v>0</v>
      </c>
      <c r="BK273" s="516">
        <v>-23.788934000000001</v>
      </c>
      <c r="BL273" s="516">
        <v>-23.788934000000001</v>
      </c>
      <c r="BM273" s="516">
        <v>-23.788934000000001</v>
      </c>
      <c r="BN273" s="713">
        <f>-23.769563</f>
        <v>-23.769563000000002</v>
      </c>
      <c r="BO273" s="207">
        <v>0</v>
      </c>
      <c r="BP273" s="389">
        <v>0</v>
      </c>
      <c r="BQ273" s="389">
        <v>0</v>
      </c>
      <c r="BR273" s="389">
        <v>0</v>
      </c>
      <c r="BS273" s="296">
        <v>0</v>
      </c>
      <c r="BT273" s="296">
        <v>0</v>
      </c>
      <c r="BU273" s="296">
        <v>0</v>
      </c>
      <c r="BV273" s="713">
        <v>0</v>
      </c>
      <c r="BW273" s="1011">
        <f t="shared" ref="BW273" si="1414">-BV273</f>
        <v>0</v>
      </c>
      <c r="BX273" s="439" t="s">
        <v>1917</v>
      </c>
    </row>
    <row r="274" spans="1:76" ht="159.6" hidden="1" customHeight="1" outlineLevel="1" x14ac:dyDescent="0.25">
      <c r="A274" s="417">
        <v>11</v>
      </c>
      <c r="B274" s="702" t="s">
        <v>221</v>
      </c>
      <c r="C274" s="694" t="s">
        <v>221</v>
      </c>
      <c r="D274" s="63" t="s">
        <v>299</v>
      </c>
      <c r="E274" s="471" t="s">
        <v>348</v>
      </c>
      <c r="F274" s="542" t="s">
        <v>300</v>
      </c>
      <c r="G274" s="242" t="s">
        <v>23</v>
      </c>
      <c r="H274" s="311" t="s">
        <v>131</v>
      </c>
      <c r="I274" s="335"/>
      <c r="J274" s="294">
        <f t="shared" si="1329"/>
        <v>2.2493289352344469E-4</v>
      </c>
      <c r="K274" s="52">
        <f t="shared" si="1330"/>
        <v>2.0934008647574136E-4</v>
      </c>
      <c r="L274" s="52">
        <f t="shared" si="1331"/>
        <v>0</v>
      </c>
      <c r="M274" s="52">
        <f t="shared" si="1332"/>
        <v>0</v>
      </c>
      <c r="N274" s="52">
        <f t="shared" si="1398"/>
        <v>0</v>
      </c>
      <c r="O274" s="52">
        <f t="shared" si="1334"/>
        <v>0</v>
      </c>
      <c r="P274" s="52">
        <f t="shared" si="1335"/>
        <v>0</v>
      </c>
      <c r="Q274" s="52">
        <f t="shared" si="1336"/>
        <v>0</v>
      </c>
      <c r="R274" s="52">
        <f t="shared" si="1337"/>
        <v>0</v>
      </c>
      <c r="S274" s="527">
        <f t="shared" si="1338"/>
        <v>0</v>
      </c>
      <c r="T274" s="533">
        <f t="shared" si="1339"/>
        <v>-2.2493289352344469E-4</v>
      </c>
      <c r="U274" s="375">
        <f t="shared" si="1340"/>
        <v>-2.0934008647574136E-4</v>
      </c>
      <c r="V274" s="375">
        <f t="shared" si="1341"/>
        <v>0</v>
      </c>
      <c r="W274" s="386">
        <f t="shared" si="1342"/>
        <v>0</v>
      </c>
      <c r="X274" s="386">
        <f t="shared" si="1343"/>
        <v>0</v>
      </c>
      <c r="Y274" s="386">
        <f t="shared" ref="Y274:Y280" si="1415">BF274/Y$8</f>
        <v>0</v>
      </c>
      <c r="Z274" s="375">
        <f t="shared" si="1406"/>
        <v>0</v>
      </c>
      <c r="AA274" s="375">
        <f t="shared" si="1346"/>
        <v>0</v>
      </c>
      <c r="AB274" s="386">
        <f t="shared" si="1347"/>
        <v>0</v>
      </c>
      <c r="AC274" s="386">
        <f t="shared" si="1382"/>
        <v>0</v>
      </c>
      <c r="AD274" s="386">
        <f t="shared" si="1383"/>
        <v>0</v>
      </c>
      <c r="AE274" s="386">
        <f t="shared" si="1384"/>
        <v>0</v>
      </c>
      <c r="AF274" s="386">
        <f t="shared" si="1385"/>
        <v>0</v>
      </c>
      <c r="AG274" s="375">
        <f t="shared" si="1349"/>
        <v>0</v>
      </c>
      <c r="AH274" s="375">
        <f t="shared" si="1386"/>
        <v>0</v>
      </c>
      <c r="AI274" s="386">
        <f t="shared" si="1387"/>
        <v>0</v>
      </c>
      <c r="AJ274" s="386">
        <f t="shared" si="1388"/>
        <v>0</v>
      </c>
      <c r="AK274" s="386">
        <f t="shared" si="1389"/>
        <v>0</v>
      </c>
      <c r="AL274" s="377">
        <f t="shared" si="1351"/>
        <v>0</v>
      </c>
      <c r="AM274" s="377">
        <f t="shared" si="1352"/>
        <v>0</v>
      </c>
      <c r="AN274" s="377">
        <f t="shared" si="1353"/>
        <v>0</v>
      </c>
      <c r="AO274" s="283"/>
      <c r="AP274" s="295">
        <f t="shared" si="1354"/>
        <v>6.3417579999999996</v>
      </c>
      <c r="AQ274" s="20">
        <f t="shared" si="1391"/>
        <v>6.3417579999999996</v>
      </c>
      <c r="AR274" s="95">
        <f t="shared" si="1391"/>
        <v>6.3417579999999996</v>
      </c>
      <c r="AS274" s="94">
        <f t="shared" si="1391"/>
        <v>0</v>
      </c>
      <c r="AT274" s="94">
        <f t="shared" si="1356"/>
        <v>0</v>
      </c>
      <c r="AU274" s="94">
        <f t="shared" si="1357"/>
        <v>0</v>
      </c>
      <c r="AV274" s="94">
        <f t="shared" si="1358"/>
        <v>0</v>
      </c>
      <c r="AW274" s="94">
        <f t="shared" si="1392"/>
        <v>0</v>
      </c>
      <c r="AX274" s="94">
        <f t="shared" si="1360"/>
        <v>0</v>
      </c>
      <c r="AY274" s="94">
        <f t="shared" si="1393"/>
        <v>0</v>
      </c>
      <c r="AZ274" s="433">
        <f>-BU274</f>
        <v>0</v>
      </c>
      <c r="BA274" s="657">
        <v>-6.3417579999999996</v>
      </c>
      <c r="BB274" s="327">
        <v>-6.3417579999999996</v>
      </c>
      <c r="BC274" s="207">
        <v>0</v>
      </c>
      <c r="BD274" s="389">
        <v>0</v>
      </c>
      <c r="BE274" s="389">
        <v>0</v>
      </c>
      <c r="BF274" s="516">
        <v>0</v>
      </c>
      <c r="BG274" s="207">
        <v>0</v>
      </c>
      <c r="BH274" s="207">
        <v>0</v>
      </c>
      <c r="BI274" s="389">
        <v>0</v>
      </c>
      <c r="BJ274" s="516">
        <v>0</v>
      </c>
      <c r="BK274" s="516">
        <v>0</v>
      </c>
      <c r="BL274" s="516">
        <v>0</v>
      </c>
      <c r="BM274" s="516">
        <v>0</v>
      </c>
      <c r="BN274" s="409">
        <v>0</v>
      </c>
      <c r="BO274" s="207">
        <v>0</v>
      </c>
      <c r="BP274" s="389">
        <v>0</v>
      </c>
      <c r="BQ274" s="389">
        <v>0</v>
      </c>
      <c r="BR274" s="389">
        <v>0</v>
      </c>
      <c r="BS274" s="296">
        <v>0</v>
      </c>
      <c r="BT274" s="296">
        <v>0</v>
      </c>
      <c r="BU274" s="296">
        <v>0</v>
      </c>
      <c r="BV274" s="409">
        <v>0</v>
      </c>
      <c r="BW274" s="1011">
        <f>-BV274</f>
        <v>0</v>
      </c>
      <c r="BX274" s="1279" t="s">
        <v>338</v>
      </c>
    </row>
    <row r="275" spans="1:76" ht="130.5" hidden="1" customHeight="1" outlineLevel="1" x14ac:dyDescent="0.25">
      <c r="A275" s="417">
        <v>12</v>
      </c>
      <c r="B275" s="702" t="s">
        <v>221</v>
      </c>
      <c r="C275" s="694" t="s">
        <v>221</v>
      </c>
      <c r="D275" s="63" t="s">
        <v>299</v>
      </c>
      <c r="E275" s="463" t="s">
        <v>349</v>
      </c>
      <c r="F275" s="542" t="s">
        <v>301</v>
      </c>
      <c r="G275" s="242" t="s">
        <v>23</v>
      </c>
      <c r="H275" s="311" t="s">
        <v>127</v>
      </c>
      <c r="I275" s="335"/>
      <c r="J275" s="294">
        <f t="shared" si="1329"/>
        <v>9.6602915513939133E-4</v>
      </c>
      <c r="K275" s="52">
        <f t="shared" si="1330"/>
        <v>8.9906204338179333E-4</v>
      </c>
      <c r="L275" s="52">
        <f t="shared" si="1331"/>
        <v>0</v>
      </c>
      <c r="M275" s="52">
        <f t="shared" si="1332"/>
        <v>0</v>
      </c>
      <c r="N275" s="52">
        <f t="shared" si="1398"/>
        <v>0</v>
      </c>
      <c r="O275" s="52">
        <f t="shared" si="1334"/>
        <v>0</v>
      </c>
      <c r="P275" s="52">
        <f t="shared" si="1335"/>
        <v>0</v>
      </c>
      <c r="Q275" s="52">
        <f t="shared" si="1336"/>
        <v>0</v>
      </c>
      <c r="R275" s="52">
        <f t="shared" si="1337"/>
        <v>0</v>
      </c>
      <c r="S275" s="527">
        <f t="shared" si="1338"/>
        <v>0</v>
      </c>
      <c r="T275" s="533">
        <f t="shared" si="1339"/>
        <v>-9.6602915513939133E-4</v>
      </c>
      <c r="U275" s="375">
        <f t="shared" si="1340"/>
        <v>-8.9906204338179333E-4</v>
      </c>
      <c r="V275" s="375">
        <f t="shared" si="1341"/>
        <v>0</v>
      </c>
      <c r="W275" s="386">
        <f t="shared" si="1342"/>
        <v>0</v>
      </c>
      <c r="X275" s="386">
        <f t="shared" si="1343"/>
        <v>0</v>
      </c>
      <c r="Y275" s="386">
        <f t="shared" si="1415"/>
        <v>0</v>
      </c>
      <c r="Z275" s="375">
        <f t="shared" si="1406"/>
        <v>0</v>
      </c>
      <c r="AA275" s="375">
        <f t="shared" si="1346"/>
        <v>0</v>
      </c>
      <c r="AB275" s="386">
        <f t="shared" si="1347"/>
        <v>0</v>
      </c>
      <c r="AC275" s="386">
        <f t="shared" si="1382"/>
        <v>0</v>
      </c>
      <c r="AD275" s="386">
        <f t="shared" si="1383"/>
        <v>0</v>
      </c>
      <c r="AE275" s="386">
        <f t="shared" si="1384"/>
        <v>0</v>
      </c>
      <c r="AF275" s="386">
        <f t="shared" si="1385"/>
        <v>0</v>
      </c>
      <c r="AG275" s="375">
        <f t="shared" si="1349"/>
        <v>0</v>
      </c>
      <c r="AH275" s="375">
        <f t="shared" si="1386"/>
        <v>0</v>
      </c>
      <c r="AI275" s="386">
        <f t="shared" si="1387"/>
        <v>0</v>
      </c>
      <c r="AJ275" s="386">
        <f t="shared" si="1388"/>
        <v>0</v>
      </c>
      <c r="AK275" s="386">
        <f t="shared" si="1389"/>
        <v>0</v>
      </c>
      <c r="AL275" s="377">
        <f t="shared" si="1351"/>
        <v>0</v>
      </c>
      <c r="AM275" s="377">
        <f t="shared" si="1352"/>
        <v>0</v>
      </c>
      <c r="AN275" s="377">
        <f t="shared" si="1353"/>
        <v>0</v>
      </c>
      <c r="AO275" s="283"/>
      <c r="AP275" s="295">
        <f t="shared" si="1354"/>
        <v>27.236225999999998</v>
      </c>
      <c r="AQ275" s="20">
        <f t="shared" si="1391"/>
        <v>27.236225999999998</v>
      </c>
      <c r="AR275" s="95">
        <f t="shared" si="1391"/>
        <v>27.236225999999998</v>
      </c>
      <c r="AS275" s="94">
        <f t="shared" si="1391"/>
        <v>0</v>
      </c>
      <c r="AT275" s="94">
        <f t="shared" si="1356"/>
        <v>0</v>
      </c>
      <c r="AU275" s="94">
        <f t="shared" si="1357"/>
        <v>0</v>
      </c>
      <c r="AV275" s="94">
        <f t="shared" si="1358"/>
        <v>0</v>
      </c>
      <c r="AW275" s="94">
        <f t="shared" si="1392"/>
        <v>0</v>
      </c>
      <c r="AX275" s="94">
        <f t="shared" si="1360"/>
        <v>0</v>
      </c>
      <c r="AY275" s="94">
        <f t="shared" si="1393"/>
        <v>0</v>
      </c>
      <c r="AZ275" s="433">
        <f>-BU275</f>
        <v>0</v>
      </c>
      <c r="BA275" s="657">
        <v>-27.236225999999998</v>
      </c>
      <c r="BB275" s="327">
        <v>-27.236225999999998</v>
      </c>
      <c r="BC275" s="207">
        <v>0</v>
      </c>
      <c r="BD275" s="389">
        <v>0</v>
      </c>
      <c r="BE275" s="389">
        <v>0</v>
      </c>
      <c r="BF275" s="516">
        <v>0</v>
      </c>
      <c r="BG275" s="207">
        <v>0</v>
      </c>
      <c r="BH275" s="207">
        <v>0</v>
      </c>
      <c r="BI275" s="389">
        <v>0</v>
      </c>
      <c r="BJ275" s="516">
        <v>0</v>
      </c>
      <c r="BK275" s="516">
        <v>0</v>
      </c>
      <c r="BL275" s="516">
        <v>0</v>
      </c>
      <c r="BM275" s="516">
        <v>0</v>
      </c>
      <c r="BN275" s="409">
        <v>0</v>
      </c>
      <c r="BO275" s="207">
        <v>0</v>
      </c>
      <c r="BP275" s="389">
        <v>0</v>
      </c>
      <c r="BQ275" s="389">
        <v>0</v>
      </c>
      <c r="BR275" s="389">
        <v>0</v>
      </c>
      <c r="BS275" s="296">
        <v>0</v>
      </c>
      <c r="BT275" s="296">
        <v>0</v>
      </c>
      <c r="BU275" s="296">
        <v>0</v>
      </c>
      <c r="BV275" s="409">
        <v>0</v>
      </c>
      <c r="BW275" s="1011">
        <f>-BV275</f>
        <v>0</v>
      </c>
      <c r="BX275" s="1279"/>
    </row>
    <row r="276" spans="1:76" ht="87" hidden="1" customHeight="1" outlineLevel="1" x14ac:dyDescent="0.25">
      <c r="A276" s="417">
        <v>13</v>
      </c>
      <c r="B276" s="702" t="s">
        <v>221</v>
      </c>
      <c r="C276" s="694" t="s">
        <v>221</v>
      </c>
      <c r="D276" s="63" t="s">
        <v>299</v>
      </c>
      <c r="E276" s="463" t="s">
        <v>350</v>
      </c>
      <c r="F276" s="542" t="s">
        <v>302</v>
      </c>
      <c r="G276" s="242" t="s">
        <v>23</v>
      </c>
      <c r="H276" s="311" t="s">
        <v>128</v>
      </c>
      <c r="I276" s="335"/>
      <c r="J276" s="294">
        <f t="shared" si="1329"/>
        <v>1.1499615521032844E-3</v>
      </c>
      <c r="K276" s="52">
        <f t="shared" si="1330"/>
        <v>1.0702438713615168E-3</v>
      </c>
      <c r="L276" s="52">
        <f t="shared" si="1331"/>
        <v>0</v>
      </c>
      <c r="M276" s="52">
        <f t="shared" si="1332"/>
        <v>0</v>
      </c>
      <c r="N276" s="52">
        <f t="shared" si="1398"/>
        <v>0</v>
      </c>
      <c r="O276" s="52">
        <f t="shared" si="1334"/>
        <v>0</v>
      </c>
      <c r="P276" s="52">
        <f t="shared" si="1335"/>
        <v>0</v>
      </c>
      <c r="Q276" s="52">
        <f t="shared" si="1336"/>
        <v>0</v>
      </c>
      <c r="R276" s="52">
        <f t="shared" si="1337"/>
        <v>0</v>
      </c>
      <c r="S276" s="527">
        <f t="shared" si="1338"/>
        <v>0</v>
      </c>
      <c r="T276" s="533">
        <f t="shared" si="1339"/>
        <v>-1.1499615521032844E-3</v>
      </c>
      <c r="U276" s="375">
        <f t="shared" si="1340"/>
        <v>-1.0702438713615168E-3</v>
      </c>
      <c r="V276" s="375">
        <f t="shared" si="1341"/>
        <v>0</v>
      </c>
      <c r="W276" s="386">
        <f t="shared" si="1342"/>
        <v>0</v>
      </c>
      <c r="X276" s="386">
        <f t="shared" si="1343"/>
        <v>0</v>
      </c>
      <c r="Y276" s="386">
        <f t="shared" si="1415"/>
        <v>0</v>
      </c>
      <c r="Z276" s="375">
        <f t="shared" si="1406"/>
        <v>0</v>
      </c>
      <c r="AA276" s="375">
        <f t="shared" si="1346"/>
        <v>0</v>
      </c>
      <c r="AB276" s="386">
        <f t="shared" si="1347"/>
        <v>0</v>
      </c>
      <c r="AC276" s="386">
        <f t="shared" si="1382"/>
        <v>0</v>
      </c>
      <c r="AD276" s="386">
        <f t="shared" si="1383"/>
        <v>0</v>
      </c>
      <c r="AE276" s="386">
        <f t="shared" si="1384"/>
        <v>0</v>
      </c>
      <c r="AF276" s="386">
        <f t="shared" si="1385"/>
        <v>0</v>
      </c>
      <c r="AG276" s="375">
        <f t="shared" si="1349"/>
        <v>0</v>
      </c>
      <c r="AH276" s="375">
        <f t="shared" si="1386"/>
        <v>0</v>
      </c>
      <c r="AI276" s="386">
        <f t="shared" si="1387"/>
        <v>0</v>
      </c>
      <c r="AJ276" s="386">
        <f t="shared" si="1388"/>
        <v>0</v>
      </c>
      <c r="AK276" s="386">
        <f t="shared" si="1389"/>
        <v>0</v>
      </c>
      <c r="AL276" s="377">
        <f t="shared" si="1351"/>
        <v>0</v>
      </c>
      <c r="AM276" s="377">
        <f t="shared" si="1352"/>
        <v>0</v>
      </c>
      <c r="AN276" s="377">
        <f t="shared" si="1353"/>
        <v>0</v>
      </c>
      <c r="AO276" s="283"/>
      <c r="AP276" s="295">
        <f t="shared" si="1354"/>
        <v>32.422015999999999</v>
      </c>
      <c r="AQ276" s="20">
        <f t="shared" si="1391"/>
        <v>32.422015999999999</v>
      </c>
      <c r="AR276" s="95">
        <f t="shared" si="1391"/>
        <v>32.422015999999999</v>
      </c>
      <c r="AS276" s="94">
        <f t="shared" si="1391"/>
        <v>0</v>
      </c>
      <c r="AT276" s="94">
        <f t="shared" si="1356"/>
        <v>0</v>
      </c>
      <c r="AU276" s="94">
        <f t="shared" si="1357"/>
        <v>0</v>
      </c>
      <c r="AV276" s="94">
        <f t="shared" si="1358"/>
        <v>0</v>
      </c>
      <c r="AW276" s="94">
        <f t="shared" si="1392"/>
        <v>0</v>
      </c>
      <c r="AX276" s="94">
        <f t="shared" si="1360"/>
        <v>0</v>
      </c>
      <c r="AY276" s="94">
        <f t="shared" si="1393"/>
        <v>0</v>
      </c>
      <c r="AZ276" s="433">
        <f>-BU276</f>
        <v>0</v>
      </c>
      <c r="BA276" s="657">
        <v>-32.422015999999999</v>
      </c>
      <c r="BB276" s="327">
        <v>-32.422015999999999</v>
      </c>
      <c r="BC276" s="207">
        <v>0</v>
      </c>
      <c r="BD276" s="389">
        <v>0</v>
      </c>
      <c r="BE276" s="389">
        <v>0</v>
      </c>
      <c r="BF276" s="516">
        <v>0</v>
      </c>
      <c r="BG276" s="207">
        <v>0</v>
      </c>
      <c r="BH276" s="207">
        <v>0</v>
      </c>
      <c r="BI276" s="389">
        <v>0</v>
      </c>
      <c r="BJ276" s="516">
        <v>0</v>
      </c>
      <c r="BK276" s="516">
        <v>0</v>
      </c>
      <c r="BL276" s="516">
        <v>0</v>
      </c>
      <c r="BM276" s="516">
        <v>0</v>
      </c>
      <c r="BN276" s="409">
        <v>0</v>
      </c>
      <c r="BO276" s="207">
        <v>0</v>
      </c>
      <c r="BP276" s="389">
        <v>0</v>
      </c>
      <c r="BQ276" s="389">
        <v>0</v>
      </c>
      <c r="BR276" s="389">
        <v>0</v>
      </c>
      <c r="BS276" s="296">
        <v>0</v>
      </c>
      <c r="BT276" s="296">
        <v>0</v>
      </c>
      <c r="BU276" s="296">
        <v>0</v>
      </c>
      <c r="BV276" s="409">
        <v>0</v>
      </c>
      <c r="BW276" s="1011">
        <f>-BV276</f>
        <v>0</v>
      </c>
      <c r="BX276" s="1279"/>
    </row>
    <row r="277" spans="1:76" ht="87" hidden="1" customHeight="1" outlineLevel="1" x14ac:dyDescent="0.25">
      <c r="A277" s="417">
        <v>14</v>
      </c>
      <c r="B277" s="702" t="s">
        <v>221</v>
      </c>
      <c r="C277" s="694" t="s">
        <v>221</v>
      </c>
      <c r="D277" s="63" t="s">
        <v>414</v>
      </c>
      <c r="E277" s="463" t="s">
        <v>604</v>
      </c>
      <c r="F277" s="542" t="s">
        <v>413</v>
      </c>
      <c r="G277" s="242" t="s">
        <v>23</v>
      </c>
      <c r="H277" s="311" t="s">
        <v>127</v>
      </c>
      <c r="I277" s="335"/>
      <c r="J277" s="294">
        <f t="shared" si="1329"/>
        <v>3.3181517344115771E-4</v>
      </c>
      <c r="K277" s="52">
        <f t="shared" si="1330"/>
        <v>3.0881306870706772E-4</v>
      </c>
      <c r="L277" s="52">
        <f t="shared" si="1331"/>
        <v>0</v>
      </c>
      <c r="M277" s="52">
        <f t="shared" si="1332"/>
        <v>0</v>
      </c>
      <c r="N277" s="52">
        <f t="shared" si="1398"/>
        <v>0</v>
      </c>
      <c r="O277" s="52">
        <f t="shared" si="1334"/>
        <v>0</v>
      </c>
      <c r="P277" s="52">
        <f t="shared" si="1335"/>
        <v>0</v>
      </c>
      <c r="Q277" s="52">
        <f t="shared" si="1336"/>
        <v>0</v>
      </c>
      <c r="R277" s="52">
        <f t="shared" si="1337"/>
        <v>0</v>
      </c>
      <c r="S277" s="527">
        <f t="shared" si="1338"/>
        <v>0</v>
      </c>
      <c r="T277" s="533">
        <f t="shared" si="1339"/>
        <v>-3.3181517344115771E-4</v>
      </c>
      <c r="U277" s="375">
        <f t="shared" si="1340"/>
        <v>-3.0881306870706772E-4</v>
      </c>
      <c r="V277" s="375">
        <f t="shared" si="1341"/>
        <v>0</v>
      </c>
      <c r="W277" s="386">
        <f t="shared" si="1342"/>
        <v>0</v>
      </c>
      <c r="X277" s="386">
        <f t="shared" si="1343"/>
        <v>0</v>
      </c>
      <c r="Y277" s="386">
        <f t="shared" si="1415"/>
        <v>0</v>
      </c>
      <c r="Z277" s="375">
        <f t="shared" si="1406"/>
        <v>0</v>
      </c>
      <c r="AA277" s="375">
        <f t="shared" si="1346"/>
        <v>0</v>
      </c>
      <c r="AB277" s="386">
        <f t="shared" si="1347"/>
        <v>0</v>
      </c>
      <c r="AC277" s="386">
        <f t="shared" si="1382"/>
        <v>0</v>
      </c>
      <c r="AD277" s="386">
        <f t="shared" si="1383"/>
        <v>0</v>
      </c>
      <c r="AE277" s="386">
        <f t="shared" si="1384"/>
        <v>0</v>
      </c>
      <c r="AF277" s="386">
        <f t="shared" si="1385"/>
        <v>0</v>
      </c>
      <c r="AG277" s="375">
        <f t="shared" si="1349"/>
        <v>0</v>
      </c>
      <c r="AH277" s="375">
        <f t="shared" si="1386"/>
        <v>0</v>
      </c>
      <c r="AI277" s="386">
        <f t="shared" si="1387"/>
        <v>0</v>
      </c>
      <c r="AJ277" s="386">
        <f t="shared" si="1388"/>
        <v>0</v>
      </c>
      <c r="AK277" s="386">
        <f t="shared" si="1389"/>
        <v>0</v>
      </c>
      <c r="AL277" s="377">
        <f t="shared" si="1351"/>
        <v>0</v>
      </c>
      <c r="AM277" s="377">
        <f t="shared" si="1352"/>
        <v>0</v>
      </c>
      <c r="AN277" s="377">
        <f t="shared" si="1353"/>
        <v>0</v>
      </c>
      <c r="AO277" s="283"/>
      <c r="AP277" s="295">
        <f t="shared" si="1354"/>
        <v>9.3551970000000004</v>
      </c>
      <c r="AQ277" s="20">
        <f t="shared" ref="AQ277:AQ278" si="1416">-BA277</f>
        <v>9.3551970000000004</v>
      </c>
      <c r="AR277" s="95">
        <f t="shared" ref="AR277:AR278" si="1417">-BB277</f>
        <v>9.3551970000000004</v>
      </c>
      <c r="AS277" s="94">
        <f t="shared" ref="AS277:AS278" si="1418">-BC277</f>
        <v>0</v>
      </c>
      <c r="AT277" s="94">
        <f t="shared" si="1356"/>
        <v>0</v>
      </c>
      <c r="AU277" s="94">
        <f t="shared" si="1357"/>
        <v>0</v>
      </c>
      <c r="AV277" s="94">
        <f t="shared" si="1358"/>
        <v>0</v>
      </c>
      <c r="AW277" s="94">
        <f t="shared" si="1392"/>
        <v>0</v>
      </c>
      <c r="AX277" s="94">
        <f t="shared" si="1360"/>
        <v>0</v>
      </c>
      <c r="AY277" s="94">
        <f t="shared" si="1393"/>
        <v>0</v>
      </c>
      <c r="AZ277" s="433">
        <f>-BU277</f>
        <v>0</v>
      </c>
      <c r="BA277" s="657">
        <v>-9.3551970000000004</v>
      </c>
      <c r="BB277" s="327">
        <v>-9.3551970000000004</v>
      </c>
      <c r="BC277" s="207">
        <v>0</v>
      </c>
      <c r="BD277" s="389">
        <v>0</v>
      </c>
      <c r="BE277" s="389">
        <v>0</v>
      </c>
      <c r="BF277" s="516">
        <v>0</v>
      </c>
      <c r="BG277" s="207">
        <v>0</v>
      </c>
      <c r="BH277" s="207">
        <v>0</v>
      </c>
      <c r="BI277" s="389">
        <v>0</v>
      </c>
      <c r="BJ277" s="516">
        <v>0</v>
      </c>
      <c r="BK277" s="516">
        <v>0</v>
      </c>
      <c r="BL277" s="516">
        <v>0</v>
      </c>
      <c r="BM277" s="516">
        <v>0</v>
      </c>
      <c r="BN277" s="409">
        <v>0</v>
      </c>
      <c r="BO277" s="207">
        <v>0</v>
      </c>
      <c r="BP277" s="389">
        <v>0</v>
      </c>
      <c r="BQ277" s="389">
        <v>0</v>
      </c>
      <c r="BR277" s="389">
        <v>0</v>
      </c>
      <c r="BS277" s="296">
        <v>0</v>
      </c>
      <c r="BT277" s="296">
        <v>0</v>
      </c>
      <c r="BU277" s="296">
        <v>0</v>
      </c>
      <c r="BV277" s="409">
        <v>0</v>
      </c>
      <c r="BW277" s="1011">
        <f t="shared" ref="BW277:BW278" si="1419">-BV277</f>
        <v>0</v>
      </c>
      <c r="BX277" s="439" t="s">
        <v>412</v>
      </c>
    </row>
    <row r="278" spans="1:76" ht="101.45" hidden="1" customHeight="1" outlineLevel="1" x14ac:dyDescent="0.25">
      <c r="A278" s="417">
        <v>15</v>
      </c>
      <c r="B278" s="702" t="s">
        <v>221</v>
      </c>
      <c r="C278" s="694" t="s">
        <v>221</v>
      </c>
      <c r="D278" s="63">
        <v>44343</v>
      </c>
      <c r="E278" s="463" t="s">
        <v>1439</v>
      </c>
      <c r="F278" s="542" t="s">
        <v>1438</v>
      </c>
      <c r="G278" s="242" t="s">
        <v>23</v>
      </c>
      <c r="H278" s="311" t="s">
        <v>127</v>
      </c>
      <c r="I278" s="335"/>
      <c r="J278" s="294">
        <f t="shared" si="1329"/>
        <v>0</v>
      </c>
      <c r="K278" s="52">
        <f t="shared" si="1330"/>
        <v>0</v>
      </c>
      <c r="L278" s="52">
        <f t="shared" si="1331"/>
        <v>3.5051172257590598E-4</v>
      </c>
      <c r="M278" s="52">
        <f t="shared" si="1332"/>
        <v>3.651291237419736E-4</v>
      </c>
      <c r="N278" s="52">
        <f t="shared" si="1398"/>
        <v>3.4095696507330882E-4</v>
      </c>
      <c r="O278" s="52">
        <f t="shared" si="1334"/>
        <v>0</v>
      </c>
      <c r="P278" s="52">
        <f t="shared" si="1335"/>
        <v>0</v>
      </c>
      <c r="Q278" s="52">
        <f t="shared" si="1336"/>
        <v>0</v>
      </c>
      <c r="R278" s="52">
        <f t="shared" si="1337"/>
        <v>0</v>
      </c>
      <c r="S278" s="527">
        <f t="shared" si="1338"/>
        <v>0</v>
      </c>
      <c r="T278" s="533">
        <f t="shared" si="1339"/>
        <v>0</v>
      </c>
      <c r="U278" s="375">
        <f t="shared" si="1340"/>
        <v>0</v>
      </c>
      <c r="V278" s="375">
        <f t="shared" si="1341"/>
        <v>-3.5051172257590598E-4</v>
      </c>
      <c r="W278" s="386">
        <f t="shared" si="1342"/>
        <v>0</v>
      </c>
      <c r="X278" s="386">
        <f t="shared" si="1343"/>
        <v>-3.651291237419736E-4</v>
      </c>
      <c r="Y278" s="386">
        <f t="shared" si="1415"/>
        <v>-3.651291237419736E-4</v>
      </c>
      <c r="Z278" s="375">
        <f t="shared" si="1406"/>
        <v>-3.4095696507330882E-4</v>
      </c>
      <c r="AA278" s="375">
        <f t="shared" si="1346"/>
        <v>0</v>
      </c>
      <c r="AB278" s="386">
        <f t="shared" si="1347"/>
        <v>0</v>
      </c>
      <c r="AC278" s="386">
        <f t="shared" si="1382"/>
        <v>0</v>
      </c>
      <c r="AD278" s="386">
        <f t="shared" si="1383"/>
        <v>0</v>
      </c>
      <c r="AE278" s="386">
        <f t="shared" si="1384"/>
        <v>0</v>
      </c>
      <c r="AF278" s="386">
        <f t="shared" si="1385"/>
        <v>0</v>
      </c>
      <c r="AG278" s="375">
        <f t="shared" si="1349"/>
        <v>0</v>
      </c>
      <c r="AH278" s="375">
        <f t="shared" si="1386"/>
        <v>0</v>
      </c>
      <c r="AI278" s="386">
        <f t="shared" si="1387"/>
        <v>0</v>
      </c>
      <c r="AJ278" s="386">
        <f t="shared" si="1388"/>
        <v>0</v>
      </c>
      <c r="AK278" s="386">
        <f t="shared" si="1389"/>
        <v>0</v>
      </c>
      <c r="AL278" s="377">
        <f t="shared" si="1351"/>
        <v>0</v>
      </c>
      <c r="AM278" s="377">
        <f t="shared" si="1352"/>
        <v>0</v>
      </c>
      <c r="AN278" s="377">
        <f t="shared" si="1353"/>
        <v>0</v>
      </c>
      <c r="AO278" s="283"/>
      <c r="AP278" s="295">
        <f t="shared" si="1354"/>
        <v>11.451919</v>
      </c>
      <c r="AQ278" s="20">
        <f t="shared" si="1416"/>
        <v>0</v>
      </c>
      <c r="AR278" s="95">
        <f t="shared" si="1417"/>
        <v>0</v>
      </c>
      <c r="AS278" s="94">
        <f t="shared" si="1418"/>
        <v>11.451919</v>
      </c>
      <c r="AT278" s="94">
        <f t="shared" si="1356"/>
        <v>11.451919</v>
      </c>
      <c r="AU278" s="94">
        <f t="shared" si="1357"/>
        <v>11.451919</v>
      </c>
      <c r="AV278" s="94">
        <f t="shared" si="1358"/>
        <v>0</v>
      </c>
      <c r="AW278" s="94">
        <f t="shared" ref="AW278" si="1420">-BH278</f>
        <v>0</v>
      </c>
      <c r="AX278" s="94">
        <f t="shared" si="1360"/>
        <v>0</v>
      </c>
      <c r="AY278" s="94">
        <f t="shared" ref="AY278" si="1421">-BO278</f>
        <v>0</v>
      </c>
      <c r="AZ278" s="433">
        <f t="shared" ref="AZ278" si="1422">-BU278</f>
        <v>0</v>
      </c>
      <c r="BA278" s="657">
        <v>0</v>
      </c>
      <c r="BB278" s="327">
        <v>0</v>
      </c>
      <c r="BC278" s="207">
        <v>-11.451919</v>
      </c>
      <c r="BD278" s="389">
        <v>0</v>
      </c>
      <c r="BE278" s="389">
        <v>-11.451919</v>
      </c>
      <c r="BF278" s="516">
        <v>-11.451919</v>
      </c>
      <c r="BG278" s="207">
        <v>-11.451919</v>
      </c>
      <c r="BH278" s="207">
        <v>0</v>
      </c>
      <c r="BI278" s="389">
        <v>0</v>
      </c>
      <c r="BJ278" s="516">
        <v>0</v>
      </c>
      <c r="BK278" s="516">
        <v>0</v>
      </c>
      <c r="BL278" s="516">
        <v>0</v>
      </c>
      <c r="BM278" s="516">
        <v>0</v>
      </c>
      <c r="BN278" s="409">
        <v>0</v>
      </c>
      <c r="BO278" s="207">
        <v>0</v>
      </c>
      <c r="BP278" s="389">
        <v>0</v>
      </c>
      <c r="BQ278" s="389">
        <v>0</v>
      </c>
      <c r="BR278" s="389">
        <v>0</v>
      </c>
      <c r="BS278" s="296">
        <v>0</v>
      </c>
      <c r="BT278" s="296">
        <v>0</v>
      </c>
      <c r="BU278" s="296">
        <v>0</v>
      </c>
      <c r="BV278" s="409">
        <v>0</v>
      </c>
      <c r="BW278" s="1011">
        <f t="shared" si="1419"/>
        <v>0</v>
      </c>
      <c r="BX278" s="439" t="s">
        <v>1428</v>
      </c>
    </row>
    <row r="279" spans="1:76" ht="161.44999999999999" hidden="1" customHeight="1" outlineLevel="1" x14ac:dyDescent="0.25">
      <c r="A279" s="417">
        <v>16</v>
      </c>
      <c r="B279" s="702" t="s">
        <v>221</v>
      </c>
      <c r="C279" s="694" t="s">
        <v>221</v>
      </c>
      <c r="D279" s="276">
        <v>44502</v>
      </c>
      <c r="E279" s="463" t="s">
        <v>1702</v>
      </c>
      <c r="F279" s="542" t="s">
        <v>1699</v>
      </c>
      <c r="G279" s="242" t="s">
        <v>23</v>
      </c>
      <c r="H279" s="311" t="s">
        <v>127</v>
      </c>
      <c r="I279" s="335"/>
      <c r="J279" s="294"/>
      <c r="K279" s="52">
        <f t="shared" ref="K279" si="1423">AR279/U$8</f>
        <v>0</v>
      </c>
      <c r="L279" s="52">
        <f t="shared" ref="L279" si="1424">AS279/V$8</f>
        <v>2.4365719882468167E-4</v>
      </c>
      <c r="M279" s="52">
        <f t="shared" ref="M279" si="1425">AT279/Y$8</f>
        <v>2.5381844249449753E-4</v>
      </c>
      <c r="N279" s="52">
        <f t="shared" ref="N279" si="1426">AU279/Z$8</f>
        <v>2.3701523709106871E-4</v>
      </c>
      <c r="O279" s="52">
        <f t="shared" si="1334"/>
        <v>0</v>
      </c>
      <c r="P279" s="52">
        <f t="shared" si="1335"/>
        <v>0</v>
      </c>
      <c r="Q279" s="52">
        <f t="shared" si="1336"/>
        <v>0</v>
      </c>
      <c r="R279" s="52">
        <f t="shared" si="1337"/>
        <v>0</v>
      </c>
      <c r="S279" s="527">
        <f t="shared" ref="S279" si="1427">AZ279/AN$8</f>
        <v>0</v>
      </c>
      <c r="T279" s="533">
        <f t="shared" ref="T279" si="1428">BA279/T$8</f>
        <v>0</v>
      </c>
      <c r="U279" s="375">
        <f t="shared" ref="U279" si="1429">BB279/U$8</f>
        <v>0</v>
      </c>
      <c r="V279" s="375">
        <f t="shared" ref="V279" si="1430">BC279/V$8</f>
        <v>-2.4365719882468167E-4</v>
      </c>
      <c r="W279" s="386">
        <f t="shared" ref="W279" si="1431">BD279/W$8</f>
        <v>0</v>
      </c>
      <c r="X279" s="386">
        <f t="shared" ref="X279" si="1432">BE279/X$8</f>
        <v>0</v>
      </c>
      <c r="Y279" s="386">
        <f t="shared" ref="Y279" si="1433">BF279/Y$8</f>
        <v>0</v>
      </c>
      <c r="Z279" s="375">
        <f t="shared" ref="Z279" si="1434">BG279/Z$8</f>
        <v>-2.3701523709106871E-4</v>
      </c>
      <c r="AA279" s="375">
        <f t="shared" ref="AA279" si="1435">BH279/AA$8</f>
        <v>0</v>
      </c>
      <c r="AB279" s="386">
        <f t="shared" ref="AB279" si="1436">BI279/AB$8</f>
        <v>0</v>
      </c>
      <c r="AC279" s="386">
        <f t="shared" si="1382"/>
        <v>0</v>
      </c>
      <c r="AD279" s="386">
        <f t="shared" si="1383"/>
        <v>0</v>
      </c>
      <c r="AE279" s="386">
        <f t="shared" si="1384"/>
        <v>0</v>
      </c>
      <c r="AF279" s="386">
        <f t="shared" si="1385"/>
        <v>0</v>
      </c>
      <c r="AG279" s="375">
        <f t="shared" si="1349"/>
        <v>0</v>
      </c>
      <c r="AH279" s="375">
        <f t="shared" si="1386"/>
        <v>0</v>
      </c>
      <c r="AI279" s="386">
        <f t="shared" si="1387"/>
        <v>0</v>
      </c>
      <c r="AJ279" s="386">
        <f t="shared" si="1388"/>
        <v>0</v>
      </c>
      <c r="AK279" s="386">
        <f t="shared" si="1389"/>
        <v>0</v>
      </c>
      <c r="AL279" s="377">
        <f t="shared" si="1351"/>
        <v>0</v>
      </c>
      <c r="AM279" s="377">
        <f t="shared" si="1352"/>
        <v>0</v>
      </c>
      <c r="AN279" s="377">
        <f t="shared" si="1353"/>
        <v>0</v>
      </c>
      <c r="AO279" s="283"/>
      <c r="AP279" s="295">
        <f t="shared" ref="AP279" si="1437">AR279+AU279+AZ279+AW279+AY279</f>
        <v>7.9607679999999998</v>
      </c>
      <c r="AQ279" s="20">
        <f t="shared" ref="AQ279:AS280" si="1438">-BA279</f>
        <v>0</v>
      </c>
      <c r="AR279" s="95">
        <f t="shared" si="1438"/>
        <v>0</v>
      </c>
      <c r="AS279" s="94">
        <f t="shared" si="1438"/>
        <v>7.9607679999999998</v>
      </c>
      <c r="AT279" s="94">
        <f t="shared" ref="AT279" si="1439">-BC279</f>
        <v>7.9607679999999998</v>
      </c>
      <c r="AU279" s="94">
        <f t="shared" ref="AU279" si="1440">-BG279</f>
        <v>7.9607679999999998</v>
      </c>
      <c r="AV279" s="94">
        <f t="shared" si="1358"/>
        <v>0</v>
      </c>
      <c r="AW279" s="94">
        <f>-BH279</f>
        <v>0</v>
      </c>
      <c r="AX279" s="94">
        <f t="shared" si="1360"/>
        <v>0</v>
      </c>
      <c r="AY279" s="94">
        <f>-BO279</f>
        <v>0</v>
      </c>
      <c r="AZ279" s="433">
        <f>-BU279</f>
        <v>0</v>
      </c>
      <c r="BA279" s="657">
        <v>0</v>
      </c>
      <c r="BB279" s="327">
        <v>0</v>
      </c>
      <c r="BC279" s="207">
        <f>-7.960768</f>
        <v>-7.9607679999999998</v>
      </c>
      <c r="BD279" s="389">
        <v>0</v>
      </c>
      <c r="BE279" s="389">
        <v>0</v>
      </c>
      <c r="BF279" s="516">
        <v>0</v>
      </c>
      <c r="BG279" s="207">
        <v>-7.9607679999999998</v>
      </c>
      <c r="BH279" s="207">
        <v>0</v>
      </c>
      <c r="BI279" s="389">
        <v>0</v>
      </c>
      <c r="BJ279" s="516">
        <v>0</v>
      </c>
      <c r="BK279" s="516">
        <v>0</v>
      </c>
      <c r="BL279" s="516">
        <v>0</v>
      </c>
      <c r="BM279" s="516">
        <v>0</v>
      </c>
      <c r="BN279" s="409">
        <v>0</v>
      </c>
      <c r="BO279" s="207">
        <v>0</v>
      </c>
      <c r="BP279" s="389">
        <v>0</v>
      </c>
      <c r="BQ279" s="389">
        <v>0</v>
      </c>
      <c r="BR279" s="389">
        <v>0</v>
      </c>
      <c r="BS279" s="296">
        <v>0</v>
      </c>
      <c r="BT279" s="296">
        <v>0</v>
      </c>
      <c r="BU279" s="296">
        <v>0</v>
      </c>
      <c r="BV279" s="409">
        <v>0</v>
      </c>
      <c r="BW279" s="1011">
        <f>-BV279</f>
        <v>0</v>
      </c>
      <c r="BX279" s="439" t="s">
        <v>1698</v>
      </c>
    </row>
    <row r="280" spans="1:76" ht="103.5" hidden="1" customHeight="1" outlineLevel="1" x14ac:dyDescent="0.25">
      <c r="A280" s="417">
        <v>18</v>
      </c>
      <c r="B280" s="702" t="s">
        <v>35</v>
      </c>
      <c r="C280" s="694" t="s">
        <v>35</v>
      </c>
      <c r="D280" s="715" t="s">
        <v>2104</v>
      </c>
      <c r="E280" s="463" t="s">
        <v>2103</v>
      </c>
      <c r="F280" s="717" t="s">
        <v>1591</v>
      </c>
      <c r="G280" s="242" t="s">
        <v>23</v>
      </c>
      <c r="H280" s="311" t="s">
        <v>127</v>
      </c>
      <c r="I280" s="335"/>
      <c r="J280" s="294">
        <f t="shared" si="1329"/>
        <v>0</v>
      </c>
      <c r="K280" s="52">
        <f t="shared" si="1330"/>
        <v>0</v>
      </c>
      <c r="L280" s="52">
        <f t="shared" si="1331"/>
        <v>2.4365719882468167E-4</v>
      </c>
      <c r="M280" s="52">
        <f t="shared" si="1332"/>
        <v>2.5381844249449753E-4</v>
      </c>
      <c r="N280" s="52">
        <f t="shared" si="1398"/>
        <v>0</v>
      </c>
      <c r="O280" s="52">
        <f t="shared" si="1334"/>
        <v>1.1410074999702595E-3</v>
      </c>
      <c r="P280" s="52">
        <f t="shared" si="1335"/>
        <v>1.1730043210327779E-3</v>
      </c>
      <c r="Q280" s="52">
        <f t="shared" si="1336"/>
        <v>1.1410074999702595E-3</v>
      </c>
      <c r="R280" s="52">
        <f t="shared" si="1337"/>
        <v>0</v>
      </c>
      <c r="S280" s="527">
        <f t="shared" si="1338"/>
        <v>0</v>
      </c>
      <c r="T280" s="533">
        <f t="shared" si="1339"/>
        <v>0</v>
      </c>
      <c r="U280" s="375">
        <f t="shared" si="1340"/>
        <v>0</v>
      </c>
      <c r="V280" s="375">
        <f t="shared" si="1341"/>
        <v>-2.4365719882468167E-4</v>
      </c>
      <c r="W280" s="386">
        <f t="shared" si="1342"/>
        <v>0</v>
      </c>
      <c r="X280" s="386">
        <f t="shared" si="1343"/>
        <v>0</v>
      </c>
      <c r="Y280" s="386">
        <f t="shared" si="1415"/>
        <v>0</v>
      </c>
      <c r="Z280" s="375">
        <f t="shared" si="1406"/>
        <v>0</v>
      </c>
      <c r="AA280" s="375">
        <f t="shared" si="1346"/>
        <v>-1.1410074999702595E-3</v>
      </c>
      <c r="AB280" s="386">
        <f t="shared" si="1347"/>
        <v>0</v>
      </c>
      <c r="AC280" s="386">
        <f t="shared" si="1382"/>
        <v>0</v>
      </c>
      <c r="AD280" s="386">
        <f t="shared" si="1383"/>
        <v>0</v>
      </c>
      <c r="AE280" s="386">
        <f t="shared" si="1384"/>
        <v>-1.1730043210327779E-3</v>
      </c>
      <c r="AF280" s="386">
        <f t="shared" si="1385"/>
        <v>-1.1410074999702595E-3</v>
      </c>
      <c r="AG280" s="375">
        <f t="shared" si="1349"/>
        <v>-1.1514625378188275E-3</v>
      </c>
      <c r="AH280" s="375">
        <f t="shared" si="1386"/>
        <v>0</v>
      </c>
      <c r="AI280" s="386">
        <f t="shared" si="1387"/>
        <v>0</v>
      </c>
      <c r="AJ280" s="386">
        <f t="shared" si="1388"/>
        <v>0</v>
      </c>
      <c r="AK280" s="386">
        <f t="shared" si="1389"/>
        <v>0</v>
      </c>
      <c r="AL280" s="377">
        <f t="shared" si="1351"/>
        <v>0</v>
      </c>
      <c r="AM280" s="377">
        <f t="shared" si="1352"/>
        <v>0</v>
      </c>
      <c r="AN280" s="377">
        <f t="shared" si="1353"/>
        <v>0</v>
      </c>
      <c r="AO280" s="283"/>
      <c r="AP280" s="295">
        <f t="shared" si="1354"/>
        <v>45</v>
      </c>
      <c r="AQ280" s="20">
        <f t="shared" si="1438"/>
        <v>0</v>
      </c>
      <c r="AR280" s="95">
        <f t="shared" si="1438"/>
        <v>0</v>
      </c>
      <c r="AS280" s="94">
        <f t="shared" si="1438"/>
        <v>7.9607679999999998</v>
      </c>
      <c r="AT280" s="94">
        <f t="shared" si="1356"/>
        <v>7.9607679999999998</v>
      </c>
      <c r="AU280" s="94">
        <f t="shared" si="1357"/>
        <v>0</v>
      </c>
      <c r="AV280" s="94">
        <f t="shared" si="1358"/>
        <v>45</v>
      </c>
      <c r="AW280" s="94">
        <f>-BH280</f>
        <v>45</v>
      </c>
      <c r="AX280" s="94">
        <f t="shared" si="1360"/>
        <v>45</v>
      </c>
      <c r="AY280" s="94">
        <f>-BO280</f>
        <v>0</v>
      </c>
      <c r="AZ280" s="433">
        <f>-BU280</f>
        <v>0</v>
      </c>
      <c r="BA280" s="657">
        <v>0</v>
      </c>
      <c r="BB280" s="327">
        <v>0</v>
      </c>
      <c r="BC280" s="207">
        <f>-7.960768</f>
        <v>-7.9607679999999998</v>
      </c>
      <c r="BD280" s="389">
        <v>0</v>
      </c>
      <c r="BE280" s="389">
        <v>0</v>
      </c>
      <c r="BF280" s="516">
        <v>0</v>
      </c>
      <c r="BG280" s="207">
        <v>0</v>
      </c>
      <c r="BH280" s="207">
        <f>-45</f>
        <v>-45</v>
      </c>
      <c r="BI280" s="389">
        <v>0</v>
      </c>
      <c r="BJ280" s="516">
        <v>0</v>
      </c>
      <c r="BK280" s="516">
        <v>0</v>
      </c>
      <c r="BL280" s="516">
        <v>-45</v>
      </c>
      <c r="BM280" s="516">
        <v>-45</v>
      </c>
      <c r="BN280" s="713">
        <f>-45</f>
        <v>-45</v>
      </c>
      <c r="BO280" s="207">
        <v>0</v>
      </c>
      <c r="BP280" s="389">
        <v>0</v>
      </c>
      <c r="BQ280" s="389">
        <v>0</v>
      </c>
      <c r="BR280" s="389">
        <v>0</v>
      </c>
      <c r="BS280" s="296">
        <v>0</v>
      </c>
      <c r="BT280" s="296">
        <v>0</v>
      </c>
      <c r="BU280" s="296">
        <v>0</v>
      </c>
      <c r="BV280" s="713">
        <v>0</v>
      </c>
      <c r="BW280" s="1011">
        <f>-BV280</f>
        <v>0</v>
      </c>
      <c r="BX280" s="439" t="s">
        <v>2105</v>
      </c>
    </row>
    <row r="281" spans="1:76" ht="18.75" collapsed="1" x14ac:dyDescent="0.25">
      <c r="A281" s="467">
        <v>3</v>
      </c>
      <c r="B281" s="708" t="s">
        <v>1726</v>
      </c>
      <c r="C281" s="689"/>
      <c r="D281" s="348"/>
      <c r="E281" s="460"/>
      <c r="F281" s="540"/>
      <c r="G281" s="400" t="s">
        <v>1730</v>
      </c>
      <c r="H281" s="401" t="s">
        <v>1730</v>
      </c>
      <c r="I281" s="349"/>
      <c r="J281" s="379">
        <f t="shared" ref="J281:AN281" si="1441">SUM(J282:J315)</f>
        <v>7.8747084486060874E-4</v>
      </c>
      <c r="K281" s="380">
        <f t="shared" si="1441"/>
        <v>7.2808962949649021E-4</v>
      </c>
      <c r="L281" s="380">
        <f t="shared" si="1441"/>
        <v>1.5110105595004895E-3</v>
      </c>
      <c r="M281" s="380">
        <f t="shared" si="1441"/>
        <v>1.5740242794185157E-3</v>
      </c>
      <c r="N281" s="380">
        <f>SUM(N282:N315)</f>
        <v>1.0986716250075662E-3</v>
      </c>
      <c r="O281" s="380">
        <f t="shared" ref="O281:P281" si="1442">SUM(O282:O315)</f>
        <v>4.0859085560240562E-4</v>
      </c>
      <c r="P281" s="380">
        <f t="shared" si="1442"/>
        <v>4.2004880701362082E-4</v>
      </c>
      <c r="Q281" s="380">
        <f t="shared" ref="Q281" si="1443">SUM(Q282:Q315)</f>
        <v>4.0582190931292227E-4</v>
      </c>
      <c r="R281" s="380">
        <f t="shared" si="1441"/>
        <v>0</v>
      </c>
      <c r="S281" s="381">
        <f t="shared" si="1441"/>
        <v>0</v>
      </c>
      <c r="T281" s="379">
        <f t="shared" si="1441"/>
        <v>-7.8747084486060874E-4</v>
      </c>
      <c r="U281" s="380">
        <f t="shared" si="1441"/>
        <v>-7.2808962949649021E-4</v>
      </c>
      <c r="V281" s="380">
        <f t="shared" si="1441"/>
        <v>-1.5110105595004895E-3</v>
      </c>
      <c r="W281" s="385">
        <f t="shared" si="1441"/>
        <v>-1.1581668633786658E-3</v>
      </c>
      <c r="X281" s="385">
        <f t="shared" si="1441"/>
        <v>-3.1748235661090054E-3</v>
      </c>
      <c r="Y281" s="385">
        <f t="shared" si="1441"/>
        <v>-1.6444077519895777E-3</v>
      </c>
      <c r="Z281" s="380">
        <f t="shared" si="1441"/>
        <v>-1.0986716250075662E-3</v>
      </c>
      <c r="AA281" s="380">
        <f t="shared" si="1441"/>
        <v>-4.0859085560240562E-4</v>
      </c>
      <c r="AB281" s="385">
        <f t="shared" si="1441"/>
        <v>0</v>
      </c>
      <c r="AC281" s="385">
        <f t="shared" si="1441"/>
        <v>0</v>
      </c>
      <c r="AD281" s="385">
        <f t="shared" ref="AD281" si="1444">SUM(AD282:AD315)</f>
        <v>-2.1455744688914612E-4</v>
      </c>
      <c r="AE281" s="385">
        <f t="shared" si="1441"/>
        <v>-4.2004880701362082E-4</v>
      </c>
      <c r="AF281" s="385">
        <f t="shared" ref="AF281:AG281" si="1445">SUM(AF282:AF315)</f>
        <v>-4.0859085560240562E-4</v>
      </c>
      <c r="AG281" s="380">
        <f t="shared" si="1445"/>
        <v>-4.0954045053351475E-4</v>
      </c>
      <c r="AH281" s="380">
        <f t="shared" ref="AH281:AI281" si="1446">SUM(AH282:AH315)</f>
        <v>0</v>
      </c>
      <c r="AI281" s="385">
        <f t="shared" si="1446"/>
        <v>0</v>
      </c>
      <c r="AJ281" s="385">
        <f t="shared" ref="AJ281:AM281" si="1447">SUM(AJ282:AJ315)</f>
        <v>0</v>
      </c>
      <c r="AK281" s="385">
        <f t="shared" si="1447"/>
        <v>0</v>
      </c>
      <c r="AL281" s="381">
        <f t="shared" si="1447"/>
        <v>0</v>
      </c>
      <c r="AM281" s="381">
        <f t="shared" si="1447"/>
        <v>0</v>
      </c>
      <c r="AN281" s="381">
        <f t="shared" si="1441"/>
        <v>0</v>
      </c>
      <c r="AO281" s="403"/>
      <c r="AP281" s="350">
        <f t="shared" ref="AP281:BW281" si="1448">SUM(AP282:AP315)</f>
        <v>75.072845000000001</v>
      </c>
      <c r="AQ281" s="382">
        <f t="shared" si="1448"/>
        <v>22.201953</v>
      </c>
      <c r="AR281" s="382">
        <f t="shared" si="1448"/>
        <v>22.05678</v>
      </c>
      <c r="AS281" s="382">
        <f t="shared" si="1448"/>
        <v>49.367737000000005</v>
      </c>
      <c r="AT281" s="382">
        <f t="shared" si="1448"/>
        <v>49.367737000000005</v>
      </c>
      <c r="AU281" s="382">
        <f t="shared" si="1448"/>
        <v>36.901719999999997</v>
      </c>
      <c r="AV281" s="382">
        <f t="shared" ref="AV281" si="1449">SUM(AV282:AV315)</f>
        <v>16.114344999999997</v>
      </c>
      <c r="AW281" s="382">
        <f t="shared" si="1448"/>
        <v>16.114344999999997</v>
      </c>
      <c r="AX281" s="382">
        <f t="shared" ref="AX281" si="1450">SUM(AX282:AX315)</f>
        <v>16.005141000000002</v>
      </c>
      <c r="AY281" s="382">
        <f t="shared" si="1448"/>
        <v>0</v>
      </c>
      <c r="AZ281" s="383">
        <f t="shared" si="1448"/>
        <v>0</v>
      </c>
      <c r="BA281" s="656">
        <f t="shared" si="1448"/>
        <v>-22.201953</v>
      </c>
      <c r="BB281" s="350">
        <f t="shared" si="1448"/>
        <v>-22.05678</v>
      </c>
      <c r="BC281" s="382">
        <f t="shared" si="1448"/>
        <v>-49.367737000000005</v>
      </c>
      <c r="BD281" s="387">
        <f t="shared" si="1448"/>
        <v>-35.473374999999997</v>
      </c>
      <c r="BE281" s="387">
        <f t="shared" si="1448"/>
        <v>-99.575245999999993</v>
      </c>
      <c r="BF281" s="651">
        <f t="shared" si="1448"/>
        <v>-51.575246</v>
      </c>
      <c r="BG281" s="360">
        <f t="shared" si="1448"/>
        <v>-36.901719999999997</v>
      </c>
      <c r="BH281" s="382">
        <f t="shared" si="1448"/>
        <v>-16.114344999999997</v>
      </c>
      <c r="BI281" s="387">
        <f t="shared" si="1448"/>
        <v>0</v>
      </c>
      <c r="BJ281" s="515">
        <f t="shared" si="1448"/>
        <v>0</v>
      </c>
      <c r="BK281" s="515">
        <f t="shared" si="1448"/>
        <v>-7.2996239999999997</v>
      </c>
      <c r="BL281" s="515">
        <f t="shared" ref="BL281:BN281" si="1451">SUM(BL282:BL315)</f>
        <v>-16.114344999999997</v>
      </c>
      <c r="BM281" s="515">
        <f t="shared" si="1451"/>
        <v>-16.114344999999997</v>
      </c>
      <c r="BN281" s="350">
        <f t="shared" si="1451"/>
        <v>-16.005141000000002</v>
      </c>
      <c r="BO281" s="382">
        <f t="shared" si="1448"/>
        <v>0</v>
      </c>
      <c r="BP281" s="387">
        <f t="shared" ref="BP281:BQ281" si="1452">SUM(BP282:BP315)</f>
        <v>0</v>
      </c>
      <c r="BQ281" s="387">
        <f t="shared" si="1452"/>
        <v>0</v>
      </c>
      <c r="BR281" s="387">
        <f t="shared" ref="BR281:BT281" si="1453">SUM(BR282:BR315)</f>
        <v>0</v>
      </c>
      <c r="BS281" s="383">
        <f t="shared" si="1453"/>
        <v>0</v>
      </c>
      <c r="BT281" s="383">
        <f t="shared" si="1453"/>
        <v>0</v>
      </c>
      <c r="BU281" s="383">
        <f t="shared" si="1448"/>
        <v>0</v>
      </c>
      <c r="BV281" s="350">
        <f t="shared" si="1448"/>
        <v>0</v>
      </c>
      <c r="BW281" s="1024">
        <f t="shared" si="1448"/>
        <v>0</v>
      </c>
      <c r="BX281" s="351"/>
    </row>
    <row r="282" spans="1:76" ht="57.95" hidden="1" customHeight="1" outlineLevel="1" x14ac:dyDescent="0.25">
      <c r="A282" s="678">
        <v>1</v>
      </c>
      <c r="B282" s="702" t="s">
        <v>68</v>
      </c>
      <c r="C282" s="694" t="s">
        <v>68</v>
      </c>
      <c r="D282" s="86" t="s">
        <v>648</v>
      </c>
      <c r="E282" s="463" t="s">
        <v>649</v>
      </c>
      <c r="F282" s="542" t="s">
        <v>228</v>
      </c>
      <c r="G282" s="71" t="s">
        <v>25</v>
      </c>
      <c r="H282" s="311" t="s">
        <v>129</v>
      </c>
      <c r="I282" s="335"/>
      <c r="J282" s="294">
        <f t="shared" ref="J282:J291" si="1454">AQ282/T$8</f>
        <v>1.2953394339221111E-5</v>
      </c>
      <c r="K282" s="52">
        <f t="shared" ref="K282:K291" si="1455">AR282/U$8</f>
        <v>1.205543861838193E-5</v>
      </c>
      <c r="L282" s="52">
        <f t="shared" ref="L282:L291" si="1456">AS282/V$8</f>
        <v>0</v>
      </c>
      <c r="M282" s="52">
        <f t="shared" ref="M282:M315" si="1457">AT282/Y$8</f>
        <v>0</v>
      </c>
      <c r="N282" s="52">
        <f t="shared" ref="N282:N315" si="1458">AU282/Z$8</f>
        <v>0</v>
      </c>
      <c r="O282" s="52">
        <f t="shared" ref="O282:O315" si="1459">AV282/AA$8</f>
        <v>0</v>
      </c>
      <c r="P282" s="52">
        <f t="shared" ref="P282:P315" si="1460">AW282/AE$8</f>
        <v>0</v>
      </c>
      <c r="Q282" s="52">
        <f t="shared" ref="Q282:Q315" si="1461">AX282/AF$8</f>
        <v>0</v>
      </c>
      <c r="R282" s="52">
        <f t="shared" ref="R282:R315" si="1462">AY282/AH$8</f>
        <v>0</v>
      </c>
      <c r="S282" s="527">
        <f t="shared" ref="S282:S291" si="1463">AZ282/AN$8</f>
        <v>0</v>
      </c>
      <c r="T282" s="533">
        <f t="shared" ref="T282:T315" si="1464">BA282/T$8</f>
        <v>-1.2953394339221111E-5</v>
      </c>
      <c r="U282" s="375">
        <f t="shared" ref="U282:U291" si="1465">BB282/U$8</f>
        <v>-1.205543861838193E-5</v>
      </c>
      <c r="V282" s="375">
        <f t="shared" ref="V282:V291" si="1466">BC282/V$8</f>
        <v>0</v>
      </c>
      <c r="W282" s="386">
        <f t="shared" ref="W282:W291" si="1467">BD282/W$8</f>
        <v>0</v>
      </c>
      <c r="X282" s="386">
        <f t="shared" ref="X282:X291" si="1468">BE282/X$8</f>
        <v>0</v>
      </c>
      <c r="Y282" s="386">
        <f t="shared" ref="Y282:Y291" si="1469">BF282/Y$8</f>
        <v>0</v>
      </c>
      <c r="Z282" s="375">
        <f t="shared" ref="Z282:Z291" si="1470">BG282/Z$8</f>
        <v>0</v>
      </c>
      <c r="AA282" s="375">
        <f t="shared" ref="AA282:AA291" si="1471">BH282/AA$8</f>
        <v>0</v>
      </c>
      <c r="AB282" s="386">
        <f t="shared" ref="AB282:AB291" si="1472">BI282/AB$8</f>
        <v>0</v>
      </c>
      <c r="AC282" s="386">
        <f t="shared" ref="AC282:AC315" si="1473">BJ282/AC$8</f>
        <v>0</v>
      </c>
      <c r="AD282" s="386">
        <f t="shared" ref="AD282:AD315" si="1474">BK282/AD$8</f>
        <v>0</v>
      </c>
      <c r="AE282" s="386">
        <f t="shared" ref="AE282:AE315" si="1475">BL282/AE$8</f>
        <v>0</v>
      </c>
      <c r="AF282" s="386">
        <f t="shared" ref="AF282:AF315" si="1476">BM282/AF$8</f>
        <v>0</v>
      </c>
      <c r="AG282" s="375">
        <f t="shared" ref="AG282:AG315" si="1477">BN282/AG$8</f>
        <v>0</v>
      </c>
      <c r="AH282" s="375">
        <f t="shared" ref="AH282:AH315" si="1478">BO282/AH$8</f>
        <v>0</v>
      </c>
      <c r="AI282" s="386">
        <f t="shared" ref="AI282:AI315" si="1479">BP282/AI$8</f>
        <v>0</v>
      </c>
      <c r="AJ282" s="386">
        <f t="shared" ref="AJ282:AJ315" si="1480">BQ282/AJ$8</f>
        <v>0</v>
      </c>
      <c r="AK282" s="386">
        <f t="shared" ref="AK282:AK315" si="1481">BR282/AK$8</f>
        <v>0</v>
      </c>
      <c r="AL282" s="377">
        <f t="shared" ref="AL282:AL315" si="1482">BS282/AL$8</f>
        <v>0</v>
      </c>
      <c r="AM282" s="377">
        <f t="shared" ref="AM282:AM315" si="1483">BT282/AM$8</f>
        <v>0</v>
      </c>
      <c r="AN282" s="377">
        <f t="shared" ref="AN282:AN315" si="1484">BU282/AN$8</f>
        <v>0</v>
      </c>
      <c r="AO282" s="283"/>
      <c r="AP282" s="295">
        <f>AR282+AU282+AZ282+AW282+AY282</f>
        <v>0.36520799999999998</v>
      </c>
      <c r="AQ282" s="183">
        <f t="shared" ref="AQ282:AS391" si="1485">-BA282</f>
        <v>0.36520799999999998</v>
      </c>
      <c r="AR282" s="94">
        <f t="shared" si="1485"/>
        <v>0.36520799999999998</v>
      </c>
      <c r="AS282" s="94">
        <f t="shared" si="1485"/>
        <v>0</v>
      </c>
      <c r="AT282" s="94">
        <f t="shared" ref="AT282:AT315" si="1486">-BC282</f>
        <v>0</v>
      </c>
      <c r="AU282" s="94">
        <f t="shared" ref="AU282:AU315" si="1487">-BG282</f>
        <v>0</v>
      </c>
      <c r="AV282" s="94">
        <f t="shared" ref="AV282:AV307" si="1488">-BH282</f>
        <v>0</v>
      </c>
      <c r="AW282" s="94">
        <f t="shared" ref="AW282:AW391" si="1489">-BH282</f>
        <v>0</v>
      </c>
      <c r="AX282" s="94">
        <f t="shared" ref="AX282:AX307" si="1490">-BN282</f>
        <v>0</v>
      </c>
      <c r="AY282" s="94">
        <f t="shared" ref="AY282:AY391" si="1491">-BO282</f>
        <v>0</v>
      </c>
      <c r="AZ282" s="433">
        <f t="shared" ref="AZ282:AZ391" si="1492">-BU282</f>
        <v>0</v>
      </c>
      <c r="BA282" s="657">
        <v>-0.36520799999999998</v>
      </c>
      <c r="BB282" s="327">
        <v>-0.36520799999999998</v>
      </c>
      <c r="BC282" s="207">
        <v>0</v>
      </c>
      <c r="BD282" s="389">
        <v>0</v>
      </c>
      <c r="BE282" s="389">
        <v>0</v>
      </c>
      <c r="BF282" s="516">
        <v>0</v>
      </c>
      <c r="BG282" s="207">
        <v>0</v>
      </c>
      <c r="BH282" s="207">
        <v>0</v>
      </c>
      <c r="BI282" s="389">
        <v>0</v>
      </c>
      <c r="BJ282" s="516">
        <v>0</v>
      </c>
      <c r="BK282" s="516">
        <v>0</v>
      </c>
      <c r="BL282" s="516">
        <v>0</v>
      </c>
      <c r="BM282" s="516">
        <v>0</v>
      </c>
      <c r="BN282" s="409">
        <v>0</v>
      </c>
      <c r="BO282" s="207">
        <v>0</v>
      </c>
      <c r="BP282" s="389">
        <v>0</v>
      </c>
      <c r="BQ282" s="389">
        <v>0</v>
      </c>
      <c r="BR282" s="389">
        <v>0</v>
      </c>
      <c r="BS282" s="296">
        <v>0</v>
      </c>
      <c r="BT282" s="296">
        <v>0</v>
      </c>
      <c r="BU282" s="296">
        <v>0</v>
      </c>
      <c r="BV282" s="409">
        <v>0</v>
      </c>
      <c r="BW282" s="296">
        <f t="shared" ref="BW282:BW404" si="1493">-BV282</f>
        <v>0</v>
      </c>
      <c r="BX282" s="439" t="s">
        <v>139</v>
      </c>
    </row>
    <row r="283" spans="1:76" ht="78.599999999999994" hidden="1" customHeight="1" outlineLevel="1" x14ac:dyDescent="0.25">
      <c r="A283" s="678">
        <v>2</v>
      </c>
      <c r="B283" s="702" t="s">
        <v>68</v>
      </c>
      <c r="C283" s="694" t="s">
        <v>68</v>
      </c>
      <c r="D283" s="86">
        <v>43909</v>
      </c>
      <c r="E283" s="463" t="s">
        <v>70</v>
      </c>
      <c r="F283" s="542" t="s">
        <v>335</v>
      </c>
      <c r="G283" s="95" t="s">
        <v>25</v>
      </c>
      <c r="H283" s="311" t="s">
        <v>129</v>
      </c>
      <c r="I283" s="335"/>
      <c r="J283" s="294">
        <f t="shared" si="1454"/>
        <v>7.2057884656309858E-6</v>
      </c>
      <c r="K283" s="52">
        <f t="shared" si="1455"/>
        <v>6.7062685092070077E-6</v>
      </c>
      <c r="L283" s="52">
        <f t="shared" si="1456"/>
        <v>0</v>
      </c>
      <c r="M283" s="52">
        <f t="shared" si="1457"/>
        <v>0</v>
      </c>
      <c r="N283" s="52">
        <f t="shared" si="1458"/>
        <v>0</v>
      </c>
      <c r="O283" s="52">
        <f t="shared" si="1459"/>
        <v>0</v>
      </c>
      <c r="P283" s="52">
        <f t="shared" si="1460"/>
        <v>0</v>
      </c>
      <c r="Q283" s="52">
        <f t="shared" si="1461"/>
        <v>0</v>
      </c>
      <c r="R283" s="52">
        <f t="shared" si="1462"/>
        <v>0</v>
      </c>
      <c r="S283" s="527">
        <f t="shared" si="1463"/>
        <v>0</v>
      </c>
      <c r="T283" s="533">
        <f t="shared" si="1464"/>
        <v>-7.2057884656309858E-6</v>
      </c>
      <c r="U283" s="375">
        <f t="shared" si="1465"/>
        <v>-6.7062685092070077E-6</v>
      </c>
      <c r="V283" s="375">
        <f t="shared" si="1466"/>
        <v>0</v>
      </c>
      <c r="W283" s="386">
        <f t="shared" si="1467"/>
        <v>0</v>
      </c>
      <c r="X283" s="386">
        <f t="shared" si="1468"/>
        <v>0</v>
      </c>
      <c r="Y283" s="386">
        <f t="shared" si="1469"/>
        <v>0</v>
      </c>
      <c r="Z283" s="375">
        <f t="shared" si="1470"/>
        <v>0</v>
      </c>
      <c r="AA283" s="375">
        <f t="shared" si="1471"/>
        <v>0</v>
      </c>
      <c r="AB283" s="386">
        <f t="shared" si="1472"/>
        <v>0</v>
      </c>
      <c r="AC283" s="386">
        <f t="shared" si="1473"/>
        <v>0</v>
      </c>
      <c r="AD283" s="386">
        <f t="shared" si="1474"/>
        <v>0</v>
      </c>
      <c r="AE283" s="386">
        <f t="shared" si="1475"/>
        <v>0</v>
      </c>
      <c r="AF283" s="386">
        <f t="shared" si="1476"/>
        <v>0</v>
      </c>
      <c r="AG283" s="375">
        <f t="shared" si="1477"/>
        <v>0</v>
      </c>
      <c r="AH283" s="375">
        <f t="shared" si="1478"/>
        <v>0</v>
      </c>
      <c r="AI283" s="386">
        <f t="shared" si="1479"/>
        <v>0</v>
      </c>
      <c r="AJ283" s="386">
        <f t="shared" si="1480"/>
        <v>0</v>
      </c>
      <c r="AK283" s="386">
        <f t="shared" si="1481"/>
        <v>0</v>
      </c>
      <c r="AL283" s="377">
        <f t="shared" si="1482"/>
        <v>0</v>
      </c>
      <c r="AM283" s="377">
        <f t="shared" si="1483"/>
        <v>0</v>
      </c>
      <c r="AN283" s="377">
        <f t="shared" si="1484"/>
        <v>0</v>
      </c>
      <c r="AO283" s="283"/>
      <c r="AP283" s="295">
        <f t="shared" ref="AP283:AP291" si="1494">AR283+AU283+AZ283+AW283+AY283</f>
        <v>0.20316000000000001</v>
      </c>
      <c r="AQ283" s="183">
        <f t="shared" si="1485"/>
        <v>0.20316000000000001</v>
      </c>
      <c r="AR283" s="94">
        <f t="shared" si="1485"/>
        <v>0.20316000000000001</v>
      </c>
      <c r="AS283" s="94">
        <f t="shared" si="1485"/>
        <v>0</v>
      </c>
      <c r="AT283" s="94">
        <f t="shared" si="1486"/>
        <v>0</v>
      </c>
      <c r="AU283" s="94">
        <f t="shared" si="1487"/>
        <v>0</v>
      </c>
      <c r="AV283" s="94">
        <f t="shared" si="1488"/>
        <v>0</v>
      </c>
      <c r="AW283" s="94">
        <f t="shared" si="1489"/>
        <v>0</v>
      </c>
      <c r="AX283" s="94">
        <f t="shared" si="1490"/>
        <v>0</v>
      </c>
      <c r="AY283" s="94">
        <f t="shared" si="1491"/>
        <v>0</v>
      </c>
      <c r="AZ283" s="433">
        <f t="shared" si="1492"/>
        <v>0</v>
      </c>
      <c r="BA283" s="1008">
        <v>-0.20316000000000001</v>
      </c>
      <c r="BB283" s="409">
        <v>-0.20316000000000001</v>
      </c>
      <c r="BC283" s="207">
        <v>0</v>
      </c>
      <c r="BD283" s="389">
        <v>0</v>
      </c>
      <c r="BE283" s="389">
        <v>0</v>
      </c>
      <c r="BF283" s="516">
        <v>0</v>
      </c>
      <c r="BG283" s="207">
        <v>0</v>
      </c>
      <c r="BH283" s="207">
        <v>0</v>
      </c>
      <c r="BI283" s="389">
        <v>0</v>
      </c>
      <c r="BJ283" s="516">
        <v>0</v>
      </c>
      <c r="BK283" s="516">
        <v>0</v>
      </c>
      <c r="BL283" s="516">
        <v>0</v>
      </c>
      <c r="BM283" s="516">
        <v>0</v>
      </c>
      <c r="BN283" s="409">
        <v>0</v>
      </c>
      <c r="BO283" s="207">
        <v>0</v>
      </c>
      <c r="BP283" s="389">
        <v>0</v>
      </c>
      <c r="BQ283" s="389">
        <v>0</v>
      </c>
      <c r="BR283" s="389">
        <v>0</v>
      </c>
      <c r="BS283" s="296">
        <v>0</v>
      </c>
      <c r="BT283" s="296">
        <v>0</v>
      </c>
      <c r="BU283" s="296">
        <v>0</v>
      </c>
      <c r="BV283" s="409">
        <v>0</v>
      </c>
      <c r="BW283" s="296">
        <f t="shared" si="1493"/>
        <v>0</v>
      </c>
      <c r="BX283" s="439" t="s">
        <v>140</v>
      </c>
    </row>
    <row r="284" spans="1:76" ht="93.6" hidden="1" customHeight="1" outlineLevel="1" x14ac:dyDescent="0.25">
      <c r="A284" s="678">
        <v>3</v>
      </c>
      <c r="B284" s="702" t="s">
        <v>68</v>
      </c>
      <c r="C284" s="694" t="s">
        <v>68</v>
      </c>
      <c r="D284" s="86">
        <v>43914</v>
      </c>
      <c r="E284" s="325" t="s">
        <v>80</v>
      </c>
      <c r="F284" s="542" t="s">
        <v>73</v>
      </c>
      <c r="G284" s="95" t="s">
        <v>25</v>
      </c>
      <c r="H284" s="311" t="s">
        <v>129</v>
      </c>
      <c r="I284" s="335"/>
      <c r="J284" s="294">
        <f t="shared" si="1454"/>
        <v>8.2844576860324897E-6</v>
      </c>
      <c r="K284" s="52">
        <f t="shared" si="1455"/>
        <v>7.7101621787384299E-6</v>
      </c>
      <c r="L284" s="52">
        <f t="shared" si="1456"/>
        <v>0</v>
      </c>
      <c r="M284" s="52">
        <f t="shared" si="1457"/>
        <v>0</v>
      </c>
      <c r="N284" s="52">
        <f t="shared" si="1458"/>
        <v>0</v>
      </c>
      <c r="O284" s="52">
        <f t="shared" si="1459"/>
        <v>0</v>
      </c>
      <c r="P284" s="52">
        <f t="shared" si="1460"/>
        <v>0</v>
      </c>
      <c r="Q284" s="52">
        <f t="shared" si="1461"/>
        <v>0</v>
      </c>
      <c r="R284" s="52">
        <f t="shared" si="1462"/>
        <v>0</v>
      </c>
      <c r="S284" s="527">
        <f t="shared" si="1463"/>
        <v>0</v>
      </c>
      <c r="T284" s="533">
        <f t="shared" si="1464"/>
        <v>-8.2844576860324897E-6</v>
      </c>
      <c r="U284" s="375">
        <f t="shared" si="1465"/>
        <v>-7.7101621787384299E-6</v>
      </c>
      <c r="V284" s="375">
        <f t="shared" si="1466"/>
        <v>0</v>
      </c>
      <c r="W284" s="386">
        <f t="shared" si="1467"/>
        <v>0</v>
      </c>
      <c r="X284" s="386">
        <f t="shared" si="1468"/>
        <v>0</v>
      </c>
      <c r="Y284" s="386">
        <f t="shared" si="1469"/>
        <v>0</v>
      </c>
      <c r="Z284" s="375">
        <f t="shared" si="1470"/>
        <v>0</v>
      </c>
      <c r="AA284" s="375">
        <f t="shared" si="1471"/>
        <v>0</v>
      </c>
      <c r="AB284" s="386">
        <f t="shared" si="1472"/>
        <v>0</v>
      </c>
      <c r="AC284" s="386">
        <f t="shared" si="1473"/>
        <v>0</v>
      </c>
      <c r="AD284" s="386">
        <f t="shared" si="1474"/>
        <v>0</v>
      </c>
      <c r="AE284" s="386">
        <f t="shared" si="1475"/>
        <v>0</v>
      </c>
      <c r="AF284" s="386">
        <f t="shared" si="1476"/>
        <v>0</v>
      </c>
      <c r="AG284" s="375">
        <f t="shared" si="1477"/>
        <v>0</v>
      </c>
      <c r="AH284" s="375">
        <f t="shared" si="1478"/>
        <v>0</v>
      </c>
      <c r="AI284" s="386">
        <f t="shared" si="1479"/>
        <v>0</v>
      </c>
      <c r="AJ284" s="386">
        <f t="shared" si="1480"/>
        <v>0</v>
      </c>
      <c r="AK284" s="386">
        <f t="shared" si="1481"/>
        <v>0</v>
      </c>
      <c r="AL284" s="377">
        <f t="shared" si="1482"/>
        <v>0</v>
      </c>
      <c r="AM284" s="377">
        <f t="shared" si="1483"/>
        <v>0</v>
      </c>
      <c r="AN284" s="377">
        <f t="shared" si="1484"/>
        <v>0</v>
      </c>
      <c r="AO284" s="283"/>
      <c r="AP284" s="295">
        <f t="shared" si="1494"/>
        <v>0.233572</v>
      </c>
      <c r="AQ284" s="183">
        <f t="shared" si="1485"/>
        <v>0.233572</v>
      </c>
      <c r="AR284" s="94">
        <f t="shared" si="1485"/>
        <v>0.233572</v>
      </c>
      <c r="AS284" s="94">
        <f t="shared" si="1485"/>
        <v>0</v>
      </c>
      <c r="AT284" s="94">
        <f t="shared" si="1486"/>
        <v>0</v>
      </c>
      <c r="AU284" s="94">
        <f t="shared" si="1487"/>
        <v>0</v>
      </c>
      <c r="AV284" s="94">
        <f t="shared" si="1488"/>
        <v>0</v>
      </c>
      <c r="AW284" s="94">
        <f t="shared" si="1489"/>
        <v>0</v>
      </c>
      <c r="AX284" s="94">
        <f t="shared" si="1490"/>
        <v>0</v>
      </c>
      <c r="AY284" s="94">
        <f t="shared" si="1491"/>
        <v>0</v>
      </c>
      <c r="AZ284" s="433">
        <f t="shared" si="1492"/>
        <v>0</v>
      </c>
      <c r="BA284" s="1008">
        <v>-0.233572</v>
      </c>
      <c r="BB284" s="409">
        <v>-0.233572</v>
      </c>
      <c r="BC284" s="207">
        <v>0</v>
      </c>
      <c r="BD284" s="389">
        <v>0</v>
      </c>
      <c r="BE284" s="389">
        <v>0</v>
      </c>
      <c r="BF284" s="516">
        <v>0</v>
      </c>
      <c r="BG284" s="207">
        <v>0</v>
      </c>
      <c r="BH284" s="207">
        <v>0</v>
      </c>
      <c r="BI284" s="389">
        <v>0</v>
      </c>
      <c r="BJ284" s="516">
        <v>0</v>
      </c>
      <c r="BK284" s="516">
        <v>0</v>
      </c>
      <c r="BL284" s="516">
        <v>0</v>
      </c>
      <c r="BM284" s="516">
        <v>0</v>
      </c>
      <c r="BN284" s="409">
        <v>0</v>
      </c>
      <c r="BO284" s="207">
        <v>0</v>
      </c>
      <c r="BP284" s="389">
        <v>0</v>
      </c>
      <c r="BQ284" s="389">
        <v>0</v>
      </c>
      <c r="BR284" s="389">
        <v>0</v>
      </c>
      <c r="BS284" s="296">
        <v>0</v>
      </c>
      <c r="BT284" s="296">
        <v>0</v>
      </c>
      <c r="BU284" s="296">
        <v>0</v>
      </c>
      <c r="BV284" s="409">
        <v>0</v>
      </c>
      <c r="BW284" s="296">
        <f t="shared" si="1493"/>
        <v>0</v>
      </c>
      <c r="BX284" s="439" t="s">
        <v>39</v>
      </c>
    </row>
    <row r="285" spans="1:76" ht="78" hidden="1" customHeight="1" outlineLevel="1" x14ac:dyDescent="0.25">
      <c r="A285" s="678">
        <v>4</v>
      </c>
      <c r="B285" s="702" t="s">
        <v>68</v>
      </c>
      <c r="C285" s="694" t="s">
        <v>68</v>
      </c>
      <c r="D285" s="63">
        <v>44082</v>
      </c>
      <c r="E285" s="463" t="s">
        <v>598</v>
      </c>
      <c r="F285" s="542" t="s">
        <v>229</v>
      </c>
      <c r="G285" s="95" t="s">
        <v>25</v>
      </c>
      <c r="H285" s="311" t="s">
        <v>129</v>
      </c>
      <c r="I285" s="335"/>
      <c r="J285" s="294">
        <f t="shared" si="1454"/>
        <v>7.0937078811094566E-6</v>
      </c>
      <c r="K285" s="52">
        <f t="shared" si="1455"/>
        <v>6.5977323266008226E-6</v>
      </c>
      <c r="L285" s="52">
        <f t="shared" si="1456"/>
        <v>8.5700293829578842E-5</v>
      </c>
      <c r="M285" s="52">
        <f t="shared" si="1457"/>
        <v>8.9274255823633232E-5</v>
      </c>
      <c r="N285" s="52">
        <f t="shared" si="1458"/>
        <v>8.3145945112626308E-5</v>
      </c>
      <c r="O285" s="52">
        <f t="shared" si="1459"/>
        <v>0</v>
      </c>
      <c r="P285" s="52">
        <f t="shared" si="1460"/>
        <v>0</v>
      </c>
      <c r="Q285" s="52">
        <f t="shared" si="1461"/>
        <v>0</v>
      </c>
      <c r="R285" s="52">
        <f t="shared" si="1462"/>
        <v>0</v>
      </c>
      <c r="S285" s="527">
        <f t="shared" si="1463"/>
        <v>0</v>
      </c>
      <c r="T285" s="533">
        <f t="shared" si="1464"/>
        <v>-7.0937078811094566E-6</v>
      </c>
      <c r="U285" s="375">
        <f t="shared" si="1465"/>
        <v>-6.5977323266008226E-6</v>
      </c>
      <c r="V285" s="375">
        <f t="shared" si="1466"/>
        <v>-8.5700293829578842E-5</v>
      </c>
      <c r="W285" s="386">
        <f t="shared" si="1467"/>
        <v>-9.1416935024092434E-5</v>
      </c>
      <c r="X285" s="386">
        <f t="shared" si="1468"/>
        <v>-8.9274255823633232E-5</v>
      </c>
      <c r="Y285" s="386">
        <f t="shared" si="1469"/>
        <v>-8.9274255823633232E-5</v>
      </c>
      <c r="Z285" s="375">
        <f t="shared" si="1470"/>
        <v>-8.3145945112626308E-5</v>
      </c>
      <c r="AA285" s="375">
        <f t="shared" si="1471"/>
        <v>0</v>
      </c>
      <c r="AB285" s="386">
        <f t="shared" si="1472"/>
        <v>0</v>
      </c>
      <c r="AC285" s="386">
        <f t="shared" si="1473"/>
        <v>0</v>
      </c>
      <c r="AD285" s="386">
        <f t="shared" si="1474"/>
        <v>0</v>
      </c>
      <c r="AE285" s="386">
        <f t="shared" si="1475"/>
        <v>0</v>
      </c>
      <c r="AF285" s="386">
        <f t="shared" si="1476"/>
        <v>0</v>
      </c>
      <c r="AG285" s="375">
        <f t="shared" si="1477"/>
        <v>0</v>
      </c>
      <c r="AH285" s="375">
        <f t="shared" si="1478"/>
        <v>0</v>
      </c>
      <c r="AI285" s="386">
        <f t="shared" si="1479"/>
        <v>0</v>
      </c>
      <c r="AJ285" s="386">
        <f t="shared" si="1480"/>
        <v>0</v>
      </c>
      <c r="AK285" s="386">
        <f t="shared" si="1481"/>
        <v>0</v>
      </c>
      <c r="AL285" s="377">
        <f t="shared" si="1482"/>
        <v>0</v>
      </c>
      <c r="AM285" s="377">
        <f t="shared" si="1483"/>
        <v>0</v>
      </c>
      <c r="AN285" s="377">
        <f t="shared" si="1484"/>
        <v>0</v>
      </c>
      <c r="AO285" s="283"/>
      <c r="AP285" s="295">
        <f t="shared" si="1494"/>
        <v>2.992543</v>
      </c>
      <c r="AQ285" s="183">
        <f t="shared" si="1485"/>
        <v>0.2</v>
      </c>
      <c r="AR285" s="94">
        <f t="shared" si="1485"/>
        <v>0.19987199999999999</v>
      </c>
      <c r="AS285" s="94">
        <f t="shared" si="1485"/>
        <v>2.8</v>
      </c>
      <c r="AT285" s="94">
        <f t="shared" si="1486"/>
        <v>2.8</v>
      </c>
      <c r="AU285" s="94">
        <f t="shared" si="1487"/>
        <v>2.7926709999999999</v>
      </c>
      <c r="AV285" s="94">
        <f t="shared" si="1488"/>
        <v>0</v>
      </c>
      <c r="AW285" s="94">
        <f t="shared" si="1489"/>
        <v>0</v>
      </c>
      <c r="AX285" s="94">
        <f t="shared" si="1490"/>
        <v>0</v>
      </c>
      <c r="AY285" s="94">
        <f t="shared" si="1491"/>
        <v>0</v>
      </c>
      <c r="AZ285" s="433">
        <f t="shared" si="1492"/>
        <v>0</v>
      </c>
      <c r="BA285" s="1008">
        <v>-0.2</v>
      </c>
      <c r="BB285" s="409">
        <v>-0.19987199999999999</v>
      </c>
      <c r="BC285" s="207">
        <v>-2.8</v>
      </c>
      <c r="BD285" s="389">
        <v>-2.8</v>
      </c>
      <c r="BE285" s="389">
        <v>-2.8</v>
      </c>
      <c r="BF285" s="516">
        <v>-2.8</v>
      </c>
      <c r="BG285" s="207">
        <f>-1.698675-1.093996</f>
        <v>-2.7926709999999999</v>
      </c>
      <c r="BH285" s="207">
        <v>0</v>
      </c>
      <c r="BI285" s="389">
        <v>0</v>
      </c>
      <c r="BJ285" s="516">
        <v>0</v>
      </c>
      <c r="BK285" s="516">
        <v>0</v>
      </c>
      <c r="BL285" s="516">
        <v>0</v>
      </c>
      <c r="BM285" s="516">
        <v>0</v>
      </c>
      <c r="BN285" s="409">
        <v>0</v>
      </c>
      <c r="BO285" s="207">
        <v>0</v>
      </c>
      <c r="BP285" s="389">
        <v>0</v>
      </c>
      <c r="BQ285" s="389">
        <v>0</v>
      </c>
      <c r="BR285" s="389">
        <v>0</v>
      </c>
      <c r="BS285" s="296">
        <v>0</v>
      </c>
      <c r="BT285" s="296">
        <v>0</v>
      </c>
      <c r="BU285" s="296">
        <v>0</v>
      </c>
      <c r="BV285" s="409">
        <v>0</v>
      </c>
      <c r="BW285" s="296">
        <f t="shared" si="1493"/>
        <v>0</v>
      </c>
      <c r="BX285" s="439" t="s">
        <v>650</v>
      </c>
    </row>
    <row r="286" spans="1:76" ht="116.45" hidden="1" customHeight="1" outlineLevel="1" x14ac:dyDescent="0.25">
      <c r="A286" s="678">
        <v>5</v>
      </c>
      <c r="B286" s="702" t="s">
        <v>68</v>
      </c>
      <c r="C286" s="694" t="s">
        <v>68</v>
      </c>
      <c r="D286" s="63">
        <v>44159</v>
      </c>
      <c r="E286" s="463" t="s">
        <v>430</v>
      </c>
      <c r="F286" s="542" t="s">
        <v>429</v>
      </c>
      <c r="G286" s="95" t="s">
        <v>25</v>
      </c>
      <c r="H286" s="311" t="s">
        <v>130</v>
      </c>
      <c r="I286" s="335"/>
      <c r="J286" s="294">
        <f t="shared" si="1454"/>
        <v>3.912101865645173E-5</v>
      </c>
      <c r="K286" s="52">
        <f t="shared" si="1455"/>
        <v>3.6409069835342231E-5</v>
      </c>
      <c r="L286" s="52">
        <f t="shared" si="1456"/>
        <v>0</v>
      </c>
      <c r="M286" s="52">
        <f t="shared" si="1457"/>
        <v>0</v>
      </c>
      <c r="N286" s="52">
        <f t="shared" si="1458"/>
        <v>0</v>
      </c>
      <c r="O286" s="52">
        <f t="shared" si="1459"/>
        <v>0</v>
      </c>
      <c r="P286" s="52">
        <f t="shared" si="1460"/>
        <v>0</v>
      </c>
      <c r="Q286" s="52">
        <f t="shared" si="1461"/>
        <v>0</v>
      </c>
      <c r="R286" s="52">
        <f t="shared" si="1462"/>
        <v>0</v>
      </c>
      <c r="S286" s="527">
        <f t="shared" si="1463"/>
        <v>0</v>
      </c>
      <c r="T286" s="533">
        <f t="shared" si="1464"/>
        <v>-3.912101865645173E-5</v>
      </c>
      <c r="U286" s="375">
        <f t="shared" si="1465"/>
        <v>-3.6409069835342231E-5</v>
      </c>
      <c r="V286" s="375">
        <f t="shared" si="1466"/>
        <v>0</v>
      </c>
      <c r="W286" s="386">
        <f t="shared" si="1467"/>
        <v>0</v>
      </c>
      <c r="X286" s="386">
        <f t="shared" si="1468"/>
        <v>0</v>
      </c>
      <c r="Y286" s="386">
        <f t="shared" si="1469"/>
        <v>0</v>
      </c>
      <c r="Z286" s="375">
        <f t="shared" si="1470"/>
        <v>0</v>
      </c>
      <c r="AA286" s="375">
        <f t="shared" si="1471"/>
        <v>0</v>
      </c>
      <c r="AB286" s="386">
        <f t="shared" si="1472"/>
        <v>0</v>
      </c>
      <c r="AC286" s="386">
        <f t="shared" si="1473"/>
        <v>0</v>
      </c>
      <c r="AD286" s="386">
        <f t="shared" si="1474"/>
        <v>0</v>
      </c>
      <c r="AE286" s="386">
        <f t="shared" si="1475"/>
        <v>0</v>
      </c>
      <c r="AF286" s="386">
        <f t="shared" si="1476"/>
        <v>0</v>
      </c>
      <c r="AG286" s="375">
        <f t="shared" si="1477"/>
        <v>0</v>
      </c>
      <c r="AH286" s="375">
        <f t="shared" si="1478"/>
        <v>0</v>
      </c>
      <c r="AI286" s="386">
        <f t="shared" si="1479"/>
        <v>0</v>
      </c>
      <c r="AJ286" s="386">
        <f t="shared" si="1480"/>
        <v>0</v>
      </c>
      <c r="AK286" s="386">
        <f t="shared" si="1481"/>
        <v>0</v>
      </c>
      <c r="AL286" s="377">
        <f t="shared" si="1482"/>
        <v>0</v>
      </c>
      <c r="AM286" s="377">
        <f t="shared" si="1483"/>
        <v>0</v>
      </c>
      <c r="AN286" s="377">
        <f t="shared" si="1484"/>
        <v>0</v>
      </c>
      <c r="AO286" s="283"/>
      <c r="AP286" s="295">
        <f t="shared" si="1494"/>
        <v>1.102978</v>
      </c>
      <c r="AQ286" s="183">
        <f t="shared" si="1485"/>
        <v>1.102978</v>
      </c>
      <c r="AR286" s="94">
        <f t="shared" si="1485"/>
        <v>1.102978</v>
      </c>
      <c r="AS286" s="94">
        <f t="shared" si="1485"/>
        <v>0</v>
      </c>
      <c r="AT286" s="94">
        <f t="shared" si="1486"/>
        <v>0</v>
      </c>
      <c r="AU286" s="94">
        <f t="shared" si="1487"/>
        <v>0</v>
      </c>
      <c r="AV286" s="94">
        <f t="shared" si="1488"/>
        <v>0</v>
      </c>
      <c r="AW286" s="94">
        <f t="shared" si="1489"/>
        <v>0</v>
      </c>
      <c r="AX286" s="94">
        <f t="shared" si="1490"/>
        <v>0</v>
      </c>
      <c r="AY286" s="94">
        <f t="shared" si="1491"/>
        <v>0</v>
      </c>
      <c r="AZ286" s="433">
        <f t="shared" si="1492"/>
        <v>0</v>
      </c>
      <c r="BA286" s="1008">
        <v>-1.102978</v>
      </c>
      <c r="BB286" s="409">
        <v>-1.102978</v>
      </c>
      <c r="BC286" s="207">
        <v>0</v>
      </c>
      <c r="BD286" s="389">
        <v>0</v>
      </c>
      <c r="BE286" s="389">
        <v>0</v>
      </c>
      <c r="BF286" s="516">
        <v>0</v>
      </c>
      <c r="BG286" s="207">
        <v>0</v>
      </c>
      <c r="BH286" s="207">
        <v>0</v>
      </c>
      <c r="BI286" s="389">
        <v>0</v>
      </c>
      <c r="BJ286" s="516">
        <v>0</v>
      </c>
      <c r="BK286" s="516">
        <v>0</v>
      </c>
      <c r="BL286" s="516">
        <v>0</v>
      </c>
      <c r="BM286" s="516">
        <v>0</v>
      </c>
      <c r="BN286" s="409">
        <v>0</v>
      </c>
      <c r="BO286" s="207">
        <v>0</v>
      </c>
      <c r="BP286" s="389">
        <v>0</v>
      </c>
      <c r="BQ286" s="389">
        <v>0</v>
      </c>
      <c r="BR286" s="389">
        <v>0</v>
      </c>
      <c r="BS286" s="296">
        <v>0</v>
      </c>
      <c r="BT286" s="296">
        <v>0</v>
      </c>
      <c r="BU286" s="296">
        <v>0</v>
      </c>
      <c r="BV286" s="409">
        <v>0</v>
      </c>
      <c r="BW286" s="296">
        <f t="shared" si="1493"/>
        <v>0</v>
      </c>
      <c r="BX286" s="439" t="s">
        <v>39</v>
      </c>
    </row>
    <row r="287" spans="1:76" ht="204.6" hidden="1" customHeight="1" outlineLevel="1" x14ac:dyDescent="0.25">
      <c r="A287" s="678">
        <v>6</v>
      </c>
      <c r="B287" s="702" t="s">
        <v>68</v>
      </c>
      <c r="C287" s="694" t="s">
        <v>68</v>
      </c>
      <c r="D287" s="63" t="s">
        <v>1688</v>
      </c>
      <c r="E287" s="463" t="s">
        <v>686</v>
      </c>
      <c r="F287" s="542" t="s">
        <v>685</v>
      </c>
      <c r="G287" s="95" t="s">
        <v>25</v>
      </c>
      <c r="H287" s="311" t="s">
        <v>130</v>
      </c>
      <c r="I287" s="335"/>
      <c r="J287" s="294">
        <f t="shared" si="1454"/>
        <v>0</v>
      </c>
      <c r="K287" s="52">
        <f t="shared" si="1455"/>
        <v>0</v>
      </c>
      <c r="L287" s="52">
        <f t="shared" si="1456"/>
        <v>1.8255166503428012E-4</v>
      </c>
      <c r="M287" s="52">
        <f t="shared" si="1457"/>
        <v>1.9016462274573529E-4</v>
      </c>
      <c r="N287" s="52">
        <f t="shared" si="1458"/>
        <v>1.7742660166128674E-4</v>
      </c>
      <c r="O287" s="52">
        <f t="shared" si="1459"/>
        <v>0</v>
      </c>
      <c r="P287" s="52">
        <f t="shared" si="1460"/>
        <v>0</v>
      </c>
      <c r="Q287" s="52">
        <f t="shared" si="1461"/>
        <v>0</v>
      </c>
      <c r="R287" s="52">
        <f t="shared" si="1462"/>
        <v>0</v>
      </c>
      <c r="S287" s="527">
        <f t="shared" si="1463"/>
        <v>0</v>
      </c>
      <c r="T287" s="533">
        <f t="shared" si="1464"/>
        <v>0</v>
      </c>
      <c r="U287" s="375">
        <f t="shared" si="1465"/>
        <v>0</v>
      </c>
      <c r="V287" s="375">
        <f t="shared" si="1466"/>
        <v>-1.8255166503428012E-4</v>
      </c>
      <c r="W287" s="386">
        <f t="shared" si="1467"/>
        <v>-2.0699464769913446E-4</v>
      </c>
      <c r="X287" s="386">
        <f t="shared" si="1468"/>
        <v>-2.0214299602087127E-4</v>
      </c>
      <c r="Y287" s="386">
        <f t="shared" si="1469"/>
        <v>-2.0214299602087127E-4</v>
      </c>
      <c r="Z287" s="375">
        <f t="shared" si="1470"/>
        <v>-1.7742660166128674E-4</v>
      </c>
      <c r="AA287" s="375">
        <f t="shared" si="1471"/>
        <v>0</v>
      </c>
      <c r="AB287" s="386">
        <f t="shared" si="1472"/>
        <v>0</v>
      </c>
      <c r="AC287" s="386">
        <f t="shared" si="1473"/>
        <v>0</v>
      </c>
      <c r="AD287" s="386">
        <f t="shared" si="1474"/>
        <v>0</v>
      </c>
      <c r="AE287" s="386">
        <f t="shared" si="1475"/>
        <v>0</v>
      </c>
      <c r="AF287" s="386">
        <f t="shared" si="1476"/>
        <v>0</v>
      </c>
      <c r="AG287" s="375">
        <f t="shared" si="1477"/>
        <v>0</v>
      </c>
      <c r="AH287" s="375">
        <f t="shared" si="1478"/>
        <v>0</v>
      </c>
      <c r="AI287" s="386">
        <f t="shared" si="1479"/>
        <v>0</v>
      </c>
      <c r="AJ287" s="386">
        <f t="shared" si="1480"/>
        <v>0</v>
      </c>
      <c r="AK287" s="386">
        <f t="shared" si="1481"/>
        <v>0</v>
      </c>
      <c r="AL287" s="377">
        <f t="shared" si="1482"/>
        <v>0</v>
      </c>
      <c r="AM287" s="377">
        <f t="shared" si="1483"/>
        <v>0</v>
      </c>
      <c r="AN287" s="377">
        <f t="shared" si="1484"/>
        <v>0</v>
      </c>
      <c r="AO287" s="283"/>
      <c r="AP287" s="295">
        <f t="shared" si="1494"/>
        <v>5.9593299999999996</v>
      </c>
      <c r="AQ287" s="183">
        <f t="shared" si="1485"/>
        <v>0</v>
      </c>
      <c r="AR287" s="94">
        <f t="shared" si="1485"/>
        <v>0</v>
      </c>
      <c r="AS287" s="94">
        <f t="shared" si="1485"/>
        <v>5.9643280000000001</v>
      </c>
      <c r="AT287" s="94">
        <f t="shared" si="1486"/>
        <v>5.9643280000000001</v>
      </c>
      <c r="AU287" s="94">
        <f t="shared" si="1487"/>
        <v>5.9593299999999996</v>
      </c>
      <c r="AV287" s="94">
        <f t="shared" si="1488"/>
        <v>0</v>
      </c>
      <c r="AW287" s="94">
        <f t="shared" si="1489"/>
        <v>0</v>
      </c>
      <c r="AX287" s="94">
        <f t="shared" si="1490"/>
        <v>0</v>
      </c>
      <c r="AY287" s="94">
        <f t="shared" si="1491"/>
        <v>0</v>
      </c>
      <c r="AZ287" s="433">
        <f t="shared" si="1492"/>
        <v>0</v>
      </c>
      <c r="BA287" s="1008">
        <v>0</v>
      </c>
      <c r="BB287" s="409">
        <v>0</v>
      </c>
      <c r="BC287" s="207">
        <f>-6.340018+0.37569</f>
        <v>-5.9643280000000001</v>
      </c>
      <c r="BD287" s="389">
        <v>-6.3400179999999997</v>
      </c>
      <c r="BE287" s="389">
        <v>-6.3400179999999997</v>
      </c>
      <c r="BF287" s="516">
        <v>-6.3400179999999997</v>
      </c>
      <c r="BG287" s="207">
        <f>-5.95933</f>
        <v>-5.9593299999999996</v>
      </c>
      <c r="BH287" s="207">
        <v>0</v>
      </c>
      <c r="BI287" s="389">
        <v>0</v>
      </c>
      <c r="BJ287" s="516">
        <v>0</v>
      </c>
      <c r="BK287" s="516">
        <v>0</v>
      </c>
      <c r="BL287" s="516">
        <v>0</v>
      </c>
      <c r="BM287" s="516">
        <v>0</v>
      </c>
      <c r="BN287" s="409">
        <v>0</v>
      </c>
      <c r="BO287" s="207">
        <v>0</v>
      </c>
      <c r="BP287" s="389">
        <v>0</v>
      </c>
      <c r="BQ287" s="389">
        <v>0</v>
      </c>
      <c r="BR287" s="389">
        <v>0</v>
      </c>
      <c r="BS287" s="296">
        <v>0</v>
      </c>
      <c r="BT287" s="296">
        <v>0</v>
      </c>
      <c r="BU287" s="296">
        <v>0</v>
      </c>
      <c r="BV287" s="409">
        <v>0</v>
      </c>
      <c r="BW287" s="296">
        <f t="shared" si="1493"/>
        <v>0</v>
      </c>
      <c r="BX287" s="439" t="s">
        <v>1689</v>
      </c>
    </row>
    <row r="288" spans="1:76" ht="132" hidden="1" customHeight="1" outlineLevel="1" x14ac:dyDescent="0.25">
      <c r="A288" s="678">
        <v>7</v>
      </c>
      <c r="B288" s="702" t="s">
        <v>68</v>
      </c>
      <c r="C288" s="694" t="s">
        <v>68</v>
      </c>
      <c r="D288" s="63" t="s">
        <v>1687</v>
      </c>
      <c r="E288" s="463" t="s">
        <v>1196</v>
      </c>
      <c r="F288" s="542" t="s">
        <v>1098</v>
      </c>
      <c r="G288" s="95" t="s">
        <v>25</v>
      </c>
      <c r="H288" s="311" t="s">
        <v>130</v>
      </c>
      <c r="I288" s="335"/>
      <c r="J288" s="294">
        <f t="shared" si="1454"/>
        <v>0</v>
      </c>
      <c r="K288" s="52">
        <f t="shared" si="1455"/>
        <v>0</v>
      </c>
      <c r="L288" s="52">
        <f t="shared" si="1456"/>
        <v>1.3243183765915769E-4</v>
      </c>
      <c r="M288" s="52">
        <f t="shared" si="1457"/>
        <v>1.3795464666536497E-4</v>
      </c>
      <c r="N288" s="52">
        <f t="shared" si="1458"/>
        <v>1.2177778577015033E-4</v>
      </c>
      <c r="O288" s="52">
        <f t="shared" si="1459"/>
        <v>0</v>
      </c>
      <c r="P288" s="52">
        <f t="shared" si="1460"/>
        <v>0</v>
      </c>
      <c r="Q288" s="52">
        <f t="shared" si="1461"/>
        <v>0</v>
      </c>
      <c r="R288" s="52">
        <f t="shared" si="1462"/>
        <v>0</v>
      </c>
      <c r="S288" s="527">
        <f t="shared" si="1463"/>
        <v>0</v>
      </c>
      <c r="T288" s="533">
        <f t="shared" si="1464"/>
        <v>0</v>
      </c>
      <c r="U288" s="375">
        <f t="shared" si="1465"/>
        <v>0</v>
      </c>
      <c r="V288" s="375">
        <f t="shared" si="1466"/>
        <v>-1.3243183765915769E-4</v>
      </c>
      <c r="W288" s="386">
        <f t="shared" si="1467"/>
        <v>-4.0196927439881542E-4</v>
      </c>
      <c r="X288" s="386">
        <f t="shared" si="1468"/>
        <v>-3.9254770274744653E-4</v>
      </c>
      <c r="Y288" s="386">
        <f t="shared" si="1469"/>
        <v>-3.9254770274744653E-4</v>
      </c>
      <c r="Z288" s="375">
        <f t="shared" si="1470"/>
        <v>-1.2177778577015033E-4</v>
      </c>
      <c r="AA288" s="375">
        <f t="shared" si="1471"/>
        <v>0</v>
      </c>
      <c r="AB288" s="386">
        <f t="shared" si="1472"/>
        <v>0</v>
      </c>
      <c r="AC288" s="386">
        <f t="shared" si="1473"/>
        <v>0</v>
      </c>
      <c r="AD288" s="386">
        <f t="shared" si="1474"/>
        <v>0</v>
      </c>
      <c r="AE288" s="386">
        <f t="shared" si="1475"/>
        <v>0</v>
      </c>
      <c r="AF288" s="386">
        <f t="shared" si="1476"/>
        <v>0</v>
      </c>
      <c r="AG288" s="375">
        <f t="shared" si="1477"/>
        <v>0</v>
      </c>
      <c r="AH288" s="375">
        <f t="shared" si="1478"/>
        <v>0</v>
      </c>
      <c r="AI288" s="386">
        <f t="shared" si="1479"/>
        <v>0</v>
      </c>
      <c r="AJ288" s="386">
        <f t="shared" si="1480"/>
        <v>0</v>
      </c>
      <c r="AK288" s="386">
        <f t="shared" si="1481"/>
        <v>0</v>
      </c>
      <c r="AL288" s="377">
        <f t="shared" si="1482"/>
        <v>0</v>
      </c>
      <c r="AM288" s="377">
        <f t="shared" si="1483"/>
        <v>0</v>
      </c>
      <c r="AN288" s="377">
        <f t="shared" si="1484"/>
        <v>0</v>
      </c>
      <c r="AO288" s="283"/>
      <c r="AP288" s="295">
        <f t="shared" si="1494"/>
        <v>4.0902209999999997</v>
      </c>
      <c r="AQ288" s="183">
        <f t="shared" si="1485"/>
        <v>0</v>
      </c>
      <c r="AR288" s="94">
        <f>-BB288</f>
        <v>0</v>
      </c>
      <c r="AS288" s="94">
        <f t="shared" si="1485"/>
        <v>4.3268129999999996</v>
      </c>
      <c r="AT288" s="94">
        <f t="shared" si="1486"/>
        <v>4.3268129999999996</v>
      </c>
      <c r="AU288" s="94">
        <f t="shared" si="1487"/>
        <v>4.0902209999999997</v>
      </c>
      <c r="AV288" s="94">
        <f t="shared" si="1488"/>
        <v>0</v>
      </c>
      <c r="AW288" s="94">
        <f t="shared" si="1489"/>
        <v>0</v>
      </c>
      <c r="AX288" s="94">
        <f t="shared" si="1490"/>
        <v>0</v>
      </c>
      <c r="AY288" s="94">
        <f t="shared" si="1491"/>
        <v>0</v>
      </c>
      <c r="AZ288" s="433">
        <f t="shared" si="1492"/>
        <v>0</v>
      </c>
      <c r="BA288" s="1008">
        <v>0</v>
      </c>
      <c r="BB288" s="409">
        <v>0</v>
      </c>
      <c r="BC288" s="207">
        <f>-12.311876+7.985063</f>
        <v>-4.3268129999999996</v>
      </c>
      <c r="BD288" s="389">
        <v>-12.311876</v>
      </c>
      <c r="BE288" s="389">
        <v>-12.311876</v>
      </c>
      <c r="BF288" s="516">
        <v>-12.311876</v>
      </c>
      <c r="BG288" s="207">
        <f>-0.002602-3.784636-0.005905-0.004556-0.009131-0.006168-0.015543-0.015971-0.028256-0.217453</f>
        <v>-4.0902209999999997</v>
      </c>
      <c r="BH288" s="207">
        <v>0</v>
      </c>
      <c r="BI288" s="389">
        <v>0</v>
      </c>
      <c r="BJ288" s="516">
        <v>0</v>
      </c>
      <c r="BK288" s="516">
        <v>0</v>
      </c>
      <c r="BL288" s="516">
        <v>0</v>
      </c>
      <c r="BM288" s="516">
        <v>0</v>
      </c>
      <c r="BN288" s="409">
        <v>0</v>
      </c>
      <c r="BO288" s="207">
        <v>0</v>
      </c>
      <c r="BP288" s="389">
        <v>0</v>
      </c>
      <c r="BQ288" s="389">
        <v>0</v>
      </c>
      <c r="BR288" s="389">
        <v>0</v>
      </c>
      <c r="BS288" s="296">
        <v>0</v>
      </c>
      <c r="BT288" s="296">
        <v>0</v>
      </c>
      <c r="BU288" s="296">
        <v>0</v>
      </c>
      <c r="BV288" s="409">
        <v>0</v>
      </c>
      <c r="BW288" s="296">
        <f t="shared" si="1493"/>
        <v>0</v>
      </c>
      <c r="BX288" s="439" t="s">
        <v>1431</v>
      </c>
    </row>
    <row r="289" spans="1:76" ht="132" hidden="1" customHeight="1" outlineLevel="1" x14ac:dyDescent="0.25">
      <c r="A289" s="678">
        <v>8</v>
      </c>
      <c r="B289" s="702" t="s">
        <v>68</v>
      </c>
      <c r="C289" s="694" t="s">
        <v>68</v>
      </c>
      <c r="D289" s="63">
        <v>44295</v>
      </c>
      <c r="E289" s="463" t="s">
        <v>1343</v>
      </c>
      <c r="F289" s="542" t="s">
        <v>1237</v>
      </c>
      <c r="G289" s="95" t="s">
        <v>25</v>
      </c>
      <c r="H289" s="311" t="s">
        <v>130</v>
      </c>
      <c r="I289" s="335"/>
      <c r="J289" s="294">
        <f t="shared" si="1454"/>
        <v>0</v>
      </c>
      <c r="K289" s="52">
        <f t="shared" si="1455"/>
        <v>0</v>
      </c>
      <c r="L289" s="52">
        <f t="shared" si="1456"/>
        <v>6.4809867776689518E-5</v>
      </c>
      <c r="M289" s="52">
        <f t="shared" si="1457"/>
        <v>6.7512635689413232E-5</v>
      </c>
      <c r="N289" s="52">
        <f t="shared" si="1458"/>
        <v>5.7566280677746979E-5</v>
      </c>
      <c r="O289" s="52">
        <f t="shared" si="1459"/>
        <v>0</v>
      </c>
      <c r="P289" s="52">
        <f t="shared" si="1460"/>
        <v>0</v>
      </c>
      <c r="Q289" s="52">
        <f t="shared" si="1461"/>
        <v>0</v>
      </c>
      <c r="R289" s="52">
        <f t="shared" si="1462"/>
        <v>0</v>
      </c>
      <c r="S289" s="527">
        <f t="shared" si="1463"/>
        <v>0</v>
      </c>
      <c r="T289" s="533">
        <f t="shared" si="1464"/>
        <v>0</v>
      </c>
      <c r="U289" s="375">
        <f t="shared" si="1465"/>
        <v>0</v>
      </c>
      <c r="V289" s="375">
        <f t="shared" si="1466"/>
        <v>-6.4809867776689518E-5</v>
      </c>
      <c r="W289" s="386">
        <f t="shared" si="1467"/>
        <v>0</v>
      </c>
      <c r="X289" s="386">
        <f t="shared" si="1468"/>
        <v>-6.7512635689413232E-5</v>
      </c>
      <c r="Y289" s="386">
        <f t="shared" si="1469"/>
        <v>-6.7512635689413232E-5</v>
      </c>
      <c r="Z289" s="375">
        <f t="shared" si="1470"/>
        <v>-5.7566280677746979E-5</v>
      </c>
      <c r="AA289" s="375">
        <f t="shared" si="1471"/>
        <v>0</v>
      </c>
      <c r="AB289" s="386">
        <f t="shared" si="1472"/>
        <v>0</v>
      </c>
      <c r="AC289" s="386">
        <f t="shared" si="1473"/>
        <v>0</v>
      </c>
      <c r="AD289" s="386">
        <f t="shared" si="1474"/>
        <v>0</v>
      </c>
      <c r="AE289" s="386">
        <f t="shared" si="1475"/>
        <v>0</v>
      </c>
      <c r="AF289" s="386">
        <f t="shared" si="1476"/>
        <v>0</v>
      </c>
      <c r="AG289" s="375">
        <f t="shared" si="1477"/>
        <v>0</v>
      </c>
      <c r="AH289" s="375">
        <f t="shared" si="1478"/>
        <v>0</v>
      </c>
      <c r="AI289" s="386">
        <f t="shared" si="1479"/>
        <v>0</v>
      </c>
      <c r="AJ289" s="386">
        <f t="shared" si="1480"/>
        <v>0</v>
      </c>
      <c r="AK289" s="386">
        <f t="shared" si="1481"/>
        <v>0</v>
      </c>
      <c r="AL289" s="377">
        <f t="shared" si="1482"/>
        <v>0</v>
      </c>
      <c r="AM289" s="377">
        <f t="shared" si="1483"/>
        <v>0</v>
      </c>
      <c r="AN289" s="377">
        <f t="shared" si="1484"/>
        <v>0</v>
      </c>
      <c r="AO289" s="283"/>
      <c r="AP289" s="295">
        <f t="shared" si="1494"/>
        <v>1.9335120000000001</v>
      </c>
      <c r="AQ289" s="183">
        <f t="shared" ref="AQ289" si="1495">-BA289</f>
        <v>0</v>
      </c>
      <c r="AR289" s="94">
        <f>-BB289</f>
        <v>0</v>
      </c>
      <c r="AS289" s="94">
        <f t="shared" ref="AS289" si="1496">-BC289</f>
        <v>2.1174680000000001</v>
      </c>
      <c r="AT289" s="94">
        <f t="shared" si="1486"/>
        <v>2.1174680000000001</v>
      </c>
      <c r="AU289" s="94">
        <f t="shared" si="1487"/>
        <v>1.9335120000000001</v>
      </c>
      <c r="AV289" s="94">
        <f t="shared" si="1488"/>
        <v>0</v>
      </c>
      <c r="AW289" s="94">
        <f t="shared" ref="AW289" si="1497">-BH289</f>
        <v>0</v>
      </c>
      <c r="AX289" s="94">
        <f t="shared" si="1490"/>
        <v>0</v>
      </c>
      <c r="AY289" s="94">
        <f t="shared" ref="AY289" si="1498">-BO289</f>
        <v>0</v>
      </c>
      <c r="AZ289" s="433">
        <f t="shared" ref="AZ289" si="1499">-BU289</f>
        <v>0</v>
      </c>
      <c r="BA289" s="1008">
        <v>0</v>
      </c>
      <c r="BB289" s="409">
        <v>0</v>
      </c>
      <c r="BC289" s="207">
        <v>-2.1174680000000001</v>
      </c>
      <c r="BD289" s="389">
        <v>0</v>
      </c>
      <c r="BE289" s="389">
        <v>-2.1174680000000001</v>
      </c>
      <c r="BF289" s="516">
        <v>-2.1174680000000001</v>
      </c>
      <c r="BG289" s="207">
        <f>-0.960549-0.02527-0.011429-0.129567-0.009286-0.7938-0.003611</f>
        <v>-1.9335120000000001</v>
      </c>
      <c r="BH289" s="207">
        <v>0</v>
      </c>
      <c r="BI289" s="389">
        <v>0</v>
      </c>
      <c r="BJ289" s="516">
        <v>0</v>
      </c>
      <c r="BK289" s="516">
        <v>0</v>
      </c>
      <c r="BL289" s="516">
        <v>0</v>
      </c>
      <c r="BM289" s="516">
        <v>0</v>
      </c>
      <c r="BN289" s="409">
        <v>0</v>
      </c>
      <c r="BO289" s="207">
        <v>0</v>
      </c>
      <c r="BP289" s="389">
        <v>0</v>
      </c>
      <c r="BQ289" s="389">
        <v>0</v>
      </c>
      <c r="BR289" s="389">
        <v>0</v>
      </c>
      <c r="BS289" s="296">
        <v>0</v>
      </c>
      <c r="BT289" s="296">
        <v>0</v>
      </c>
      <c r="BU289" s="296">
        <v>0</v>
      </c>
      <c r="BV289" s="409">
        <v>0</v>
      </c>
      <c r="BW289" s="296">
        <f t="shared" ref="BW289" si="1500">-BV289</f>
        <v>0</v>
      </c>
      <c r="BX289" s="439" t="s">
        <v>1236</v>
      </c>
    </row>
    <row r="290" spans="1:76" ht="87" hidden="1" customHeight="1" outlineLevel="1" x14ac:dyDescent="0.25">
      <c r="A290" s="678">
        <v>9</v>
      </c>
      <c r="B290" s="702" t="s">
        <v>68</v>
      </c>
      <c r="C290" s="694" t="s">
        <v>68</v>
      </c>
      <c r="D290" s="63">
        <v>44502</v>
      </c>
      <c r="E290" s="463" t="s">
        <v>1821</v>
      </c>
      <c r="F290" s="542" t="s">
        <v>1697</v>
      </c>
      <c r="G290" s="95" t="s">
        <v>25</v>
      </c>
      <c r="H290" s="311" t="s">
        <v>130</v>
      </c>
      <c r="I290" s="335"/>
      <c r="J290" s="294">
        <f t="shared" si="1454"/>
        <v>0</v>
      </c>
      <c r="K290" s="52">
        <f t="shared" si="1455"/>
        <v>0</v>
      </c>
      <c r="L290" s="52">
        <f t="shared" si="1456"/>
        <v>4.8425348922624875E-5</v>
      </c>
      <c r="M290" s="52">
        <f t="shared" si="1457"/>
        <v>5.044483274076028E-5</v>
      </c>
      <c r="N290" s="52">
        <f t="shared" si="1458"/>
        <v>3.4560692808493281E-5</v>
      </c>
      <c r="O290" s="52">
        <f t="shared" si="1459"/>
        <v>0</v>
      </c>
      <c r="P290" s="52">
        <f t="shared" si="1460"/>
        <v>0</v>
      </c>
      <c r="Q290" s="52">
        <f t="shared" si="1461"/>
        <v>0</v>
      </c>
      <c r="R290" s="52">
        <f t="shared" si="1462"/>
        <v>0</v>
      </c>
      <c r="S290" s="527">
        <f t="shared" si="1463"/>
        <v>0</v>
      </c>
      <c r="T290" s="533">
        <f t="shared" si="1464"/>
        <v>0</v>
      </c>
      <c r="U290" s="375">
        <f t="shared" si="1465"/>
        <v>0</v>
      </c>
      <c r="V290" s="375">
        <f t="shared" si="1466"/>
        <v>-4.8425348922624875E-5</v>
      </c>
      <c r="W290" s="386">
        <f t="shared" si="1467"/>
        <v>0</v>
      </c>
      <c r="X290" s="386">
        <f t="shared" si="1468"/>
        <v>-6.7512635689413232E-5</v>
      </c>
      <c r="Y290" s="386">
        <f t="shared" si="1469"/>
        <v>-6.7512635689413232E-5</v>
      </c>
      <c r="Z290" s="375">
        <f t="shared" si="1470"/>
        <v>-3.4560692808493281E-5</v>
      </c>
      <c r="AA290" s="375">
        <f t="shared" si="1471"/>
        <v>0</v>
      </c>
      <c r="AB290" s="386">
        <f t="shared" si="1472"/>
        <v>0</v>
      </c>
      <c r="AC290" s="386">
        <f t="shared" si="1473"/>
        <v>0</v>
      </c>
      <c r="AD290" s="386">
        <f t="shared" si="1474"/>
        <v>0</v>
      </c>
      <c r="AE290" s="386">
        <f t="shared" si="1475"/>
        <v>0</v>
      </c>
      <c r="AF290" s="386">
        <f t="shared" si="1476"/>
        <v>0</v>
      </c>
      <c r="AG290" s="375">
        <f t="shared" si="1477"/>
        <v>0</v>
      </c>
      <c r="AH290" s="375">
        <f t="shared" si="1478"/>
        <v>0</v>
      </c>
      <c r="AI290" s="386">
        <f t="shared" si="1479"/>
        <v>0</v>
      </c>
      <c r="AJ290" s="386">
        <f t="shared" si="1480"/>
        <v>0</v>
      </c>
      <c r="AK290" s="386">
        <f t="shared" si="1481"/>
        <v>0</v>
      </c>
      <c r="AL290" s="377">
        <f t="shared" si="1482"/>
        <v>0</v>
      </c>
      <c r="AM290" s="377">
        <f t="shared" si="1483"/>
        <v>0</v>
      </c>
      <c r="AN290" s="377">
        <f t="shared" si="1484"/>
        <v>0</v>
      </c>
      <c r="AO290" s="283"/>
      <c r="AP290" s="295">
        <f t="shared" si="1494"/>
        <v>1.1608099999999999</v>
      </c>
      <c r="AQ290" s="183">
        <f t="shared" si="1485"/>
        <v>0</v>
      </c>
      <c r="AR290" s="94">
        <f>-BB290</f>
        <v>0</v>
      </c>
      <c r="AS290" s="94">
        <f t="shared" si="1485"/>
        <v>1.5821529999999999</v>
      </c>
      <c r="AT290" s="94">
        <f t="shared" si="1486"/>
        <v>1.5821529999999999</v>
      </c>
      <c r="AU290" s="94">
        <f t="shared" si="1487"/>
        <v>1.1608099999999999</v>
      </c>
      <c r="AV290" s="94">
        <f t="shared" si="1488"/>
        <v>0</v>
      </c>
      <c r="AW290" s="94">
        <f t="shared" si="1489"/>
        <v>0</v>
      </c>
      <c r="AX290" s="94">
        <f t="shared" si="1490"/>
        <v>0</v>
      </c>
      <c r="AY290" s="94">
        <f t="shared" si="1491"/>
        <v>0</v>
      </c>
      <c r="AZ290" s="433">
        <f t="shared" si="1492"/>
        <v>0</v>
      </c>
      <c r="BA290" s="1008">
        <v>0</v>
      </c>
      <c r="BB290" s="409">
        <v>0</v>
      </c>
      <c r="BC290" s="207">
        <v>-1.5821529999999999</v>
      </c>
      <c r="BD290" s="389">
        <v>0</v>
      </c>
      <c r="BE290" s="389">
        <v>-2.1174680000000001</v>
      </c>
      <c r="BF290" s="516">
        <v>-2.1174680000000001</v>
      </c>
      <c r="BG290" s="207">
        <f>-1.151036-0.009774</f>
        <v>-1.1608099999999999</v>
      </c>
      <c r="BH290" s="207">
        <v>0</v>
      </c>
      <c r="BI290" s="389">
        <v>0</v>
      </c>
      <c r="BJ290" s="516">
        <v>0</v>
      </c>
      <c r="BK290" s="516">
        <v>0</v>
      </c>
      <c r="BL290" s="516">
        <v>0</v>
      </c>
      <c r="BM290" s="516">
        <v>0</v>
      </c>
      <c r="BN290" s="409">
        <v>0</v>
      </c>
      <c r="BO290" s="207">
        <v>0</v>
      </c>
      <c r="BP290" s="389">
        <v>0</v>
      </c>
      <c r="BQ290" s="389">
        <v>0</v>
      </c>
      <c r="BR290" s="389">
        <v>0</v>
      </c>
      <c r="BS290" s="296">
        <v>0</v>
      </c>
      <c r="BT290" s="296">
        <v>0</v>
      </c>
      <c r="BU290" s="296">
        <v>0</v>
      </c>
      <c r="BV290" s="409">
        <v>0</v>
      </c>
      <c r="BW290" s="296">
        <f t="shared" si="1493"/>
        <v>0</v>
      </c>
      <c r="BX290" s="450" t="s">
        <v>1696</v>
      </c>
    </row>
    <row r="291" spans="1:76" ht="116.1" hidden="1" customHeight="1" outlineLevel="1" x14ac:dyDescent="0.25">
      <c r="A291" s="678">
        <v>10</v>
      </c>
      <c r="B291" s="702" t="s">
        <v>276</v>
      </c>
      <c r="C291" s="694" t="s">
        <v>276</v>
      </c>
      <c r="D291" s="63">
        <v>43956</v>
      </c>
      <c r="E291" s="463" t="s">
        <v>168</v>
      </c>
      <c r="F291" s="542" t="s">
        <v>277</v>
      </c>
      <c r="G291" s="71" t="s">
        <v>25</v>
      </c>
      <c r="H291" s="311" t="s">
        <v>129</v>
      </c>
      <c r="I291" s="335"/>
      <c r="J291" s="294">
        <f t="shared" si="1454"/>
        <v>1.773426970277364E-4</v>
      </c>
      <c r="K291" s="52">
        <f t="shared" si="1455"/>
        <v>1.643285668850099E-4</v>
      </c>
      <c r="L291" s="52">
        <f t="shared" si="1456"/>
        <v>0</v>
      </c>
      <c r="M291" s="52">
        <f t="shared" si="1457"/>
        <v>0</v>
      </c>
      <c r="N291" s="52">
        <f t="shared" si="1458"/>
        <v>0</v>
      </c>
      <c r="O291" s="52">
        <f t="shared" si="1459"/>
        <v>0</v>
      </c>
      <c r="P291" s="52">
        <f t="shared" si="1460"/>
        <v>0</v>
      </c>
      <c r="Q291" s="52">
        <f t="shared" si="1461"/>
        <v>0</v>
      </c>
      <c r="R291" s="52">
        <f t="shared" si="1462"/>
        <v>0</v>
      </c>
      <c r="S291" s="527">
        <f t="shared" si="1463"/>
        <v>0</v>
      </c>
      <c r="T291" s="533">
        <f t="shared" si="1464"/>
        <v>-1.773426970277364E-4</v>
      </c>
      <c r="U291" s="375">
        <f t="shared" si="1465"/>
        <v>-1.643285668850099E-4</v>
      </c>
      <c r="V291" s="375">
        <f t="shared" si="1466"/>
        <v>0</v>
      </c>
      <c r="W291" s="386">
        <f t="shared" si="1467"/>
        <v>0</v>
      </c>
      <c r="X291" s="386">
        <f t="shared" si="1468"/>
        <v>0</v>
      </c>
      <c r="Y291" s="386">
        <f t="shared" si="1469"/>
        <v>0</v>
      </c>
      <c r="Z291" s="375">
        <f t="shared" si="1470"/>
        <v>0</v>
      </c>
      <c r="AA291" s="375">
        <f t="shared" si="1471"/>
        <v>0</v>
      </c>
      <c r="AB291" s="386">
        <f t="shared" si="1472"/>
        <v>0</v>
      </c>
      <c r="AC291" s="386">
        <f t="shared" si="1473"/>
        <v>0</v>
      </c>
      <c r="AD291" s="386">
        <f t="shared" si="1474"/>
        <v>0</v>
      </c>
      <c r="AE291" s="386">
        <f t="shared" si="1475"/>
        <v>0</v>
      </c>
      <c r="AF291" s="386">
        <f t="shared" si="1476"/>
        <v>0</v>
      </c>
      <c r="AG291" s="375">
        <f t="shared" si="1477"/>
        <v>0</v>
      </c>
      <c r="AH291" s="375">
        <f t="shared" si="1478"/>
        <v>0</v>
      </c>
      <c r="AI291" s="386">
        <f t="shared" si="1479"/>
        <v>0</v>
      </c>
      <c r="AJ291" s="386">
        <f t="shared" si="1480"/>
        <v>0</v>
      </c>
      <c r="AK291" s="386">
        <f t="shared" si="1481"/>
        <v>0</v>
      </c>
      <c r="AL291" s="377">
        <f t="shared" si="1482"/>
        <v>0</v>
      </c>
      <c r="AM291" s="377">
        <f t="shared" si="1483"/>
        <v>0</v>
      </c>
      <c r="AN291" s="377">
        <f t="shared" si="1484"/>
        <v>0</v>
      </c>
      <c r="AO291" s="283"/>
      <c r="AP291" s="295">
        <f t="shared" si="1494"/>
        <v>4.9781769999999996</v>
      </c>
      <c r="AQ291" s="20">
        <f t="shared" ref="AQ291:AQ299" si="1501">-BA291</f>
        <v>5</v>
      </c>
      <c r="AR291" s="95">
        <f>-BB291</f>
        <v>4.9781769999999996</v>
      </c>
      <c r="AS291" s="94">
        <f t="shared" ref="AS291:AS299" si="1502">-BC291</f>
        <v>0</v>
      </c>
      <c r="AT291" s="94">
        <f t="shared" si="1486"/>
        <v>0</v>
      </c>
      <c r="AU291" s="94">
        <f t="shared" si="1487"/>
        <v>0</v>
      </c>
      <c r="AV291" s="94">
        <f t="shared" si="1488"/>
        <v>0</v>
      </c>
      <c r="AW291" s="94">
        <f t="shared" ref="AW291:AW303" si="1503">-BH291</f>
        <v>0</v>
      </c>
      <c r="AX291" s="94">
        <f t="shared" si="1490"/>
        <v>0</v>
      </c>
      <c r="AY291" s="94">
        <f t="shared" ref="AY291:AY303" si="1504">-BO291</f>
        <v>0</v>
      </c>
      <c r="AZ291" s="433">
        <f t="shared" si="1492"/>
        <v>0</v>
      </c>
      <c r="BA291" s="657">
        <v>-5</v>
      </c>
      <c r="BB291" s="327">
        <v>-4.9781769999999996</v>
      </c>
      <c r="BC291" s="207">
        <v>0</v>
      </c>
      <c r="BD291" s="389">
        <v>0</v>
      </c>
      <c r="BE291" s="389">
        <v>0</v>
      </c>
      <c r="BF291" s="516">
        <v>0</v>
      </c>
      <c r="BG291" s="207">
        <v>0</v>
      </c>
      <c r="BH291" s="207">
        <v>0</v>
      </c>
      <c r="BI291" s="389">
        <v>0</v>
      </c>
      <c r="BJ291" s="516">
        <v>0</v>
      </c>
      <c r="BK291" s="516">
        <v>0</v>
      </c>
      <c r="BL291" s="516">
        <v>0</v>
      </c>
      <c r="BM291" s="516">
        <v>0</v>
      </c>
      <c r="BN291" s="409">
        <v>0</v>
      </c>
      <c r="BO291" s="207">
        <v>0</v>
      </c>
      <c r="BP291" s="389">
        <v>0</v>
      </c>
      <c r="BQ291" s="389">
        <v>0</v>
      </c>
      <c r="BR291" s="389">
        <v>0</v>
      </c>
      <c r="BS291" s="296">
        <v>0</v>
      </c>
      <c r="BT291" s="296">
        <v>0</v>
      </c>
      <c r="BU291" s="296">
        <v>0</v>
      </c>
      <c r="BV291" s="409">
        <v>0</v>
      </c>
      <c r="BW291" s="296">
        <f t="shared" ref="BW291:BW299" si="1505">-BV291</f>
        <v>0</v>
      </c>
      <c r="BX291" s="439" t="s">
        <v>167</v>
      </c>
    </row>
    <row r="292" spans="1:76" ht="72.599999999999994" hidden="1" customHeight="1" outlineLevel="1" x14ac:dyDescent="0.25">
      <c r="A292" s="678">
        <v>11</v>
      </c>
      <c r="B292" s="702" t="s">
        <v>276</v>
      </c>
      <c r="C292" s="694" t="s">
        <v>276</v>
      </c>
      <c r="D292" s="63">
        <v>44069</v>
      </c>
      <c r="E292" s="463" t="s">
        <v>654</v>
      </c>
      <c r="F292" s="542" t="s">
        <v>656</v>
      </c>
      <c r="G292" s="71" t="s">
        <v>25</v>
      </c>
      <c r="H292" s="311" t="s">
        <v>129</v>
      </c>
      <c r="I292" s="335"/>
      <c r="J292" s="294">
        <f t="shared" ref="J292:J295" si="1506">AQ292/T$8</f>
        <v>7.2355820387316451E-5</v>
      </c>
      <c r="K292" s="52">
        <f t="shared" ref="K292:K295" si="1507">AR292/U$8</f>
        <v>3.2923345165691804E-4</v>
      </c>
      <c r="L292" s="52">
        <f t="shared" ref="L292:L295" si="1508">AS292/V$8</f>
        <v>0</v>
      </c>
      <c r="M292" s="52">
        <f t="shared" si="1457"/>
        <v>0</v>
      </c>
      <c r="N292" s="52">
        <f t="shared" si="1458"/>
        <v>0</v>
      </c>
      <c r="O292" s="52">
        <f t="shared" si="1459"/>
        <v>0</v>
      </c>
      <c r="P292" s="52">
        <f t="shared" si="1460"/>
        <v>0</v>
      </c>
      <c r="Q292" s="52">
        <f t="shared" si="1461"/>
        <v>0</v>
      </c>
      <c r="R292" s="52">
        <f t="shared" si="1462"/>
        <v>0</v>
      </c>
      <c r="S292" s="527">
        <f t="shared" ref="S292:S295" si="1509">AZ292/AN$8</f>
        <v>0</v>
      </c>
      <c r="T292" s="533">
        <f t="shared" si="1464"/>
        <v>-7.2355820387316451E-5</v>
      </c>
      <c r="U292" s="1197">
        <f>BB292/U$8</f>
        <v>-3.2923345165691804E-4</v>
      </c>
      <c r="V292" s="375">
        <f t="shared" ref="V292:V295" si="1510">BC292/V$8</f>
        <v>0</v>
      </c>
      <c r="W292" s="386">
        <f t="shared" ref="W292:W295" si="1511">BD292/W$8</f>
        <v>0</v>
      </c>
      <c r="X292" s="386">
        <f t="shared" ref="X292:X295" si="1512">BE292/X$8</f>
        <v>0</v>
      </c>
      <c r="Y292" s="386">
        <f t="shared" ref="Y292:Y295" si="1513">BF292/Y$8</f>
        <v>0</v>
      </c>
      <c r="Z292" s="375">
        <f t="shared" ref="Z292:Z311" si="1514">BG292/Z$8</f>
        <v>0</v>
      </c>
      <c r="AA292" s="375">
        <f t="shared" ref="AA292:AA295" si="1515">BH292/AA$8</f>
        <v>0</v>
      </c>
      <c r="AB292" s="386">
        <f t="shared" ref="AB292:AB295" si="1516">BI292/AB$8</f>
        <v>0</v>
      </c>
      <c r="AC292" s="386">
        <f t="shared" si="1473"/>
        <v>0</v>
      </c>
      <c r="AD292" s="386">
        <f t="shared" si="1474"/>
        <v>0</v>
      </c>
      <c r="AE292" s="386">
        <f t="shared" si="1475"/>
        <v>0</v>
      </c>
      <c r="AF292" s="386">
        <f t="shared" si="1476"/>
        <v>0</v>
      </c>
      <c r="AG292" s="375">
        <f t="shared" si="1477"/>
        <v>0</v>
      </c>
      <c r="AH292" s="375">
        <f t="shared" si="1478"/>
        <v>0</v>
      </c>
      <c r="AI292" s="386">
        <f t="shared" si="1479"/>
        <v>0</v>
      </c>
      <c r="AJ292" s="386">
        <f t="shared" si="1480"/>
        <v>0</v>
      </c>
      <c r="AK292" s="386">
        <f t="shared" si="1481"/>
        <v>0</v>
      </c>
      <c r="AL292" s="377">
        <f t="shared" si="1482"/>
        <v>0</v>
      </c>
      <c r="AM292" s="377">
        <f t="shared" si="1483"/>
        <v>0</v>
      </c>
      <c r="AN292" s="377">
        <f t="shared" si="1484"/>
        <v>0</v>
      </c>
      <c r="AO292" s="283"/>
      <c r="AP292" s="1215">
        <f>SUM(AU292:AU295)+SUM(AW292:AW295)+SUM(AY292:AY295)+SUM(AZ292:AZ295)+SUM(AR292)</f>
        <v>9.9738129999999998</v>
      </c>
      <c r="AQ292" s="20">
        <f t="shared" si="1501"/>
        <v>2.04</v>
      </c>
      <c r="AR292" s="1250">
        <f>-BB292</f>
        <v>9.9738129999999998</v>
      </c>
      <c r="AS292" s="94">
        <f t="shared" si="1502"/>
        <v>0</v>
      </c>
      <c r="AT292" s="94">
        <f t="shared" si="1486"/>
        <v>0</v>
      </c>
      <c r="AU292" s="94">
        <f t="shared" si="1487"/>
        <v>0</v>
      </c>
      <c r="AV292" s="94">
        <f t="shared" si="1488"/>
        <v>0</v>
      </c>
      <c r="AW292" s="94">
        <f t="shared" si="1503"/>
        <v>0</v>
      </c>
      <c r="AX292" s="94">
        <f t="shared" si="1490"/>
        <v>0</v>
      </c>
      <c r="AY292" s="94">
        <f t="shared" si="1504"/>
        <v>0</v>
      </c>
      <c r="AZ292" s="433">
        <f t="shared" si="1492"/>
        <v>0</v>
      </c>
      <c r="BA292" s="657">
        <f>-2.04</f>
        <v>-2.04</v>
      </c>
      <c r="BB292" s="1238">
        <v>-9.9738129999999998</v>
      </c>
      <c r="BC292" s="207">
        <v>0</v>
      </c>
      <c r="BD292" s="389">
        <v>0</v>
      </c>
      <c r="BE292" s="389">
        <v>0</v>
      </c>
      <c r="BF292" s="516">
        <v>0</v>
      </c>
      <c r="BG292" s="207">
        <v>0</v>
      </c>
      <c r="BH292" s="207">
        <v>0</v>
      </c>
      <c r="BI292" s="389">
        <v>0</v>
      </c>
      <c r="BJ292" s="516">
        <v>0</v>
      </c>
      <c r="BK292" s="516">
        <v>0</v>
      </c>
      <c r="BL292" s="516">
        <v>0</v>
      </c>
      <c r="BM292" s="516">
        <v>0</v>
      </c>
      <c r="BN292" s="409">
        <v>0</v>
      </c>
      <c r="BO292" s="207">
        <v>0</v>
      </c>
      <c r="BP292" s="389">
        <v>0</v>
      </c>
      <c r="BQ292" s="389">
        <v>0</v>
      </c>
      <c r="BR292" s="389">
        <v>0</v>
      </c>
      <c r="BS292" s="296">
        <v>0</v>
      </c>
      <c r="BT292" s="296">
        <v>0</v>
      </c>
      <c r="BU292" s="296">
        <v>0</v>
      </c>
      <c r="BV292" s="409">
        <v>0</v>
      </c>
      <c r="BW292" s="296">
        <f t="shared" si="1505"/>
        <v>0</v>
      </c>
      <c r="BX292" s="439" t="s">
        <v>657</v>
      </c>
    </row>
    <row r="293" spans="1:76" ht="108.95" hidden="1" customHeight="1" outlineLevel="1" x14ac:dyDescent="0.25">
      <c r="A293" s="678">
        <v>12</v>
      </c>
      <c r="B293" s="702" t="s">
        <v>276</v>
      </c>
      <c r="C293" s="694" t="s">
        <v>276</v>
      </c>
      <c r="D293" s="63">
        <v>44069</v>
      </c>
      <c r="E293" s="463" t="s">
        <v>655</v>
      </c>
      <c r="F293" s="542" t="s">
        <v>658</v>
      </c>
      <c r="G293" s="71" t="s">
        <v>25</v>
      </c>
      <c r="H293" s="311" t="s">
        <v>127</v>
      </c>
      <c r="I293" s="335"/>
      <c r="J293" s="294">
        <f t="shared" si="1506"/>
        <v>5.7851032134496702E-5</v>
      </c>
      <c r="K293" s="52">
        <f t="shared" si="1507"/>
        <v>0</v>
      </c>
      <c r="L293" s="52">
        <f t="shared" si="1508"/>
        <v>0</v>
      </c>
      <c r="M293" s="52">
        <f t="shared" si="1457"/>
        <v>0</v>
      </c>
      <c r="N293" s="52">
        <f t="shared" si="1458"/>
        <v>0</v>
      </c>
      <c r="O293" s="52">
        <f t="shared" si="1459"/>
        <v>0</v>
      </c>
      <c r="P293" s="52">
        <f t="shared" si="1460"/>
        <v>0</v>
      </c>
      <c r="Q293" s="52">
        <f t="shared" si="1461"/>
        <v>0</v>
      </c>
      <c r="R293" s="52">
        <f t="shared" si="1462"/>
        <v>0</v>
      </c>
      <c r="S293" s="527">
        <f t="shared" si="1509"/>
        <v>0</v>
      </c>
      <c r="T293" s="533">
        <f t="shared" si="1464"/>
        <v>-5.7851032134496702E-5</v>
      </c>
      <c r="U293" s="1214"/>
      <c r="V293" s="375">
        <f t="shared" si="1510"/>
        <v>0</v>
      </c>
      <c r="W293" s="386">
        <f t="shared" si="1511"/>
        <v>0</v>
      </c>
      <c r="X293" s="386">
        <f t="shared" si="1512"/>
        <v>0</v>
      </c>
      <c r="Y293" s="386">
        <f t="shared" si="1513"/>
        <v>0</v>
      </c>
      <c r="Z293" s="375">
        <f t="shared" si="1514"/>
        <v>0</v>
      </c>
      <c r="AA293" s="375">
        <f t="shared" si="1515"/>
        <v>0</v>
      </c>
      <c r="AB293" s="386">
        <f t="shared" si="1516"/>
        <v>0</v>
      </c>
      <c r="AC293" s="386">
        <f t="shared" si="1473"/>
        <v>0</v>
      </c>
      <c r="AD293" s="386">
        <f t="shared" si="1474"/>
        <v>0</v>
      </c>
      <c r="AE293" s="386">
        <f t="shared" si="1475"/>
        <v>0</v>
      </c>
      <c r="AF293" s="386">
        <f t="shared" si="1476"/>
        <v>0</v>
      </c>
      <c r="AG293" s="375">
        <f t="shared" si="1477"/>
        <v>0</v>
      </c>
      <c r="AH293" s="375">
        <f t="shared" si="1478"/>
        <v>0</v>
      </c>
      <c r="AI293" s="386">
        <f t="shared" si="1479"/>
        <v>0</v>
      </c>
      <c r="AJ293" s="386">
        <f t="shared" si="1480"/>
        <v>0</v>
      </c>
      <c r="AK293" s="386">
        <f t="shared" si="1481"/>
        <v>0</v>
      </c>
      <c r="AL293" s="377">
        <f t="shared" si="1482"/>
        <v>0</v>
      </c>
      <c r="AM293" s="377">
        <f t="shared" si="1483"/>
        <v>0</v>
      </c>
      <c r="AN293" s="377">
        <f t="shared" si="1484"/>
        <v>0</v>
      </c>
      <c r="AO293" s="283"/>
      <c r="AP293" s="1216"/>
      <c r="AQ293" s="20">
        <f t="shared" si="1501"/>
        <v>1.6310519999999999</v>
      </c>
      <c r="AR293" s="1251"/>
      <c r="AS293" s="94">
        <f t="shared" si="1502"/>
        <v>0</v>
      </c>
      <c r="AT293" s="94">
        <f t="shared" si="1486"/>
        <v>0</v>
      </c>
      <c r="AU293" s="94">
        <f t="shared" si="1487"/>
        <v>0</v>
      </c>
      <c r="AV293" s="94">
        <f t="shared" si="1488"/>
        <v>0</v>
      </c>
      <c r="AW293" s="94">
        <f t="shared" si="1503"/>
        <v>0</v>
      </c>
      <c r="AX293" s="94">
        <f t="shared" si="1490"/>
        <v>0</v>
      </c>
      <c r="AY293" s="94">
        <f t="shared" si="1504"/>
        <v>0</v>
      </c>
      <c r="AZ293" s="433">
        <f t="shared" si="1492"/>
        <v>0</v>
      </c>
      <c r="BA293" s="657">
        <v>-1.6310519999999999</v>
      </c>
      <c r="BB293" s="1249"/>
      <c r="BC293" s="207">
        <v>0</v>
      </c>
      <c r="BD293" s="389">
        <v>0</v>
      </c>
      <c r="BE293" s="389">
        <v>0</v>
      </c>
      <c r="BF293" s="516">
        <v>0</v>
      </c>
      <c r="BG293" s="207">
        <v>0</v>
      </c>
      <c r="BH293" s="207">
        <v>0</v>
      </c>
      <c r="BI293" s="389">
        <v>0</v>
      </c>
      <c r="BJ293" s="516">
        <v>0</v>
      </c>
      <c r="BK293" s="516">
        <v>0</v>
      </c>
      <c r="BL293" s="516">
        <v>0</v>
      </c>
      <c r="BM293" s="516">
        <v>0</v>
      </c>
      <c r="BN293" s="409">
        <v>0</v>
      </c>
      <c r="BO293" s="207">
        <v>0</v>
      </c>
      <c r="BP293" s="389">
        <v>0</v>
      </c>
      <c r="BQ293" s="389">
        <v>0</v>
      </c>
      <c r="BR293" s="389">
        <v>0</v>
      </c>
      <c r="BS293" s="296">
        <v>0</v>
      </c>
      <c r="BT293" s="296">
        <v>0</v>
      </c>
      <c r="BU293" s="296">
        <v>0</v>
      </c>
      <c r="BV293" s="409">
        <v>0</v>
      </c>
      <c r="BW293" s="296">
        <f t="shared" si="1505"/>
        <v>0</v>
      </c>
      <c r="BX293" s="442" t="s">
        <v>658</v>
      </c>
    </row>
    <row r="294" spans="1:76" ht="87" hidden="1" customHeight="1" outlineLevel="1" x14ac:dyDescent="0.25">
      <c r="A294" s="678">
        <v>13</v>
      </c>
      <c r="B294" s="702" t="s">
        <v>276</v>
      </c>
      <c r="C294" s="694" t="s">
        <v>276</v>
      </c>
      <c r="D294" s="63">
        <v>44082</v>
      </c>
      <c r="E294" s="463" t="s">
        <v>659</v>
      </c>
      <c r="F294" s="542" t="s">
        <v>662</v>
      </c>
      <c r="G294" s="71" t="s">
        <v>25</v>
      </c>
      <c r="H294" s="311" t="s">
        <v>127</v>
      </c>
      <c r="I294" s="335"/>
      <c r="J294" s="294">
        <f t="shared" si="1506"/>
        <v>8.7110129814854217E-5</v>
      </c>
      <c r="K294" s="52">
        <f t="shared" si="1507"/>
        <v>0</v>
      </c>
      <c r="L294" s="52">
        <f t="shared" si="1508"/>
        <v>0</v>
      </c>
      <c r="M294" s="52">
        <f t="shared" si="1457"/>
        <v>0</v>
      </c>
      <c r="N294" s="52">
        <f t="shared" si="1458"/>
        <v>0</v>
      </c>
      <c r="O294" s="52">
        <f t="shared" si="1459"/>
        <v>0</v>
      </c>
      <c r="P294" s="52">
        <f t="shared" si="1460"/>
        <v>0</v>
      </c>
      <c r="Q294" s="52">
        <f t="shared" si="1461"/>
        <v>0</v>
      </c>
      <c r="R294" s="52">
        <f t="shared" si="1462"/>
        <v>0</v>
      </c>
      <c r="S294" s="527">
        <f t="shared" si="1509"/>
        <v>0</v>
      </c>
      <c r="T294" s="533">
        <f t="shared" si="1464"/>
        <v>-8.7110129814854217E-5</v>
      </c>
      <c r="U294" s="1214"/>
      <c r="V294" s="375">
        <f t="shared" si="1510"/>
        <v>0</v>
      </c>
      <c r="W294" s="386">
        <f t="shared" si="1511"/>
        <v>0</v>
      </c>
      <c r="X294" s="386">
        <f t="shared" si="1512"/>
        <v>0</v>
      </c>
      <c r="Y294" s="386">
        <f t="shared" si="1513"/>
        <v>0</v>
      </c>
      <c r="Z294" s="375">
        <f t="shared" si="1514"/>
        <v>0</v>
      </c>
      <c r="AA294" s="375">
        <f t="shared" si="1515"/>
        <v>0</v>
      </c>
      <c r="AB294" s="386">
        <f t="shared" si="1516"/>
        <v>0</v>
      </c>
      <c r="AC294" s="386">
        <f t="shared" si="1473"/>
        <v>0</v>
      </c>
      <c r="AD294" s="386">
        <f t="shared" si="1474"/>
        <v>0</v>
      </c>
      <c r="AE294" s="386">
        <f t="shared" si="1475"/>
        <v>0</v>
      </c>
      <c r="AF294" s="386">
        <f t="shared" si="1476"/>
        <v>0</v>
      </c>
      <c r="AG294" s="375">
        <f t="shared" si="1477"/>
        <v>0</v>
      </c>
      <c r="AH294" s="375">
        <f t="shared" si="1478"/>
        <v>0</v>
      </c>
      <c r="AI294" s="386">
        <f t="shared" si="1479"/>
        <v>0</v>
      </c>
      <c r="AJ294" s="386">
        <f t="shared" si="1480"/>
        <v>0</v>
      </c>
      <c r="AK294" s="386">
        <f t="shared" si="1481"/>
        <v>0</v>
      </c>
      <c r="AL294" s="377">
        <f t="shared" si="1482"/>
        <v>0</v>
      </c>
      <c r="AM294" s="377">
        <f t="shared" si="1483"/>
        <v>0</v>
      </c>
      <c r="AN294" s="377">
        <f t="shared" si="1484"/>
        <v>0</v>
      </c>
      <c r="AO294" s="283"/>
      <c r="AP294" s="1216"/>
      <c r="AQ294" s="20">
        <f t="shared" si="1501"/>
        <v>2.4559829999999998</v>
      </c>
      <c r="AR294" s="1251"/>
      <c r="AS294" s="94">
        <f t="shared" si="1502"/>
        <v>0</v>
      </c>
      <c r="AT294" s="94">
        <f t="shared" si="1486"/>
        <v>0</v>
      </c>
      <c r="AU294" s="94">
        <f t="shared" si="1487"/>
        <v>0</v>
      </c>
      <c r="AV294" s="94">
        <f t="shared" si="1488"/>
        <v>0</v>
      </c>
      <c r="AW294" s="94">
        <f t="shared" si="1503"/>
        <v>0</v>
      </c>
      <c r="AX294" s="94">
        <f t="shared" si="1490"/>
        <v>0</v>
      </c>
      <c r="AY294" s="94">
        <f t="shared" si="1504"/>
        <v>0</v>
      </c>
      <c r="AZ294" s="433">
        <f t="shared" si="1492"/>
        <v>0</v>
      </c>
      <c r="BA294" s="657">
        <v>-2.4559829999999998</v>
      </c>
      <c r="BB294" s="1249"/>
      <c r="BC294" s="207">
        <v>0</v>
      </c>
      <c r="BD294" s="389">
        <v>0</v>
      </c>
      <c r="BE294" s="389">
        <v>0</v>
      </c>
      <c r="BF294" s="516">
        <v>0</v>
      </c>
      <c r="BG294" s="207">
        <v>0</v>
      </c>
      <c r="BH294" s="207">
        <v>0</v>
      </c>
      <c r="BI294" s="389">
        <v>0</v>
      </c>
      <c r="BJ294" s="516">
        <v>0</v>
      </c>
      <c r="BK294" s="516">
        <v>0</v>
      </c>
      <c r="BL294" s="516">
        <v>0</v>
      </c>
      <c r="BM294" s="516">
        <v>0</v>
      </c>
      <c r="BN294" s="409">
        <v>0</v>
      </c>
      <c r="BO294" s="207">
        <v>0</v>
      </c>
      <c r="BP294" s="389">
        <v>0</v>
      </c>
      <c r="BQ294" s="389">
        <v>0</v>
      </c>
      <c r="BR294" s="389">
        <v>0</v>
      </c>
      <c r="BS294" s="296">
        <v>0</v>
      </c>
      <c r="BT294" s="296">
        <v>0</v>
      </c>
      <c r="BU294" s="296">
        <v>0</v>
      </c>
      <c r="BV294" s="409">
        <v>0</v>
      </c>
      <c r="BW294" s="296">
        <f t="shared" si="1505"/>
        <v>0</v>
      </c>
      <c r="BX294" s="442" t="s">
        <v>662</v>
      </c>
    </row>
    <row r="295" spans="1:76" ht="43.5" hidden="1" customHeight="1" outlineLevel="1" x14ac:dyDescent="0.25">
      <c r="A295" s="678">
        <v>14</v>
      </c>
      <c r="B295" s="702" t="s">
        <v>276</v>
      </c>
      <c r="C295" s="694" t="s">
        <v>276</v>
      </c>
      <c r="D295" s="63">
        <v>44090</v>
      </c>
      <c r="E295" s="463" t="s">
        <v>660</v>
      </c>
      <c r="F295" s="542" t="s">
        <v>661</v>
      </c>
      <c r="G295" s="71" t="s">
        <v>25</v>
      </c>
      <c r="H295" s="311" t="s">
        <v>129</v>
      </c>
      <c r="I295" s="335"/>
      <c r="J295" s="294">
        <f t="shared" si="1506"/>
        <v>1.408101014400227E-4</v>
      </c>
      <c r="K295" s="52">
        <f t="shared" si="1507"/>
        <v>0</v>
      </c>
      <c r="L295" s="52">
        <f t="shared" si="1508"/>
        <v>0</v>
      </c>
      <c r="M295" s="52">
        <f t="shared" si="1457"/>
        <v>0</v>
      </c>
      <c r="N295" s="52">
        <f t="shared" si="1458"/>
        <v>0</v>
      </c>
      <c r="O295" s="52">
        <f t="shared" si="1459"/>
        <v>0</v>
      </c>
      <c r="P295" s="52">
        <f t="shared" si="1460"/>
        <v>0</v>
      </c>
      <c r="Q295" s="52">
        <f t="shared" si="1461"/>
        <v>0</v>
      </c>
      <c r="R295" s="52">
        <f t="shared" si="1462"/>
        <v>0</v>
      </c>
      <c r="S295" s="527">
        <f t="shared" si="1509"/>
        <v>0</v>
      </c>
      <c r="T295" s="533">
        <f t="shared" si="1464"/>
        <v>-1.408101014400227E-4</v>
      </c>
      <c r="U295" s="1198"/>
      <c r="V295" s="375">
        <f t="shared" si="1510"/>
        <v>0</v>
      </c>
      <c r="W295" s="386">
        <f t="shared" si="1511"/>
        <v>0</v>
      </c>
      <c r="X295" s="386">
        <f t="shared" si="1512"/>
        <v>0</v>
      </c>
      <c r="Y295" s="386">
        <f t="shared" si="1513"/>
        <v>0</v>
      </c>
      <c r="Z295" s="375">
        <f t="shared" si="1514"/>
        <v>0</v>
      </c>
      <c r="AA295" s="375">
        <f t="shared" si="1515"/>
        <v>0</v>
      </c>
      <c r="AB295" s="386">
        <f t="shared" si="1516"/>
        <v>0</v>
      </c>
      <c r="AC295" s="386">
        <f t="shared" si="1473"/>
        <v>0</v>
      </c>
      <c r="AD295" s="386">
        <f t="shared" si="1474"/>
        <v>0</v>
      </c>
      <c r="AE295" s="386">
        <f t="shared" si="1475"/>
        <v>0</v>
      </c>
      <c r="AF295" s="386">
        <f t="shared" si="1476"/>
        <v>0</v>
      </c>
      <c r="AG295" s="375">
        <f t="shared" si="1477"/>
        <v>0</v>
      </c>
      <c r="AH295" s="375">
        <f t="shared" si="1478"/>
        <v>0</v>
      </c>
      <c r="AI295" s="386">
        <f t="shared" si="1479"/>
        <v>0</v>
      </c>
      <c r="AJ295" s="386">
        <f t="shared" si="1480"/>
        <v>0</v>
      </c>
      <c r="AK295" s="386">
        <f t="shared" si="1481"/>
        <v>0</v>
      </c>
      <c r="AL295" s="377">
        <f t="shared" si="1482"/>
        <v>0</v>
      </c>
      <c r="AM295" s="377">
        <f t="shared" si="1483"/>
        <v>0</v>
      </c>
      <c r="AN295" s="377">
        <f t="shared" si="1484"/>
        <v>0</v>
      </c>
      <c r="AO295" s="283"/>
      <c r="AP295" s="1217"/>
      <c r="AQ295" s="20">
        <f t="shared" si="1501"/>
        <v>3.97</v>
      </c>
      <c r="AR295" s="1252"/>
      <c r="AS295" s="94">
        <f t="shared" si="1502"/>
        <v>0</v>
      </c>
      <c r="AT295" s="94">
        <f t="shared" si="1486"/>
        <v>0</v>
      </c>
      <c r="AU295" s="94">
        <f t="shared" si="1487"/>
        <v>0</v>
      </c>
      <c r="AV295" s="94">
        <f t="shared" si="1488"/>
        <v>0</v>
      </c>
      <c r="AW295" s="94">
        <f t="shared" si="1503"/>
        <v>0</v>
      </c>
      <c r="AX295" s="94">
        <f t="shared" si="1490"/>
        <v>0</v>
      </c>
      <c r="AY295" s="94">
        <f t="shared" si="1504"/>
        <v>0</v>
      </c>
      <c r="AZ295" s="433">
        <f t="shared" si="1492"/>
        <v>0</v>
      </c>
      <c r="BA295" s="657">
        <v>-3.97</v>
      </c>
      <c r="BB295" s="1239"/>
      <c r="BC295" s="207">
        <v>0</v>
      </c>
      <c r="BD295" s="389">
        <v>0</v>
      </c>
      <c r="BE295" s="389">
        <v>0</v>
      </c>
      <c r="BF295" s="516">
        <v>0</v>
      </c>
      <c r="BG295" s="207">
        <v>0</v>
      </c>
      <c r="BH295" s="207">
        <v>0</v>
      </c>
      <c r="BI295" s="389">
        <v>0</v>
      </c>
      <c r="BJ295" s="516">
        <v>0</v>
      </c>
      <c r="BK295" s="516">
        <v>0</v>
      </c>
      <c r="BL295" s="516">
        <v>0</v>
      </c>
      <c r="BM295" s="516">
        <v>0</v>
      </c>
      <c r="BN295" s="409">
        <v>0</v>
      </c>
      <c r="BO295" s="207">
        <v>0</v>
      </c>
      <c r="BP295" s="389">
        <v>0</v>
      </c>
      <c r="BQ295" s="389">
        <v>0</v>
      </c>
      <c r="BR295" s="389">
        <v>0</v>
      </c>
      <c r="BS295" s="296">
        <v>0</v>
      </c>
      <c r="BT295" s="296">
        <v>0</v>
      </c>
      <c r="BU295" s="296">
        <v>0</v>
      </c>
      <c r="BV295" s="409">
        <v>0</v>
      </c>
      <c r="BW295" s="296">
        <f t="shared" si="1505"/>
        <v>0</v>
      </c>
      <c r="BX295" s="442" t="s">
        <v>661</v>
      </c>
    </row>
    <row r="296" spans="1:76" ht="87" hidden="1" customHeight="1" outlineLevel="1" x14ac:dyDescent="0.25">
      <c r="A296" s="678">
        <v>15</v>
      </c>
      <c r="B296" s="702" t="s">
        <v>276</v>
      </c>
      <c r="C296" s="694" t="s">
        <v>276</v>
      </c>
      <c r="D296" s="63" t="s">
        <v>599</v>
      </c>
      <c r="E296" s="463" t="s">
        <v>215</v>
      </c>
      <c r="F296" s="542" t="s">
        <v>663</v>
      </c>
      <c r="G296" s="71" t="s">
        <v>25</v>
      </c>
      <c r="H296" s="311" t="s">
        <v>127</v>
      </c>
      <c r="I296" s="335"/>
      <c r="J296" s="294">
        <f t="shared" ref="J296:J315" si="1517">AQ296/T$8</f>
        <v>0</v>
      </c>
      <c r="K296" s="52">
        <f t="shared" ref="K296:K315" si="1518">AR296/U$8</f>
        <v>0</v>
      </c>
      <c r="L296" s="52">
        <f t="shared" ref="L296:L315" si="1519">AS296/V$8</f>
        <v>2.6767140058765916E-4</v>
      </c>
      <c r="M296" s="52">
        <f t="shared" si="1457"/>
        <v>2.7883410925348901E-4</v>
      </c>
      <c r="N296" s="52">
        <f t="shared" si="1458"/>
        <v>2.4668762223082529E-4</v>
      </c>
      <c r="O296" s="52">
        <f t="shared" si="1459"/>
        <v>0</v>
      </c>
      <c r="P296" s="52">
        <f t="shared" si="1460"/>
        <v>0</v>
      </c>
      <c r="Q296" s="52">
        <f t="shared" si="1461"/>
        <v>0</v>
      </c>
      <c r="R296" s="52">
        <f t="shared" si="1462"/>
        <v>0</v>
      </c>
      <c r="S296" s="527">
        <f t="shared" ref="S296:S315" si="1520">AZ296/AN$8</f>
        <v>0</v>
      </c>
      <c r="T296" s="533">
        <f t="shared" si="1464"/>
        <v>0</v>
      </c>
      <c r="U296" s="375">
        <f t="shared" ref="U296:U315" si="1521">BB296/U$8</f>
        <v>0</v>
      </c>
      <c r="V296" s="375">
        <f t="shared" ref="V296:V315" si="1522">BC296/V$8</f>
        <v>-2.6767140058765916E-4</v>
      </c>
      <c r="W296" s="386">
        <f t="shared" ref="W296:W315" si="1523">BD296/W$8</f>
        <v>-2.8552643102939179E-4</v>
      </c>
      <c r="X296" s="386">
        <f t="shared" ref="X296:X315" si="1524">BE296/X$8</f>
        <v>-2.7883410925348901E-4</v>
      </c>
      <c r="Y296" s="386">
        <f t="shared" ref="Y296:Y305" si="1525">BF296/Y$8</f>
        <v>-2.7883410925348901E-4</v>
      </c>
      <c r="Z296" s="375">
        <f t="shared" si="1514"/>
        <v>-2.4668762223082529E-4</v>
      </c>
      <c r="AA296" s="375">
        <f t="shared" ref="AA296:AA315" si="1526">BH296/AA$8</f>
        <v>0</v>
      </c>
      <c r="AB296" s="386">
        <f t="shared" ref="AB296:AB315" si="1527">BI296/AB$8</f>
        <v>0</v>
      </c>
      <c r="AC296" s="386">
        <f t="shared" si="1473"/>
        <v>0</v>
      </c>
      <c r="AD296" s="386">
        <f t="shared" si="1474"/>
        <v>0</v>
      </c>
      <c r="AE296" s="386">
        <f t="shared" si="1475"/>
        <v>0</v>
      </c>
      <c r="AF296" s="386">
        <f t="shared" si="1476"/>
        <v>0</v>
      </c>
      <c r="AG296" s="375">
        <f t="shared" si="1477"/>
        <v>0</v>
      </c>
      <c r="AH296" s="375">
        <f t="shared" si="1478"/>
        <v>0</v>
      </c>
      <c r="AI296" s="386">
        <f t="shared" si="1479"/>
        <v>0</v>
      </c>
      <c r="AJ296" s="386">
        <f t="shared" si="1480"/>
        <v>0</v>
      </c>
      <c r="AK296" s="386">
        <f t="shared" si="1481"/>
        <v>0</v>
      </c>
      <c r="AL296" s="377">
        <f t="shared" si="1482"/>
        <v>0</v>
      </c>
      <c r="AM296" s="377">
        <f t="shared" si="1483"/>
        <v>0</v>
      </c>
      <c r="AN296" s="377">
        <f t="shared" si="1484"/>
        <v>0</v>
      </c>
      <c r="AO296" s="283"/>
      <c r="AP296" s="295">
        <f t="shared" ref="AP296:AP308" si="1528">AR296+AU296+AZ296+AW296+AY296</f>
        <v>8.2856400000000008</v>
      </c>
      <c r="AQ296" s="20">
        <f t="shared" si="1501"/>
        <v>0</v>
      </c>
      <c r="AR296" s="95">
        <f t="shared" ref="AR296:AR315" si="1529">-BB296</f>
        <v>0</v>
      </c>
      <c r="AS296" s="94">
        <f t="shared" si="1502"/>
        <v>8.7453599999999998</v>
      </c>
      <c r="AT296" s="94">
        <f t="shared" si="1486"/>
        <v>8.7453599999999998</v>
      </c>
      <c r="AU296" s="94">
        <f t="shared" si="1487"/>
        <v>8.2856400000000008</v>
      </c>
      <c r="AV296" s="94">
        <f t="shared" si="1488"/>
        <v>0</v>
      </c>
      <c r="AW296" s="94">
        <f t="shared" si="1503"/>
        <v>0</v>
      </c>
      <c r="AX296" s="94">
        <f t="shared" si="1490"/>
        <v>0</v>
      </c>
      <c r="AY296" s="94">
        <f t="shared" si="1504"/>
        <v>0</v>
      </c>
      <c r="AZ296" s="433">
        <f t="shared" si="1492"/>
        <v>0</v>
      </c>
      <c r="BA296" s="657">
        <v>0</v>
      </c>
      <c r="BB296" s="327">
        <v>0</v>
      </c>
      <c r="BC296" s="207">
        <v>-8.7453599999999998</v>
      </c>
      <c r="BD296" s="389">
        <v>-8.7453599999999998</v>
      </c>
      <c r="BE296" s="389">
        <v>-8.7453599999999998</v>
      </c>
      <c r="BF296" s="516">
        <v>-8.7453599999999998</v>
      </c>
      <c r="BG296" s="207">
        <f>-8.28564</f>
        <v>-8.2856400000000008</v>
      </c>
      <c r="BH296" s="207">
        <v>0</v>
      </c>
      <c r="BI296" s="389">
        <v>0</v>
      </c>
      <c r="BJ296" s="516">
        <v>0</v>
      </c>
      <c r="BK296" s="516">
        <v>0</v>
      </c>
      <c r="BL296" s="516">
        <v>0</v>
      </c>
      <c r="BM296" s="516">
        <v>0</v>
      </c>
      <c r="BN296" s="409">
        <v>0</v>
      </c>
      <c r="BO296" s="207">
        <v>0</v>
      </c>
      <c r="BP296" s="389">
        <v>0</v>
      </c>
      <c r="BQ296" s="389">
        <v>0</v>
      </c>
      <c r="BR296" s="389">
        <v>0</v>
      </c>
      <c r="BS296" s="296">
        <v>0</v>
      </c>
      <c r="BT296" s="296">
        <v>0</v>
      </c>
      <c r="BU296" s="296">
        <v>0</v>
      </c>
      <c r="BV296" s="409">
        <v>0</v>
      </c>
      <c r="BW296" s="296">
        <f t="shared" si="1505"/>
        <v>0</v>
      </c>
      <c r="BX296" s="442" t="s">
        <v>666</v>
      </c>
    </row>
    <row r="297" spans="1:76" ht="43.5" hidden="1" customHeight="1" outlineLevel="1" x14ac:dyDescent="0.25">
      <c r="A297" s="678">
        <v>16</v>
      </c>
      <c r="B297" s="702" t="s">
        <v>276</v>
      </c>
      <c r="C297" s="694" t="s">
        <v>276</v>
      </c>
      <c r="D297" s="63" t="s">
        <v>599</v>
      </c>
      <c r="E297" s="463" t="s">
        <v>215</v>
      </c>
      <c r="F297" s="542" t="s">
        <v>1703</v>
      </c>
      <c r="G297" s="71" t="s">
        <v>25</v>
      </c>
      <c r="H297" s="311" t="s">
        <v>127</v>
      </c>
      <c r="I297" s="335"/>
      <c r="J297" s="294">
        <f t="shared" si="1517"/>
        <v>0</v>
      </c>
      <c r="K297" s="52">
        <f t="shared" si="1518"/>
        <v>0</v>
      </c>
      <c r="L297" s="52">
        <f t="shared" si="1519"/>
        <v>6.668722453476984E-5</v>
      </c>
      <c r="M297" s="52">
        <f t="shared" si="1457"/>
        <v>6.94682839142183E-5</v>
      </c>
      <c r="N297" s="52">
        <f t="shared" si="1458"/>
        <v>5.6393138665933621E-5</v>
      </c>
      <c r="O297" s="52">
        <f t="shared" si="1459"/>
        <v>0</v>
      </c>
      <c r="P297" s="52">
        <f t="shared" si="1460"/>
        <v>0</v>
      </c>
      <c r="Q297" s="52">
        <f t="shared" si="1461"/>
        <v>0</v>
      </c>
      <c r="R297" s="52">
        <f t="shared" si="1462"/>
        <v>0</v>
      </c>
      <c r="S297" s="527">
        <f t="shared" si="1520"/>
        <v>0</v>
      </c>
      <c r="T297" s="533">
        <f t="shared" si="1464"/>
        <v>0</v>
      </c>
      <c r="U297" s="375">
        <f t="shared" si="1521"/>
        <v>0</v>
      </c>
      <c r="V297" s="375">
        <f t="shared" si="1522"/>
        <v>-6.668722453476984E-5</v>
      </c>
      <c r="W297" s="386">
        <f t="shared" si="1523"/>
        <v>-7.1135598255417051E-5</v>
      </c>
      <c r="X297" s="386">
        <f t="shared" si="1524"/>
        <v>-6.94682839142183E-5</v>
      </c>
      <c r="Y297" s="386">
        <f t="shared" si="1525"/>
        <v>-6.94682839142183E-5</v>
      </c>
      <c r="Z297" s="375">
        <f t="shared" si="1514"/>
        <v>-5.6393138665933621E-5</v>
      </c>
      <c r="AA297" s="375">
        <f t="shared" si="1526"/>
        <v>0</v>
      </c>
      <c r="AB297" s="386">
        <f t="shared" si="1527"/>
        <v>0</v>
      </c>
      <c r="AC297" s="386">
        <f t="shared" si="1473"/>
        <v>0</v>
      </c>
      <c r="AD297" s="386">
        <f t="shared" si="1474"/>
        <v>0</v>
      </c>
      <c r="AE297" s="386">
        <f t="shared" si="1475"/>
        <v>0</v>
      </c>
      <c r="AF297" s="386">
        <f t="shared" si="1476"/>
        <v>0</v>
      </c>
      <c r="AG297" s="375">
        <f t="shared" si="1477"/>
        <v>0</v>
      </c>
      <c r="AH297" s="375">
        <f t="shared" si="1478"/>
        <v>0</v>
      </c>
      <c r="AI297" s="386">
        <f t="shared" si="1479"/>
        <v>0</v>
      </c>
      <c r="AJ297" s="386">
        <f t="shared" si="1480"/>
        <v>0</v>
      </c>
      <c r="AK297" s="386">
        <f t="shared" si="1481"/>
        <v>0</v>
      </c>
      <c r="AL297" s="377">
        <f t="shared" si="1482"/>
        <v>0</v>
      </c>
      <c r="AM297" s="377">
        <f t="shared" si="1483"/>
        <v>0</v>
      </c>
      <c r="AN297" s="377">
        <f t="shared" si="1484"/>
        <v>0</v>
      </c>
      <c r="AO297" s="283"/>
      <c r="AP297" s="295">
        <f t="shared" si="1528"/>
        <v>1.894109</v>
      </c>
      <c r="AQ297" s="20">
        <f t="shared" si="1501"/>
        <v>0</v>
      </c>
      <c r="AR297" s="95">
        <f t="shared" si="1529"/>
        <v>0</v>
      </c>
      <c r="AS297" s="94">
        <f t="shared" si="1502"/>
        <v>2.1788050000000001</v>
      </c>
      <c r="AT297" s="94">
        <f t="shared" si="1486"/>
        <v>2.1788050000000001</v>
      </c>
      <c r="AU297" s="94">
        <f t="shared" si="1487"/>
        <v>1.894109</v>
      </c>
      <c r="AV297" s="94">
        <f t="shared" si="1488"/>
        <v>0</v>
      </c>
      <c r="AW297" s="94">
        <f t="shared" si="1503"/>
        <v>0</v>
      </c>
      <c r="AX297" s="94">
        <f t="shared" si="1490"/>
        <v>0</v>
      </c>
      <c r="AY297" s="94">
        <f t="shared" si="1504"/>
        <v>0</v>
      </c>
      <c r="AZ297" s="433">
        <f t="shared" si="1492"/>
        <v>0</v>
      </c>
      <c r="BA297" s="657">
        <v>0</v>
      </c>
      <c r="BB297" s="327">
        <v>0</v>
      </c>
      <c r="BC297" s="207">
        <v>-2.1788050000000001</v>
      </c>
      <c r="BD297" s="389">
        <v>-2.1788050000000001</v>
      </c>
      <c r="BE297" s="389">
        <v>-2.1788050000000001</v>
      </c>
      <c r="BF297" s="516">
        <v>-2.1788050000000001</v>
      </c>
      <c r="BG297" s="207">
        <f>-1.894109</f>
        <v>-1.894109</v>
      </c>
      <c r="BH297" s="207">
        <v>0</v>
      </c>
      <c r="BI297" s="389">
        <v>0</v>
      </c>
      <c r="BJ297" s="516">
        <v>0</v>
      </c>
      <c r="BK297" s="516">
        <v>0</v>
      </c>
      <c r="BL297" s="516">
        <v>0</v>
      </c>
      <c r="BM297" s="516">
        <v>0</v>
      </c>
      <c r="BN297" s="409">
        <v>0</v>
      </c>
      <c r="BO297" s="207">
        <v>0</v>
      </c>
      <c r="BP297" s="389">
        <v>0</v>
      </c>
      <c r="BQ297" s="389">
        <v>0</v>
      </c>
      <c r="BR297" s="389">
        <v>0</v>
      </c>
      <c r="BS297" s="296">
        <v>0</v>
      </c>
      <c r="BT297" s="296">
        <v>0</v>
      </c>
      <c r="BU297" s="296">
        <v>0</v>
      </c>
      <c r="BV297" s="409">
        <v>0</v>
      </c>
      <c r="BW297" s="296">
        <f t="shared" si="1505"/>
        <v>0</v>
      </c>
      <c r="BX297" s="442" t="s">
        <v>667</v>
      </c>
    </row>
    <row r="298" spans="1:76" ht="57.95" hidden="1" customHeight="1" outlineLevel="1" x14ac:dyDescent="0.25">
      <c r="A298" s="678">
        <v>17</v>
      </c>
      <c r="B298" s="702" t="s">
        <v>276</v>
      </c>
      <c r="C298" s="694" t="s">
        <v>276</v>
      </c>
      <c r="D298" s="63" t="s">
        <v>599</v>
      </c>
      <c r="E298" s="463" t="s">
        <v>215</v>
      </c>
      <c r="F298" s="542" t="s">
        <v>664</v>
      </c>
      <c r="G298" s="71" t="s">
        <v>25</v>
      </c>
      <c r="H298" s="311" t="s">
        <v>127</v>
      </c>
      <c r="I298" s="335"/>
      <c r="J298" s="294">
        <f t="shared" si="1517"/>
        <v>0</v>
      </c>
      <c r="K298" s="52">
        <f t="shared" si="1518"/>
        <v>0</v>
      </c>
      <c r="L298" s="52">
        <f t="shared" si="1519"/>
        <v>9.3658178256611163E-5</v>
      </c>
      <c r="M298" s="52">
        <f t="shared" si="1457"/>
        <v>9.7564008150113467E-5</v>
      </c>
      <c r="N298" s="52">
        <f t="shared" si="1458"/>
        <v>0</v>
      </c>
      <c r="O298" s="52">
        <f t="shared" si="1459"/>
        <v>0</v>
      </c>
      <c r="P298" s="52">
        <f t="shared" si="1460"/>
        <v>0</v>
      </c>
      <c r="Q298" s="52">
        <f t="shared" si="1461"/>
        <v>0</v>
      </c>
      <c r="R298" s="52">
        <f t="shared" si="1462"/>
        <v>0</v>
      </c>
      <c r="S298" s="527">
        <f t="shared" si="1520"/>
        <v>0</v>
      </c>
      <c r="T298" s="533">
        <f t="shared" si="1464"/>
        <v>0</v>
      </c>
      <c r="U298" s="375">
        <f t="shared" si="1521"/>
        <v>0</v>
      </c>
      <c r="V298" s="375">
        <f t="shared" si="1522"/>
        <v>-9.3658178256611163E-5</v>
      </c>
      <c r="W298" s="386">
        <f t="shared" si="1523"/>
        <v>-9.9905650419186744E-5</v>
      </c>
      <c r="X298" s="386">
        <f t="shared" si="1524"/>
        <v>-9.7564008150113467E-5</v>
      </c>
      <c r="Y298" s="386">
        <f t="shared" si="1525"/>
        <v>-9.7564008150113467E-5</v>
      </c>
      <c r="Z298" s="375">
        <f t="shared" si="1514"/>
        <v>0</v>
      </c>
      <c r="AA298" s="375">
        <f t="shared" si="1526"/>
        <v>0</v>
      </c>
      <c r="AB298" s="386">
        <f t="shared" si="1527"/>
        <v>0</v>
      </c>
      <c r="AC298" s="386">
        <f t="shared" si="1473"/>
        <v>0</v>
      </c>
      <c r="AD298" s="386">
        <f t="shared" si="1474"/>
        <v>0</v>
      </c>
      <c r="AE298" s="386">
        <f t="shared" si="1475"/>
        <v>0</v>
      </c>
      <c r="AF298" s="386">
        <f t="shared" si="1476"/>
        <v>0</v>
      </c>
      <c r="AG298" s="375">
        <f t="shared" si="1477"/>
        <v>0</v>
      </c>
      <c r="AH298" s="375">
        <f t="shared" si="1478"/>
        <v>0</v>
      </c>
      <c r="AI298" s="386">
        <f t="shared" si="1479"/>
        <v>0</v>
      </c>
      <c r="AJ298" s="386">
        <f t="shared" si="1480"/>
        <v>0</v>
      </c>
      <c r="AK298" s="386">
        <f t="shared" si="1481"/>
        <v>0</v>
      </c>
      <c r="AL298" s="377">
        <f t="shared" si="1482"/>
        <v>0</v>
      </c>
      <c r="AM298" s="377">
        <f t="shared" si="1483"/>
        <v>0</v>
      </c>
      <c r="AN298" s="377">
        <f t="shared" si="1484"/>
        <v>0</v>
      </c>
      <c r="AO298" s="283"/>
      <c r="AP298" s="295">
        <f t="shared" si="1528"/>
        <v>0</v>
      </c>
      <c r="AQ298" s="20">
        <f t="shared" si="1501"/>
        <v>0</v>
      </c>
      <c r="AR298" s="95">
        <f t="shared" si="1529"/>
        <v>0</v>
      </c>
      <c r="AS298" s="94">
        <f t="shared" si="1502"/>
        <v>3.06</v>
      </c>
      <c r="AT298" s="94">
        <f t="shared" si="1486"/>
        <v>3.06</v>
      </c>
      <c r="AU298" s="94">
        <f t="shared" si="1487"/>
        <v>0</v>
      </c>
      <c r="AV298" s="94">
        <f t="shared" si="1488"/>
        <v>0</v>
      </c>
      <c r="AW298" s="94">
        <f t="shared" si="1503"/>
        <v>0</v>
      </c>
      <c r="AX298" s="94">
        <f t="shared" si="1490"/>
        <v>0</v>
      </c>
      <c r="AY298" s="94">
        <f t="shared" si="1504"/>
        <v>0</v>
      </c>
      <c r="AZ298" s="433">
        <f t="shared" si="1492"/>
        <v>0</v>
      </c>
      <c r="BA298" s="657">
        <v>0</v>
      </c>
      <c r="BB298" s="327">
        <v>0</v>
      </c>
      <c r="BC298" s="207">
        <v>-3.06</v>
      </c>
      <c r="BD298" s="389">
        <v>-3.06</v>
      </c>
      <c r="BE298" s="389">
        <v>-3.06</v>
      </c>
      <c r="BF298" s="516">
        <v>-3.06</v>
      </c>
      <c r="BG298" s="207">
        <v>0</v>
      </c>
      <c r="BH298" s="207">
        <v>0</v>
      </c>
      <c r="BI298" s="389">
        <v>0</v>
      </c>
      <c r="BJ298" s="516">
        <v>0</v>
      </c>
      <c r="BK298" s="516">
        <v>0</v>
      </c>
      <c r="BL298" s="516">
        <v>0</v>
      </c>
      <c r="BM298" s="516">
        <v>0</v>
      </c>
      <c r="BN298" s="409">
        <v>0</v>
      </c>
      <c r="BO298" s="207">
        <v>0</v>
      </c>
      <c r="BP298" s="389">
        <v>0</v>
      </c>
      <c r="BQ298" s="389">
        <v>0</v>
      </c>
      <c r="BR298" s="389">
        <v>0</v>
      </c>
      <c r="BS298" s="296">
        <v>0</v>
      </c>
      <c r="BT298" s="296">
        <v>0</v>
      </c>
      <c r="BU298" s="296">
        <v>0</v>
      </c>
      <c r="BV298" s="409">
        <v>0</v>
      </c>
      <c r="BW298" s="296">
        <f t="shared" si="1505"/>
        <v>0</v>
      </c>
      <c r="BX298" s="439" t="s">
        <v>668</v>
      </c>
    </row>
    <row r="299" spans="1:76" ht="72.599999999999994" hidden="1" customHeight="1" outlineLevel="1" x14ac:dyDescent="0.25">
      <c r="A299" s="678">
        <v>18</v>
      </c>
      <c r="B299" s="702" t="s">
        <v>276</v>
      </c>
      <c r="C299" s="694" t="s">
        <v>276</v>
      </c>
      <c r="D299" s="63">
        <v>44266</v>
      </c>
      <c r="E299" s="463" t="s">
        <v>1339</v>
      </c>
      <c r="F299" s="542" t="s">
        <v>1207</v>
      </c>
      <c r="G299" s="71" t="s">
        <v>40</v>
      </c>
      <c r="H299" s="311" t="s">
        <v>127</v>
      </c>
      <c r="I299" s="335"/>
      <c r="J299" s="294">
        <f t="shared" si="1517"/>
        <v>0</v>
      </c>
      <c r="K299" s="52">
        <f t="shared" si="1518"/>
        <v>0</v>
      </c>
      <c r="L299" s="52">
        <f t="shared" si="1519"/>
        <v>1.1421400587659159E-6</v>
      </c>
      <c r="M299" s="52">
        <f t="shared" si="1457"/>
        <v>1.1897707608266779E-6</v>
      </c>
      <c r="N299" s="52">
        <f t="shared" si="1458"/>
        <v>1.1020443003647271E-6</v>
      </c>
      <c r="O299" s="52">
        <f t="shared" si="1459"/>
        <v>0</v>
      </c>
      <c r="P299" s="52">
        <f t="shared" si="1460"/>
        <v>0</v>
      </c>
      <c r="Q299" s="52">
        <f t="shared" si="1461"/>
        <v>0</v>
      </c>
      <c r="R299" s="52">
        <f t="shared" si="1462"/>
        <v>0</v>
      </c>
      <c r="S299" s="527">
        <f t="shared" si="1520"/>
        <v>0</v>
      </c>
      <c r="T299" s="533">
        <f t="shared" si="1464"/>
        <v>0</v>
      </c>
      <c r="U299" s="375">
        <f t="shared" si="1521"/>
        <v>0</v>
      </c>
      <c r="V299" s="375">
        <f t="shared" si="1522"/>
        <v>-1.1421400587659159E-6</v>
      </c>
      <c r="W299" s="386">
        <f t="shared" si="1523"/>
        <v>-1.2183265526282264E-6</v>
      </c>
      <c r="X299" s="386">
        <f t="shared" si="1524"/>
        <v>-1.1897707608266779E-6</v>
      </c>
      <c r="Y299" s="386">
        <f t="shared" si="1525"/>
        <v>-1.1897707608266779E-6</v>
      </c>
      <c r="Z299" s="375">
        <f t="shared" si="1514"/>
        <v>-1.1020443003647271E-6</v>
      </c>
      <c r="AA299" s="375">
        <f t="shared" si="1526"/>
        <v>0</v>
      </c>
      <c r="AB299" s="386">
        <f t="shared" si="1527"/>
        <v>0</v>
      </c>
      <c r="AC299" s="386">
        <f t="shared" si="1473"/>
        <v>0</v>
      </c>
      <c r="AD299" s="386">
        <f t="shared" si="1474"/>
        <v>0</v>
      </c>
      <c r="AE299" s="386">
        <f t="shared" si="1475"/>
        <v>0</v>
      </c>
      <c r="AF299" s="386">
        <f t="shared" si="1476"/>
        <v>0</v>
      </c>
      <c r="AG299" s="375">
        <f t="shared" si="1477"/>
        <v>0</v>
      </c>
      <c r="AH299" s="375">
        <f t="shared" si="1478"/>
        <v>0</v>
      </c>
      <c r="AI299" s="386">
        <f t="shared" si="1479"/>
        <v>0</v>
      </c>
      <c r="AJ299" s="386">
        <f t="shared" si="1480"/>
        <v>0</v>
      </c>
      <c r="AK299" s="386">
        <f t="shared" si="1481"/>
        <v>0</v>
      </c>
      <c r="AL299" s="377">
        <f t="shared" si="1482"/>
        <v>0</v>
      </c>
      <c r="AM299" s="377">
        <f t="shared" si="1483"/>
        <v>0</v>
      </c>
      <c r="AN299" s="377">
        <f t="shared" si="1484"/>
        <v>0</v>
      </c>
      <c r="AO299" s="283"/>
      <c r="AP299" s="295">
        <f t="shared" si="1528"/>
        <v>3.7014999999999999E-2</v>
      </c>
      <c r="AQ299" s="20">
        <f t="shared" si="1501"/>
        <v>0</v>
      </c>
      <c r="AR299" s="95">
        <f t="shared" si="1529"/>
        <v>0</v>
      </c>
      <c r="AS299" s="94">
        <f t="shared" si="1502"/>
        <v>3.7316000000000002E-2</v>
      </c>
      <c r="AT299" s="94">
        <f t="shared" si="1486"/>
        <v>3.7316000000000002E-2</v>
      </c>
      <c r="AU299" s="94">
        <f t="shared" si="1487"/>
        <v>3.7014999999999999E-2</v>
      </c>
      <c r="AV299" s="94">
        <f t="shared" si="1488"/>
        <v>0</v>
      </c>
      <c r="AW299" s="94">
        <f t="shared" si="1503"/>
        <v>0</v>
      </c>
      <c r="AX299" s="94">
        <f t="shared" si="1490"/>
        <v>0</v>
      </c>
      <c r="AY299" s="94">
        <f t="shared" si="1504"/>
        <v>0</v>
      </c>
      <c r="AZ299" s="433">
        <f t="shared" si="1492"/>
        <v>0</v>
      </c>
      <c r="BA299" s="657">
        <v>0</v>
      </c>
      <c r="BB299" s="327">
        <v>0</v>
      </c>
      <c r="BC299" s="207">
        <v>-3.7316000000000002E-2</v>
      </c>
      <c r="BD299" s="389">
        <v>-3.7316000000000002E-2</v>
      </c>
      <c r="BE299" s="389">
        <v>-3.7316000000000002E-2</v>
      </c>
      <c r="BF299" s="516">
        <v>-3.7316000000000002E-2</v>
      </c>
      <c r="BG299" s="207">
        <v>-3.7014999999999999E-2</v>
      </c>
      <c r="BH299" s="207">
        <v>0</v>
      </c>
      <c r="BI299" s="389">
        <v>0</v>
      </c>
      <c r="BJ299" s="516">
        <v>0</v>
      </c>
      <c r="BK299" s="516">
        <v>0</v>
      </c>
      <c r="BL299" s="516">
        <v>0</v>
      </c>
      <c r="BM299" s="516">
        <v>0</v>
      </c>
      <c r="BN299" s="409">
        <v>0</v>
      </c>
      <c r="BO299" s="207">
        <v>0</v>
      </c>
      <c r="BP299" s="389">
        <v>0</v>
      </c>
      <c r="BQ299" s="389">
        <v>0</v>
      </c>
      <c r="BR299" s="389">
        <v>0</v>
      </c>
      <c r="BS299" s="296">
        <v>0</v>
      </c>
      <c r="BT299" s="296">
        <v>0</v>
      </c>
      <c r="BU299" s="296">
        <v>0</v>
      </c>
      <c r="BV299" s="409">
        <v>0</v>
      </c>
      <c r="BW299" s="296">
        <f t="shared" si="1505"/>
        <v>0</v>
      </c>
      <c r="BX299" s="439" t="s">
        <v>1206</v>
      </c>
    </row>
    <row r="300" spans="1:76" ht="87" hidden="1" customHeight="1" outlineLevel="1" x14ac:dyDescent="0.25">
      <c r="A300" s="678">
        <v>19</v>
      </c>
      <c r="B300" s="702" t="s">
        <v>276</v>
      </c>
      <c r="C300" s="694" t="s">
        <v>276</v>
      </c>
      <c r="D300" s="63">
        <v>44273</v>
      </c>
      <c r="E300" s="463" t="s">
        <v>1240</v>
      </c>
      <c r="F300" s="542" t="s">
        <v>1214</v>
      </c>
      <c r="G300" s="71" t="s">
        <v>25</v>
      </c>
      <c r="H300" s="311" t="s">
        <v>127</v>
      </c>
      <c r="I300" s="335"/>
      <c r="J300" s="294">
        <f t="shared" si="1517"/>
        <v>0</v>
      </c>
      <c r="K300" s="52">
        <f t="shared" si="1518"/>
        <v>0</v>
      </c>
      <c r="L300" s="52">
        <f t="shared" si="1519"/>
        <v>1.530362389813908E-5</v>
      </c>
      <c r="M300" s="52">
        <f t="shared" si="1457"/>
        <v>1.5941831397077365E-5</v>
      </c>
      <c r="N300" s="52">
        <f t="shared" si="1458"/>
        <v>1.4149665267627655E-5</v>
      </c>
      <c r="O300" s="52">
        <f t="shared" si="1459"/>
        <v>0</v>
      </c>
      <c r="P300" s="52">
        <f t="shared" si="1460"/>
        <v>0</v>
      </c>
      <c r="Q300" s="52">
        <f t="shared" si="1461"/>
        <v>0</v>
      </c>
      <c r="R300" s="52">
        <f t="shared" si="1462"/>
        <v>0</v>
      </c>
      <c r="S300" s="527">
        <f t="shared" si="1520"/>
        <v>0</v>
      </c>
      <c r="T300" s="533">
        <f t="shared" si="1464"/>
        <v>0</v>
      </c>
      <c r="U300" s="375">
        <f t="shared" si="1521"/>
        <v>0</v>
      </c>
      <c r="V300" s="375">
        <f t="shared" si="1522"/>
        <v>-1.530362389813908E-5</v>
      </c>
      <c r="W300" s="386">
        <f t="shared" si="1523"/>
        <v>0</v>
      </c>
      <c r="X300" s="386">
        <f t="shared" si="1524"/>
        <v>-1.5941831397077365E-5</v>
      </c>
      <c r="Y300" s="386">
        <f t="shared" si="1525"/>
        <v>-1.5941831397077365E-5</v>
      </c>
      <c r="Z300" s="375">
        <f t="shared" si="1514"/>
        <v>-1.4149665267627655E-5</v>
      </c>
      <c r="AA300" s="375">
        <f t="shared" si="1526"/>
        <v>0</v>
      </c>
      <c r="AB300" s="386">
        <f t="shared" si="1527"/>
        <v>0</v>
      </c>
      <c r="AC300" s="386">
        <f t="shared" si="1473"/>
        <v>0</v>
      </c>
      <c r="AD300" s="386">
        <f t="shared" si="1474"/>
        <v>0</v>
      </c>
      <c r="AE300" s="386">
        <f t="shared" si="1475"/>
        <v>0</v>
      </c>
      <c r="AF300" s="386">
        <f t="shared" si="1476"/>
        <v>0</v>
      </c>
      <c r="AG300" s="375">
        <f t="shared" si="1477"/>
        <v>0</v>
      </c>
      <c r="AH300" s="375">
        <f t="shared" si="1478"/>
        <v>0</v>
      </c>
      <c r="AI300" s="386">
        <f t="shared" si="1479"/>
        <v>0</v>
      </c>
      <c r="AJ300" s="386">
        <f t="shared" si="1480"/>
        <v>0</v>
      </c>
      <c r="AK300" s="386">
        <f t="shared" si="1481"/>
        <v>0</v>
      </c>
      <c r="AL300" s="377">
        <f t="shared" si="1482"/>
        <v>0</v>
      </c>
      <c r="AM300" s="377">
        <f t="shared" si="1483"/>
        <v>0</v>
      </c>
      <c r="AN300" s="377">
        <f t="shared" si="1484"/>
        <v>0</v>
      </c>
      <c r="AO300" s="283"/>
      <c r="AP300" s="295">
        <f t="shared" si="1528"/>
        <v>0.47525299999999998</v>
      </c>
      <c r="AQ300" s="20">
        <f t="shared" ref="AQ300:AQ304" si="1530">-BA300</f>
        <v>0</v>
      </c>
      <c r="AR300" s="95">
        <f t="shared" si="1529"/>
        <v>0</v>
      </c>
      <c r="AS300" s="94">
        <f t="shared" ref="AS300:AS304" si="1531">-BC300</f>
        <v>0.5</v>
      </c>
      <c r="AT300" s="94">
        <f t="shared" si="1486"/>
        <v>0.5</v>
      </c>
      <c r="AU300" s="94">
        <f t="shared" si="1487"/>
        <v>0.47525299999999998</v>
      </c>
      <c r="AV300" s="94">
        <f t="shared" si="1488"/>
        <v>0</v>
      </c>
      <c r="AW300" s="94">
        <f t="shared" si="1503"/>
        <v>0</v>
      </c>
      <c r="AX300" s="94">
        <f t="shared" si="1490"/>
        <v>0</v>
      </c>
      <c r="AY300" s="94">
        <f t="shared" si="1504"/>
        <v>0</v>
      </c>
      <c r="AZ300" s="433">
        <f t="shared" si="1492"/>
        <v>0</v>
      </c>
      <c r="BA300" s="657">
        <v>0</v>
      </c>
      <c r="BB300" s="327">
        <v>0</v>
      </c>
      <c r="BC300" s="207">
        <v>-0.5</v>
      </c>
      <c r="BD300" s="389">
        <v>0</v>
      </c>
      <c r="BE300" s="389">
        <v>-0.5</v>
      </c>
      <c r="BF300" s="516">
        <v>-0.5</v>
      </c>
      <c r="BG300" s="207">
        <f>-0.475253</f>
        <v>-0.47525299999999998</v>
      </c>
      <c r="BH300" s="207">
        <v>0</v>
      </c>
      <c r="BI300" s="389">
        <v>0</v>
      </c>
      <c r="BJ300" s="516">
        <v>0</v>
      </c>
      <c r="BK300" s="516">
        <v>0</v>
      </c>
      <c r="BL300" s="516">
        <v>0</v>
      </c>
      <c r="BM300" s="516">
        <v>0</v>
      </c>
      <c r="BN300" s="409">
        <v>0</v>
      </c>
      <c r="BO300" s="207">
        <v>0</v>
      </c>
      <c r="BP300" s="389">
        <v>0</v>
      </c>
      <c r="BQ300" s="389">
        <v>0</v>
      </c>
      <c r="BR300" s="389">
        <v>0</v>
      </c>
      <c r="BS300" s="296">
        <v>0</v>
      </c>
      <c r="BT300" s="296">
        <v>0</v>
      </c>
      <c r="BU300" s="296">
        <v>0</v>
      </c>
      <c r="BV300" s="409">
        <v>0</v>
      </c>
      <c r="BW300" s="296">
        <f t="shared" ref="BW300:BW304" si="1532">-BV300</f>
        <v>0</v>
      </c>
      <c r="BX300" s="439" t="s">
        <v>1215</v>
      </c>
    </row>
    <row r="301" spans="1:76" ht="43.5" hidden="1" customHeight="1" outlineLevel="1" x14ac:dyDescent="0.25">
      <c r="A301" s="678">
        <v>20</v>
      </c>
      <c r="B301" s="702" t="s">
        <v>276</v>
      </c>
      <c r="C301" s="694" t="s">
        <v>276</v>
      </c>
      <c r="D301" s="63">
        <v>44343</v>
      </c>
      <c r="E301" s="463" t="s">
        <v>1457</v>
      </c>
      <c r="F301" s="542" t="s">
        <v>1419</v>
      </c>
      <c r="G301" s="71" t="s">
        <v>25</v>
      </c>
      <c r="H301" s="311" t="s">
        <v>127</v>
      </c>
      <c r="I301" s="335"/>
      <c r="J301" s="294">
        <f t="shared" si="1517"/>
        <v>0</v>
      </c>
      <c r="K301" s="52">
        <f t="shared" si="1518"/>
        <v>0</v>
      </c>
      <c r="L301" s="52">
        <f t="shared" si="1519"/>
        <v>6.741261630754162E-5</v>
      </c>
      <c r="M301" s="52">
        <f t="shared" si="1457"/>
        <v>7.0223926722439762E-5</v>
      </c>
      <c r="N301" s="52">
        <f t="shared" si="1458"/>
        <v>2.3445958995734705E-5</v>
      </c>
      <c r="O301" s="52">
        <f t="shared" si="1459"/>
        <v>0</v>
      </c>
      <c r="P301" s="52">
        <f t="shared" si="1460"/>
        <v>0</v>
      </c>
      <c r="Q301" s="52">
        <f t="shared" si="1461"/>
        <v>0</v>
      </c>
      <c r="R301" s="52">
        <f t="shared" si="1462"/>
        <v>0</v>
      </c>
      <c r="S301" s="527">
        <f t="shared" si="1520"/>
        <v>0</v>
      </c>
      <c r="T301" s="533">
        <f t="shared" si="1464"/>
        <v>0</v>
      </c>
      <c r="U301" s="375">
        <f t="shared" si="1521"/>
        <v>0</v>
      </c>
      <c r="V301" s="375">
        <f t="shared" si="1522"/>
        <v>-6.741261630754162E-5</v>
      </c>
      <c r="W301" s="386">
        <f t="shared" si="1523"/>
        <v>0</v>
      </c>
      <c r="X301" s="386">
        <f t="shared" si="1524"/>
        <v>-7.0223926722439762E-5</v>
      </c>
      <c r="Y301" s="386">
        <f t="shared" si="1525"/>
        <v>-7.0223926722439762E-5</v>
      </c>
      <c r="Z301" s="375">
        <f t="shared" si="1514"/>
        <v>-2.3445958995734705E-5</v>
      </c>
      <c r="AA301" s="375">
        <f t="shared" si="1526"/>
        <v>0</v>
      </c>
      <c r="AB301" s="386">
        <f t="shared" si="1527"/>
        <v>0</v>
      </c>
      <c r="AC301" s="386">
        <f t="shared" si="1473"/>
        <v>0</v>
      </c>
      <c r="AD301" s="386">
        <f t="shared" si="1474"/>
        <v>0</v>
      </c>
      <c r="AE301" s="386">
        <f t="shared" si="1475"/>
        <v>0</v>
      </c>
      <c r="AF301" s="386">
        <f t="shared" si="1476"/>
        <v>0</v>
      </c>
      <c r="AG301" s="375">
        <f t="shared" si="1477"/>
        <v>0</v>
      </c>
      <c r="AH301" s="375">
        <f t="shared" si="1478"/>
        <v>0</v>
      </c>
      <c r="AI301" s="386">
        <f t="shared" si="1479"/>
        <v>0</v>
      </c>
      <c r="AJ301" s="386">
        <f t="shared" si="1480"/>
        <v>0</v>
      </c>
      <c r="AK301" s="386">
        <f t="shared" si="1481"/>
        <v>0</v>
      </c>
      <c r="AL301" s="377">
        <f t="shared" si="1482"/>
        <v>0</v>
      </c>
      <c r="AM301" s="377">
        <f t="shared" si="1483"/>
        <v>0</v>
      </c>
      <c r="AN301" s="377">
        <f t="shared" si="1484"/>
        <v>0</v>
      </c>
      <c r="AO301" s="283"/>
      <c r="AP301" s="295">
        <f t="shared" si="1528"/>
        <v>0.787493</v>
      </c>
      <c r="AQ301" s="20">
        <f t="shared" si="1530"/>
        <v>0</v>
      </c>
      <c r="AR301" s="95">
        <f t="shared" si="1529"/>
        <v>0</v>
      </c>
      <c r="AS301" s="94">
        <f>-BC301</f>
        <v>2.2025049999999999</v>
      </c>
      <c r="AT301" s="94">
        <f t="shared" si="1486"/>
        <v>2.2025049999999999</v>
      </c>
      <c r="AU301" s="94">
        <f t="shared" si="1487"/>
        <v>0.787493</v>
      </c>
      <c r="AV301" s="94">
        <f t="shared" si="1488"/>
        <v>0</v>
      </c>
      <c r="AW301" s="94">
        <f t="shared" si="1503"/>
        <v>0</v>
      </c>
      <c r="AX301" s="94">
        <f t="shared" si="1490"/>
        <v>0</v>
      </c>
      <c r="AY301" s="94">
        <f t="shared" si="1504"/>
        <v>0</v>
      </c>
      <c r="AZ301" s="433">
        <f t="shared" si="1492"/>
        <v>0</v>
      </c>
      <c r="BA301" s="657">
        <v>0</v>
      </c>
      <c r="BB301" s="327">
        <v>0</v>
      </c>
      <c r="BC301" s="207">
        <v>-2.2025049999999999</v>
      </c>
      <c r="BD301" s="389">
        <v>0</v>
      </c>
      <c r="BE301" s="389">
        <v>-2.2025049999999999</v>
      </c>
      <c r="BF301" s="516">
        <v>-2.2025049999999999</v>
      </c>
      <c r="BG301" s="207">
        <f>-0.787493</f>
        <v>-0.787493</v>
      </c>
      <c r="BH301" s="207">
        <v>0</v>
      </c>
      <c r="BI301" s="389">
        <v>0</v>
      </c>
      <c r="BJ301" s="516">
        <v>0</v>
      </c>
      <c r="BK301" s="516">
        <v>0</v>
      </c>
      <c r="BL301" s="516">
        <v>0</v>
      </c>
      <c r="BM301" s="516">
        <v>0</v>
      </c>
      <c r="BN301" s="409">
        <v>0</v>
      </c>
      <c r="BO301" s="207">
        <v>0</v>
      </c>
      <c r="BP301" s="389">
        <v>0</v>
      </c>
      <c r="BQ301" s="389">
        <v>0</v>
      </c>
      <c r="BR301" s="389">
        <v>0</v>
      </c>
      <c r="BS301" s="296">
        <v>0</v>
      </c>
      <c r="BT301" s="296">
        <v>0</v>
      </c>
      <c r="BU301" s="296">
        <v>0</v>
      </c>
      <c r="BV301" s="409">
        <v>0</v>
      </c>
      <c r="BW301" s="296">
        <f t="shared" si="1532"/>
        <v>0</v>
      </c>
      <c r="BX301" s="439" t="s">
        <v>1421</v>
      </c>
    </row>
    <row r="302" spans="1:76" ht="43.5" hidden="1" customHeight="1" outlineLevel="1" x14ac:dyDescent="0.25">
      <c r="A302" s="678">
        <v>21</v>
      </c>
      <c r="B302" s="702" t="s">
        <v>276</v>
      </c>
      <c r="C302" s="694" t="s">
        <v>276</v>
      </c>
      <c r="D302" s="63">
        <v>44343</v>
      </c>
      <c r="E302" s="463" t="s">
        <v>1458</v>
      </c>
      <c r="F302" s="542" t="s">
        <v>1420</v>
      </c>
      <c r="G302" s="71" t="s">
        <v>25</v>
      </c>
      <c r="H302" s="311" t="s">
        <v>127</v>
      </c>
      <c r="I302" s="335"/>
      <c r="J302" s="294">
        <f t="shared" si="1517"/>
        <v>0</v>
      </c>
      <c r="K302" s="52">
        <f t="shared" si="1518"/>
        <v>0</v>
      </c>
      <c r="L302" s="52">
        <f t="shared" si="1519"/>
        <v>2.5250979431929481E-5</v>
      </c>
      <c r="M302" s="52">
        <f t="shared" si="1457"/>
        <v>2.6304021805177649E-5</v>
      </c>
      <c r="N302" s="52">
        <f t="shared" si="1458"/>
        <v>4.6314740338980673E-6</v>
      </c>
      <c r="O302" s="52">
        <f t="shared" si="1459"/>
        <v>0</v>
      </c>
      <c r="P302" s="52">
        <f t="shared" si="1460"/>
        <v>0</v>
      </c>
      <c r="Q302" s="52">
        <f t="shared" si="1461"/>
        <v>0</v>
      </c>
      <c r="R302" s="52">
        <f t="shared" si="1462"/>
        <v>0</v>
      </c>
      <c r="S302" s="527">
        <f t="shared" si="1520"/>
        <v>0</v>
      </c>
      <c r="T302" s="533">
        <f t="shared" si="1464"/>
        <v>0</v>
      </c>
      <c r="U302" s="375">
        <f t="shared" si="1521"/>
        <v>0</v>
      </c>
      <c r="V302" s="375">
        <f t="shared" si="1522"/>
        <v>-2.5250979431929481E-5</v>
      </c>
      <c r="W302" s="386">
        <f t="shared" si="1523"/>
        <v>0</v>
      </c>
      <c r="X302" s="386">
        <f t="shared" si="1524"/>
        <v>-2.6304021805177649E-5</v>
      </c>
      <c r="Y302" s="386">
        <f t="shared" si="1525"/>
        <v>-2.6304021805177649E-5</v>
      </c>
      <c r="Z302" s="375">
        <f t="shared" si="1514"/>
        <v>-4.6314740338980673E-6</v>
      </c>
      <c r="AA302" s="375">
        <f t="shared" si="1526"/>
        <v>0</v>
      </c>
      <c r="AB302" s="386">
        <f t="shared" si="1527"/>
        <v>0</v>
      </c>
      <c r="AC302" s="386">
        <f t="shared" si="1473"/>
        <v>0</v>
      </c>
      <c r="AD302" s="386">
        <f t="shared" si="1474"/>
        <v>0</v>
      </c>
      <c r="AE302" s="386">
        <f t="shared" si="1475"/>
        <v>0</v>
      </c>
      <c r="AF302" s="386">
        <f t="shared" si="1476"/>
        <v>0</v>
      </c>
      <c r="AG302" s="375">
        <f t="shared" si="1477"/>
        <v>0</v>
      </c>
      <c r="AH302" s="375">
        <f t="shared" si="1478"/>
        <v>0</v>
      </c>
      <c r="AI302" s="386">
        <f t="shared" si="1479"/>
        <v>0</v>
      </c>
      <c r="AJ302" s="386">
        <f t="shared" si="1480"/>
        <v>0</v>
      </c>
      <c r="AK302" s="386">
        <f t="shared" si="1481"/>
        <v>0</v>
      </c>
      <c r="AL302" s="377">
        <f t="shared" si="1482"/>
        <v>0</v>
      </c>
      <c r="AM302" s="377">
        <f t="shared" si="1483"/>
        <v>0</v>
      </c>
      <c r="AN302" s="377">
        <f t="shared" si="1484"/>
        <v>0</v>
      </c>
      <c r="AO302" s="283"/>
      <c r="AP302" s="295">
        <f t="shared" si="1528"/>
        <v>0.15556</v>
      </c>
      <c r="AQ302" s="20">
        <f t="shared" si="1530"/>
        <v>0</v>
      </c>
      <c r="AR302" s="95">
        <f t="shared" si="1529"/>
        <v>0</v>
      </c>
      <c r="AS302" s="94">
        <f t="shared" si="1531"/>
        <v>0.82499999999999996</v>
      </c>
      <c r="AT302" s="94">
        <f t="shared" si="1486"/>
        <v>0.82499999999999996</v>
      </c>
      <c r="AU302" s="94">
        <f t="shared" si="1487"/>
        <v>0.15556</v>
      </c>
      <c r="AV302" s="94">
        <f t="shared" si="1488"/>
        <v>0</v>
      </c>
      <c r="AW302" s="94">
        <f t="shared" si="1503"/>
        <v>0</v>
      </c>
      <c r="AX302" s="94">
        <f t="shared" si="1490"/>
        <v>0</v>
      </c>
      <c r="AY302" s="94">
        <f t="shared" si="1504"/>
        <v>0</v>
      </c>
      <c r="AZ302" s="433">
        <f t="shared" si="1492"/>
        <v>0</v>
      </c>
      <c r="BA302" s="657">
        <v>0</v>
      </c>
      <c r="BB302" s="327">
        <v>0</v>
      </c>
      <c r="BC302" s="207">
        <v>-0.82499999999999996</v>
      </c>
      <c r="BD302" s="389">
        <v>0</v>
      </c>
      <c r="BE302" s="389">
        <v>-0.82499999999999996</v>
      </c>
      <c r="BF302" s="516">
        <v>-0.82499999999999996</v>
      </c>
      <c r="BG302" s="207">
        <f>-0.15556</f>
        <v>-0.15556</v>
      </c>
      <c r="BH302" s="207">
        <v>0</v>
      </c>
      <c r="BI302" s="389">
        <v>0</v>
      </c>
      <c r="BJ302" s="516">
        <v>0</v>
      </c>
      <c r="BK302" s="516">
        <v>0</v>
      </c>
      <c r="BL302" s="516">
        <v>0</v>
      </c>
      <c r="BM302" s="516">
        <v>0</v>
      </c>
      <c r="BN302" s="409">
        <v>0</v>
      </c>
      <c r="BO302" s="207">
        <v>0</v>
      </c>
      <c r="BP302" s="389">
        <v>0</v>
      </c>
      <c r="BQ302" s="389">
        <v>0</v>
      </c>
      <c r="BR302" s="389">
        <v>0</v>
      </c>
      <c r="BS302" s="296">
        <v>0</v>
      </c>
      <c r="BT302" s="296">
        <v>0</v>
      </c>
      <c r="BU302" s="296">
        <v>0</v>
      </c>
      <c r="BV302" s="409">
        <v>0</v>
      </c>
      <c r="BW302" s="296">
        <f t="shared" si="1532"/>
        <v>0</v>
      </c>
      <c r="BX302" s="439" t="s">
        <v>1422</v>
      </c>
    </row>
    <row r="303" spans="1:76" ht="43.5" hidden="1" customHeight="1" outlineLevel="1" x14ac:dyDescent="0.25">
      <c r="A303" s="678">
        <v>22</v>
      </c>
      <c r="B303" s="702" t="s">
        <v>276</v>
      </c>
      <c r="C303" s="694" t="s">
        <v>276</v>
      </c>
      <c r="D303" s="63">
        <v>44362</v>
      </c>
      <c r="E303" s="463" t="s">
        <v>1557</v>
      </c>
      <c r="F303" s="542" t="s">
        <v>1473</v>
      </c>
      <c r="G303" s="71" t="s">
        <v>40</v>
      </c>
      <c r="H303" s="311" t="s">
        <v>127</v>
      </c>
      <c r="I303" s="335"/>
      <c r="J303" s="294">
        <f t="shared" si="1517"/>
        <v>0</v>
      </c>
      <c r="K303" s="52">
        <f t="shared" si="1518"/>
        <v>0</v>
      </c>
      <c r="L303" s="52">
        <f t="shared" si="1519"/>
        <v>1.0389018119490697E-5</v>
      </c>
      <c r="M303" s="52">
        <f t="shared" si="1457"/>
        <v>1.082227166221994E-5</v>
      </c>
      <c r="N303" s="52">
        <f t="shared" si="1458"/>
        <v>5.2274979390446697E-6</v>
      </c>
      <c r="O303" s="52">
        <f t="shared" si="1459"/>
        <v>0</v>
      </c>
      <c r="P303" s="52">
        <f t="shared" si="1460"/>
        <v>0</v>
      </c>
      <c r="Q303" s="52">
        <f t="shared" si="1461"/>
        <v>0</v>
      </c>
      <c r="R303" s="52">
        <f t="shared" si="1462"/>
        <v>0</v>
      </c>
      <c r="S303" s="527">
        <f t="shared" si="1520"/>
        <v>0</v>
      </c>
      <c r="T303" s="533">
        <f t="shared" si="1464"/>
        <v>0</v>
      </c>
      <c r="U303" s="375">
        <f t="shared" si="1521"/>
        <v>0</v>
      </c>
      <c r="V303" s="375">
        <f t="shared" si="1522"/>
        <v>-1.0389018119490697E-5</v>
      </c>
      <c r="W303" s="386">
        <f t="shared" si="1523"/>
        <v>0</v>
      </c>
      <c r="X303" s="386">
        <f t="shared" si="1524"/>
        <v>-1.082227166221994E-5</v>
      </c>
      <c r="Y303" s="386">
        <f t="shared" si="1525"/>
        <v>-1.082227166221994E-5</v>
      </c>
      <c r="Z303" s="375">
        <f t="shared" si="1514"/>
        <v>-5.2274979390446697E-6</v>
      </c>
      <c r="AA303" s="375">
        <f t="shared" si="1526"/>
        <v>0</v>
      </c>
      <c r="AB303" s="386">
        <f t="shared" si="1527"/>
        <v>0</v>
      </c>
      <c r="AC303" s="386">
        <f t="shared" si="1473"/>
        <v>0</v>
      </c>
      <c r="AD303" s="386">
        <f t="shared" si="1474"/>
        <v>0</v>
      </c>
      <c r="AE303" s="386">
        <f t="shared" si="1475"/>
        <v>0</v>
      </c>
      <c r="AF303" s="386">
        <f t="shared" si="1476"/>
        <v>0</v>
      </c>
      <c r="AG303" s="375">
        <f t="shared" si="1477"/>
        <v>0</v>
      </c>
      <c r="AH303" s="375">
        <f t="shared" si="1478"/>
        <v>0</v>
      </c>
      <c r="AI303" s="386">
        <f t="shared" si="1479"/>
        <v>0</v>
      </c>
      <c r="AJ303" s="386">
        <f t="shared" si="1480"/>
        <v>0</v>
      </c>
      <c r="AK303" s="386">
        <f t="shared" si="1481"/>
        <v>0</v>
      </c>
      <c r="AL303" s="377">
        <f t="shared" si="1482"/>
        <v>0</v>
      </c>
      <c r="AM303" s="377">
        <f t="shared" si="1483"/>
        <v>0</v>
      </c>
      <c r="AN303" s="377">
        <f t="shared" si="1484"/>
        <v>0</v>
      </c>
      <c r="AO303" s="283"/>
      <c r="AP303" s="295">
        <f t="shared" si="1528"/>
        <v>0.17557900000000001</v>
      </c>
      <c r="AQ303" s="20">
        <f t="shared" si="1530"/>
        <v>0</v>
      </c>
      <c r="AR303" s="95">
        <f t="shared" si="1529"/>
        <v>0</v>
      </c>
      <c r="AS303" s="94">
        <f t="shared" si="1531"/>
        <v>0.33943000000000001</v>
      </c>
      <c r="AT303" s="94">
        <f t="shared" si="1486"/>
        <v>0.33943000000000001</v>
      </c>
      <c r="AU303" s="94">
        <f t="shared" si="1487"/>
        <v>0.17557900000000001</v>
      </c>
      <c r="AV303" s="94">
        <f t="shared" si="1488"/>
        <v>0</v>
      </c>
      <c r="AW303" s="94">
        <f t="shared" si="1503"/>
        <v>0</v>
      </c>
      <c r="AX303" s="94">
        <f t="shared" si="1490"/>
        <v>0</v>
      </c>
      <c r="AY303" s="94">
        <f t="shared" si="1504"/>
        <v>0</v>
      </c>
      <c r="AZ303" s="433">
        <f t="shared" si="1492"/>
        <v>0</v>
      </c>
      <c r="BA303" s="657">
        <v>0</v>
      </c>
      <c r="BB303" s="327">
        <v>0</v>
      </c>
      <c r="BC303" s="207">
        <v>-0.33943000000000001</v>
      </c>
      <c r="BD303" s="389">
        <v>0</v>
      </c>
      <c r="BE303" s="389">
        <v>-0.33943000000000001</v>
      </c>
      <c r="BF303" s="516">
        <v>-0.33943000000000001</v>
      </c>
      <c r="BG303" s="207">
        <v>-0.17557900000000001</v>
      </c>
      <c r="BH303" s="207">
        <v>0</v>
      </c>
      <c r="BI303" s="389">
        <v>0</v>
      </c>
      <c r="BJ303" s="516">
        <v>0</v>
      </c>
      <c r="BK303" s="516">
        <v>0</v>
      </c>
      <c r="BL303" s="516">
        <v>0</v>
      </c>
      <c r="BM303" s="516">
        <v>0</v>
      </c>
      <c r="BN303" s="409">
        <v>0</v>
      </c>
      <c r="BO303" s="207">
        <v>0</v>
      </c>
      <c r="BP303" s="389">
        <v>0</v>
      </c>
      <c r="BQ303" s="389">
        <v>0</v>
      </c>
      <c r="BR303" s="389">
        <v>0</v>
      </c>
      <c r="BS303" s="296">
        <v>0</v>
      </c>
      <c r="BT303" s="296">
        <v>0</v>
      </c>
      <c r="BU303" s="296">
        <v>0</v>
      </c>
      <c r="BV303" s="409">
        <v>0</v>
      </c>
      <c r="BW303" s="296">
        <f t="shared" si="1532"/>
        <v>0</v>
      </c>
      <c r="BX303" s="439" t="s">
        <v>1474</v>
      </c>
    </row>
    <row r="304" spans="1:76" ht="61.5" hidden="1" customHeight="1" outlineLevel="1" x14ac:dyDescent="0.25">
      <c r="A304" s="678">
        <v>23</v>
      </c>
      <c r="B304" s="702" t="s">
        <v>276</v>
      </c>
      <c r="C304" s="694" t="s">
        <v>276</v>
      </c>
      <c r="D304" s="63" t="s">
        <v>1569</v>
      </c>
      <c r="E304" s="463" t="s">
        <v>2080</v>
      </c>
      <c r="F304" s="716" t="s">
        <v>1520</v>
      </c>
      <c r="G304" s="71" t="s">
        <v>25</v>
      </c>
      <c r="H304" s="311" t="s">
        <v>127</v>
      </c>
      <c r="I304" s="335"/>
      <c r="J304" s="294">
        <f t="shared" si="1517"/>
        <v>0</v>
      </c>
      <c r="K304" s="52">
        <f t="shared" si="1518"/>
        <v>0</v>
      </c>
      <c r="L304" s="52">
        <f t="shared" si="1519"/>
        <v>1.1392798114593537E-4</v>
      </c>
      <c r="M304" s="52">
        <f t="shared" si="1457"/>
        <v>1.1867912325385641E-4</v>
      </c>
      <c r="N304" s="52">
        <f t="shared" si="1458"/>
        <v>0</v>
      </c>
      <c r="O304" s="52">
        <f t="shared" si="1459"/>
        <v>1.0995863921491169E-4</v>
      </c>
      <c r="P304" s="52">
        <f t="shared" si="1460"/>
        <v>1.130421657503019E-4</v>
      </c>
      <c r="Q304" s="52">
        <f t="shared" si="1461"/>
        <v>1.084349377994514E-4</v>
      </c>
      <c r="R304" s="52">
        <f t="shared" si="1462"/>
        <v>0</v>
      </c>
      <c r="S304" s="527">
        <f t="shared" si="1520"/>
        <v>0</v>
      </c>
      <c r="T304" s="533">
        <f t="shared" si="1464"/>
        <v>0</v>
      </c>
      <c r="U304" s="375">
        <f t="shared" si="1521"/>
        <v>0</v>
      </c>
      <c r="V304" s="375">
        <f t="shared" si="1522"/>
        <v>-1.1392798114593537E-4</v>
      </c>
      <c r="W304" s="386">
        <f t="shared" si="1523"/>
        <v>0</v>
      </c>
      <c r="X304" s="386">
        <f t="shared" si="1524"/>
        <v>0</v>
      </c>
      <c r="Y304" s="386">
        <f t="shared" si="1525"/>
        <v>0</v>
      </c>
      <c r="Z304" s="375">
        <f t="shared" si="1514"/>
        <v>0</v>
      </c>
      <c r="AA304" s="375">
        <f t="shared" si="1526"/>
        <v>-1.0995863921491169E-4</v>
      </c>
      <c r="AB304" s="386">
        <f t="shared" si="1527"/>
        <v>0</v>
      </c>
      <c r="AC304" s="386">
        <f t="shared" si="1473"/>
        <v>0</v>
      </c>
      <c r="AD304" s="386">
        <f t="shared" si="1474"/>
        <v>-1.2746662108587329E-4</v>
      </c>
      <c r="AE304" s="386">
        <f t="shared" si="1475"/>
        <v>-1.130421657503019E-4</v>
      </c>
      <c r="AF304" s="386">
        <f t="shared" si="1476"/>
        <v>-1.0995863921491169E-4</v>
      </c>
      <c r="AG304" s="375">
        <f t="shared" si="1477"/>
        <v>-1.0942852581603318E-4</v>
      </c>
      <c r="AH304" s="375">
        <f t="shared" si="1478"/>
        <v>0</v>
      </c>
      <c r="AI304" s="386">
        <f t="shared" si="1479"/>
        <v>0</v>
      </c>
      <c r="AJ304" s="386">
        <f t="shared" si="1480"/>
        <v>0</v>
      </c>
      <c r="AK304" s="386">
        <f t="shared" si="1481"/>
        <v>0</v>
      </c>
      <c r="AL304" s="377">
        <f t="shared" si="1482"/>
        <v>0</v>
      </c>
      <c r="AM304" s="377">
        <f t="shared" si="1483"/>
        <v>0</v>
      </c>
      <c r="AN304" s="377">
        <f t="shared" si="1484"/>
        <v>0</v>
      </c>
      <c r="AO304" s="283"/>
      <c r="AP304" s="295">
        <f t="shared" si="1528"/>
        <v>4.3366400000000001</v>
      </c>
      <c r="AQ304" s="20">
        <f t="shared" si="1530"/>
        <v>0</v>
      </c>
      <c r="AR304" s="95">
        <f t="shared" si="1529"/>
        <v>0</v>
      </c>
      <c r="AS304" s="94">
        <f t="shared" si="1531"/>
        <v>3.7222550000000001</v>
      </c>
      <c r="AT304" s="94">
        <f t="shared" si="1486"/>
        <v>3.7222550000000001</v>
      </c>
      <c r="AU304" s="94">
        <f t="shared" si="1487"/>
        <v>0</v>
      </c>
      <c r="AV304" s="94">
        <f t="shared" si="1488"/>
        <v>4.3366400000000001</v>
      </c>
      <c r="AW304" s="94">
        <f t="shared" ref="AW304" si="1533">-BH304</f>
        <v>4.3366400000000001</v>
      </c>
      <c r="AX304" s="94">
        <f t="shared" si="1490"/>
        <v>4.2765469999999999</v>
      </c>
      <c r="AY304" s="94">
        <f t="shared" ref="AY304" si="1534">-BO304</f>
        <v>0</v>
      </c>
      <c r="AZ304" s="433">
        <f t="shared" ref="AZ304" si="1535">-BU304</f>
        <v>0</v>
      </c>
      <c r="BA304" s="657">
        <v>0</v>
      </c>
      <c r="BB304" s="327">
        <v>0</v>
      </c>
      <c r="BC304" s="1010">
        <f>-3.722255</f>
        <v>-3.7222550000000001</v>
      </c>
      <c r="BD304" s="389">
        <v>0</v>
      </c>
      <c r="BE304" s="389">
        <v>0</v>
      </c>
      <c r="BF304" s="516">
        <v>0</v>
      </c>
      <c r="BG304" s="207">
        <v>0</v>
      </c>
      <c r="BH304" s="1010">
        <f>-4.33664</f>
        <v>-4.3366400000000001</v>
      </c>
      <c r="BI304" s="1036">
        <f>0</f>
        <v>0</v>
      </c>
      <c r="BJ304" s="1037">
        <f>0</f>
        <v>0</v>
      </c>
      <c r="BK304" s="1037">
        <v>-4.3366400000000001</v>
      </c>
      <c r="BL304" s="1037">
        <v>-4.3366400000000001</v>
      </c>
      <c r="BM304" s="1037">
        <v>-4.3366400000000001</v>
      </c>
      <c r="BN304" s="713">
        <f>-4.276547</f>
        <v>-4.2765469999999999</v>
      </c>
      <c r="BO304" s="207">
        <v>0</v>
      </c>
      <c r="BP304" s="389">
        <v>0</v>
      </c>
      <c r="BQ304" s="389">
        <v>0</v>
      </c>
      <c r="BR304" s="389">
        <v>0</v>
      </c>
      <c r="BS304" s="296">
        <v>0</v>
      </c>
      <c r="BT304" s="296">
        <v>0</v>
      </c>
      <c r="BU304" s="296">
        <v>0</v>
      </c>
      <c r="BV304" s="713">
        <v>0</v>
      </c>
      <c r="BW304" s="296">
        <f t="shared" si="1532"/>
        <v>0</v>
      </c>
      <c r="BX304" s="439" t="s">
        <v>1887</v>
      </c>
    </row>
    <row r="305" spans="1:76" ht="43.5" hidden="1" customHeight="1" outlineLevel="1" x14ac:dyDescent="0.25">
      <c r="A305" s="678">
        <v>24</v>
      </c>
      <c r="B305" s="702" t="s">
        <v>222</v>
      </c>
      <c r="C305" s="694" t="s">
        <v>222</v>
      </c>
      <c r="D305" s="63">
        <v>44012</v>
      </c>
      <c r="E305" s="463" t="s">
        <v>283</v>
      </c>
      <c r="F305" s="542" t="s">
        <v>284</v>
      </c>
      <c r="G305" s="242" t="s">
        <v>25</v>
      </c>
      <c r="H305" s="311" t="s">
        <v>127</v>
      </c>
      <c r="I305" s="335"/>
      <c r="J305" s="294">
        <f t="shared" si="1517"/>
        <v>1.773426970277364E-4</v>
      </c>
      <c r="K305" s="52">
        <f t="shared" si="1518"/>
        <v>1.6504893948629179E-4</v>
      </c>
      <c r="L305" s="52">
        <f t="shared" si="1519"/>
        <v>0</v>
      </c>
      <c r="M305" s="52">
        <f t="shared" si="1457"/>
        <v>0</v>
      </c>
      <c r="N305" s="52">
        <f t="shared" si="1458"/>
        <v>0</v>
      </c>
      <c r="O305" s="52">
        <f t="shared" si="1459"/>
        <v>0</v>
      </c>
      <c r="P305" s="52">
        <f t="shared" si="1460"/>
        <v>0</v>
      </c>
      <c r="Q305" s="52">
        <f t="shared" si="1461"/>
        <v>0</v>
      </c>
      <c r="R305" s="52">
        <f t="shared" si="1462"/>
        <v>0</v>
      </c>
      <c r="S305" s="527">
        <f t="shared" si="1520"/>
        <v>0</v>
      </c>
      <c r="T305" s="533">
        <f t="shared" si="1464"/>
        <v>-1.773426970277364E-4</v>
      </c>
      <c r="U305" s="375">
        <f t="shared" si="1521"/>
        <v>-1.6504893948629179E-4</v>
      </c>
      <c r="V305" s="375">
        <f t="shared" si="1522"/>
        <v>0</v>
      </c>
      <c r="W305" s="386">
        <f t="shared" si="1523"/>
        <v>0</v>
      </c>
      <c r="X305" s="386">
        <f t="shared" si="1524"/>
        <v>0</v>
      </c>
      <c r="Y305" s="386">
        <f t="shared" si="1525"/>
        <v>0</v>
      </c>
      <c r="Z305" s="375">
        <f t="shared" si="1514"/>
        <v>0</v>
      </c>
      <c r="AA305" s="375">
        <f t="shared" si="1526"/>
        <v>0</v>
      </c>
      <c r="AB305" s="386">
        <f t="shared" si="1527"/>
        <v>0</v>
      </c>
      <c r="AC305" s="386">
        <f t="shared" si="1473"/>
        <v>0</v>
      </c>
      <c r="AD305" s="386">
        <f t="shared" si="1474"/>
        <v>0</v>
      </c>
      <c r="AE305" s="386">
        <f t="shared" si="1475"/>
        <v>0</v>
      </c>
      <c r="AF305" s="386">
        <f t="shared" si="1476"/>
        <v>0</v>
      </c>
      <c r="AG305" s="375">
        <f t="shared" si="1477"/>
        <v>0</v>
      </c>
      <c r="AH305" s="375">
        <f t="shared" si="1478"/>
        <v>0</v>
      </c>
      <c r="AI305" s="386">
        <f t="shared" si="1479"/>
        <v>0</v>
      </c>
      <c r="AJ305" s="386">
        <f t="shared" si="1480"/>
        <v>0</v>
      </c>
      <c r="AK305" s="386">
        <f t="shared" si="1481"/>
        <v>0</v>
      </c>
      <c r="AL305" s="377">
        <f t="shared" si="1482"/>
        <v>0</v>
      </c>
      <c r="AM305" s="377">
        <f t="shared" si="1483"/>
        <v>0</v>
      </c>
      <c r="AN305" s="377">
        <f t="shared" si="1484"/>
        <v>0</v>
      </c>
      <c r="AO305" s="283"/>
      <c r="AP305" s="295">
        <f t="shared" si="1528"/>
        <v>5</v>
      </c>
      <c r="AQ305" s="20">
        <f>-BA305</f>
        <v>5</v>
      </c>
      <c r="AR305" s="95">
        <f t="shared" si="1529"/>
        <v>5</v>
      </c>
      <c r="AS305" s="94">
        <f t="shared" ref="AS305:AS315" si="1536">-BC305</f>
        <v>0</v>
      </c>
      <c r="AT305" s="94">
        <f t="shared" si="1486"/>
        <v>0</v>
      </c>
      <c r="AU305" s="94">
        <f t="shared" si="1487"/>
        <v>0</v>
      </c>
      <c r="AV305" s="94">
        <f t="shared" si="1488"/>
        <v>0</v>
      </c>
      <c r="AW305" s="94">
        <f t="shared" ref="AW305:AW307" si="1537">-BH305</f>
        <v>0</v>
      </c>
      <c r="AX305" s="94">
        <f t="shared" si="1490"/>
        <v>0</v>
      </c>
      <c r="AY305" s="94">
        <f t="shared" ref="AY305:AY307" si="1538">-BO305</f>
        <v>0</v>
      </c>
      <c r="AZ305" s="433">
        <f>-BU305</f>
        <v>0</v>
      </c>
      <c r="BA305" s="657">
        <v>-5</v>
      </c>
      <c r="BB305" s="327">
        <v>-5</v>
      </c>
      <c r="BC305" s="207">
        <v>0</v>
      </c>
      <c r="BD305" s="389">
        <v>0</v>
      </c>
      <c r="BE305" s="389">
        <v>0</v>
      </c>
      <c r="BF305" s="516">
        <v>0</v>
      </c>
      <c r="BG305" s="207">
        <v>0</v>
      </c>
      <c r="BH305" s="207">
        <v>0</v>
      </c>
      <c r="BI305" s="389">
        <v>0</v>
      </c>
      <c r="BJ305" s="516">
        <v>0</v>
      </c>
      <c r="BK305" s="516">
        <v>0</v>
      </c>
      <c r="BL305" s="516">
        <v>0</v>
      </c>
      <c r="BM305" s="516">
        <v>0</v>
      </c>
      <c r="BN305" s="409">
        <v>0</v>
      </c>
      <c r="BO305" s="207">
        <v>0</v>
      </c>
      <c r="BP305" s="389">
        <v>0</v>
      </c>
      <c r="BQ305" s="389">
        <v>0</v>
      </c>
      <c r="BR305" s="389">
        <v>0</v>
      </c>
      <c r="BS305" s="296">
        <v>0</v>
      </c>
      <c r="BT305" s="296">
        <v>0</v>
      </c>
      <c r="BU305" s="296">
        <v>0</v>
      </c>
      <c r="BV305" s="409">
        <v>0</v>
      </c>
      <c r="BW305" s="296">
        <f t="shared" ref="BW305:BW315" si="1539">-BV305</f>
        <v>0</v>
      </c>
      <c r="BX305" s="439" t="s">
        <v>337</v>
      </c>
    </row>
    <row r="306" spans="1:76" ht="83.45" hidden="1" customHeight="1" outlineLevel="1" x14ac:dyDescent="0.25">
      <c r="A306" s="678">
        <v>25</v>
      </c>
      <c r="B306" s="702" t="s">
        <v>222</v>
      </c>
      <c r="C306" s="694" t="s">
        <v>222</v>
      </c>
      <c r="D306" s="63" t="s">
        <v>1920</v>
      </c>
      <c r="E306" s="463" t="s">
        <v>1359</v>
      </c>
      <c r="F306" s="542" t="s">
        <v>1360</v>
      </c>
      <c r="G306" s="242" t="s">
        <v>216</v>
      </c>
      <c r="H306" s="311" t="s">
        <v>127</v>
      </c>
      <c r="I306" s="335"/>
      <c r="J306" s="294">
        <f t="shared" ref="J306:J313" si="1540">AQ306/T$8</f>
        <v>0</v>
      </c>
      <c r="K306" s="52">
        <f t="shared" ref="K306:K314" si="1541">AR306/U$8</f>
        <v>0</v>
      </c>
      <c r="L306" s="52">
        <f t="shared" ref="L306:L314" si="1542">AS306/V$8</f>
        <v>2.4485798237022528E-4</v>
      </c>
      <c r="M306" s="52">
        <f t="shared" si="1457"/>
        <v>2.5506930235323784E-4</v>
      </c>
      <c r="N306" s="52">
        <f t="shared" si="1458"/>
        <v>1.8988674354885777E-4</v>
      </c>
      <c r="O306" s="52">
        <f t="shared" si="1459"/>
        <v>0</v>
      </c>
      <c r="P306" s="52">
        <f t="shared" si="1460"/>
        <v>0</v>
      </c>
      <c r="Q306" s="52">
        <f t="shared" si="1461"/>
        <v>0</v>
      </c>
      <c r="R306" s="52">
        <f t="shared" si="1462"/>
        <v>0</v>
      </c>
      <c r="S306" s="527">
        <f t="shared" ref="S306:S314" si="1543">AZ306/AN$8</f>
        <v>0</v>
      </c>
      <c r="T306" s="533">
        <f t="shared" ref="T306:T314" si="1544">BA306/T$8</f>
        <v>0</v>
      </c>
      <c r="U306" s="375">
        <f t="shared" ref="U306:U314" si="1545">BB306/U$8</f>
        <v>0</v>
      </c>
      <c r="V306" s="375">
        <f t="shared" ref="V306:V314" si="1546">BC306/V$8</f>
        <v>-2.4485798237022528E-4</v>
      </c>
      <c r="W306" s="386">
        <f t="shared" ref="W306:W314" si="1547">BD306/W$8</f>
        <v>0</v>
      </c>
      <c r="X306" s="386">
        <f t="shared" ref="X306:X314" si="1548">BE306/X$8</f>
        <v>-2.5506930235323784E-4</v>
      </c>
      <c r="Y306" s="386">
        <f t="shared" ref="Y306:Y311" si="1549">BF306/Y$8</f>
        <v>-2.5506930235323784E-4</v>
      </c>
      <c r="Z306" s="375">
        <f t="shared" si="1514"/>
        <v>-1.8988674354885777E-4</v>
      </c>
      <c r="AA306" s="375">
        <f t="shared" ref="AA306:AA314" si="1550">BH306/AA$8</f>
        <v>0</v>
      </c>
      <c r="AB306" s="386">
        <f t="shared" ref="AB306:AB314" si="1551">BI306/AB$8</f>
        <v>0</v>
      </c>
      <c r="AC306" s="386">
        <f t="shared" si="1473"/>
        <v>0</v>
      </c>
      <c r="AD306" s="386">
        <f t="shared" si="1474"/>
        <v>0</v>
      </c>
      <c r="AE306" s="386">
        <f t="shared" si="1475"/>
        <v>0</v>
      </c>
      <c r="AF306" s="386">
        <f t="shared" si="1476"/>
        <v>0</v>
      </c>
      <c r="AG306" s="375">
        <f t="shared" si="1477"/>
        <v>0</v>
      </c>
      <c r="AH306" s="375">
        <f t="shared" si="1478"/>
        <v>0</v>
      </c>
      <c r="AI306" s="386">
        <f t="shared" si="1479"/>
        <v>0</v>
      </c>
      <c r="AJ306" s="386">
        <f t="shared" si="1480"/>
        <v>0</v>
      </c>
      <c r="AK306" s="386">
        <f t="shared" si="1481"/>
        <v>0</v>
      </c>
      <c r="AL306" s="377">
        <f t="shared" si="1482"/>
        <v>0</v>
      </c>
      <c r="AM306" s="377">
        <f t="shared" si="1483"/>
        <v>0</v>
      </c>
      <c r="AN306" s="377">
        <f t="shared" si="1484"/>
        <v>0</v>
      </c>
      <c r="AO306" s="283"/>
      <c r="AP306" s="295">
        <f t="shared" si="1528"/>
        <v>6.3778360000000003</v>
      </c>
      <c r="AQ306" s="20">
        <f>-BA306</f>
        <v>0</v>
      </c>
      <c r="AR306" s="95">
        <f t="shared" ref="AR306:AR307" si="1552">-BB306</f>
        <v>0</v>
      </c>
      <c r="AS306" s="94">
        <f t="shared" si="1536"/>
        <v>8</v>
      </c>
      <c r="AT306" s="94">
        <f t="shared" si="1486"/>
        <v>8</v>
      </c>
      <c r="AU306" s="94">
        <f t="shared" si="1487"/>
        <v>6.3778360000000003</v>
      </c>
      <c r="AV306" s="94">
        <f t="shared" si="1488"/>
        <v>0</v>
      </c>
      <c r="AW306" s="94">
        <f t="shared" si="1537"/>
        <v>0</v>
      </c>
      <c r="AX306" s="94">
        <f t="shared" si="1490"/>
        <v>0</v>
      </c>
      <c r="AY306" s="94">
        <f t="shared" si="1538"/>
        <v>0</v>
      </c>
      <c r="AZ306" s="433">
        <f>-BU306</f>
        <v>0</v>
      </c>
      <c r="BA306" s="657">
        <v>0</v>
      </c>
      <c r="BB306" s="327">
        <v>0</v>
      </c>
      <c r="BC306" s="207">
        <v>-8</v>
      </c>
      <c r="BD306" s="389">
        <v>0</v>
      </c>
      <c r="BE306" s="389">
        <v>-8</v>
      </c>
      <c r="BF306" s="516">
        <v>-8</v>
      </c>
      <c r="BG306" s="207">
        <f>-6.377836</f>
        <v>-6.3778360000000003</v>
      </c>
      <c r="BH306" s="207">
        <f>0</f>
        <v>0</v>
      </c>
      <c r="BI306" s="389">
        <v>0</v>
      </c>
      <c r="BJ306" s="516">
        <v>0</v>
      </c>
      <c r="BK306" s="516">
        <v>0</v>
      </c>
      <c r="BL306" s="516">
        <v>0</v>
      </c>
      <c r="BM306" s="516">
        <v>0</v>
      </c>
      <c r="BN306" s="409">
        <v>0</v>
      </c>
      <c r="BO306" s="207">
        <v>0</v>
      </c>
      <c r="BP306" s="389">
        <v>0</v>
      </c>
      <c r="BQ306" s="389">
        <v>0</v>
      </c>
      <c r="BR306" s="389">
        <v>0</v>
      </c>
      <c r="BS306" s="296">
        <v>0</v>
      </c>
      <c r="BT306" s="296">
        <v>0</v>
      </c>
      <c r="BU306" s="296">
        <v>0</v>
      </c>
      <c r="BV306" s="409">
        <v>0</v>
      </c>
      <c r="BW306" s="296">
        <f t="shared" si="1539"/>
        <v>0</v>
      </c>
      <c r="BX306" s="439" t="s">
        <v>1919</v>
      </c>
    </row>
    <row r="307" spans="1:76" ht="57.95" hidden="1" customHeight="1" outlineLevel="1" x14ac:dyDescent="0.25">
      <c r="A307" s="678">
        <v>26</v>
      </c>
      <c r="B307" s="702" t="s">
        <v>276</v>
      </c>
      <c r="C307" s="694" t="s">
        <v>276</v>
      </c>
      <c r="D307" s="641">
        <v>44511</v>
      </c>
      <c r="E307" s="463" t="s">
        <v>1780</v>
      </c>
      <c r="F307" s="542" t="s">
        <v>1781</v>
      </c>
      <c r="G307" s="242" t="s">
        <v>1782</v>
      </c>
      <c r="H307" s="311" t="s">
        <v>127</v>
      </c>
      <c r="I307" s="335"/>
      <c r="J307" s="294">
        <f t="shared" si="1540"/>
        <v>0</v>
      </c>
      <c r="K307" s="52">
        <f t="shared" si="1541"/>
        <v>0</v>
      </c>
      <c r="L307" s="52">
        <f t="shared" si="1542"/>
        <v>1.5885161606268365E-7</v>
      </c>
      <c r="M307" s="52">
        <f t="shared" si="1457"/>
        <v>1.6547620990166303E-7</v>
      </c>
      <c r="N307" s="52">
        <f t="shared" si="1458"/>
        <v>1.5452140804789771E-7</v>
      </c>
      <c r="O307" s="52">
        <f t="shared" si="1459"/>
        <v>0</v>
      </c>
      <c r="P307" s="52">
        <f t="shared" si="1460"/>
        <v>0</v>
      </c>
      <c r="Q307" s="52">
        <f t="shared" si="1461"/>
        <v>0</v>
      </c>
      <c r="R307" s="52">
        <f t="shared" si="1462"/>
        <v>0</v>
      </c>
      <c r="S307" s="527">
        <f t="shared" si="1543"/>
        <v>0</v>
      </c>
      <c r="T307" s="533">
        <f t="shared" si="1544"/>
        <v>0</v>
      </c>
      <c r="U307" s="375">
        <f t="shared" si="1545"/>
        <v>0</v>
      </c>
      <c r="V307" s="375">
        <f t="shared" si="1546"/>
        <v>-1.5885161606268365E-7</v>
      </c>
      <c r="W307" s="386">
        <f t="shared" si="1547"/>
        <v>0</v>
      </c>
      <c r="X307" s="386">
        <f t="shared" si="1548"/>
        <v>-2.5506930235323784E-4</v>
      </c>
      <c r="Y307" s="386">
        <f t="shared" si="1549"/>
        <v>0</v>
      </c>
      <c r="Z307" s="375">
        <f t="shared" si="1514"/>
        <v>-1.5452140804789771E-7</v>
      </c>
      <c r="AA307" s="375">
        <f t="shared" si="1550"/>
        <v>0</v>
      </c>
      <c r="AB307" s="386">
        <f t="shared" si="1551"/>
        <v>0</v>
      </c>
      <c r="AC307" s="386">
        <f t="shared" si="1473"/>
        <v>0</v>
      </c>
      <c r="AD307" s="386">
        <f t="shared" si="1474"/>
        <v>0</v>
      </c>
      <c r="AE307" s="386">
        <f t="shared" si="1475"/>
        <v>0</v>
      </c>
      <c r="AF307" s="386">
        <f t="shared" si="1476"/>
        <v>0</v>
      </c>
      <c r="AG307" s="375">
        <f t="shared" si="1477"/>
        <v>0</v>
      </c>
      <c r="AH307" s="375">
        <f t="shared" si="1478"/>
        <v>0</v>
      </c>
      <c r="AI307" s="386">
        <f t="shared" si="1479"/>
        <v>0</v>
      </c>
      <c r="AJ307" s="386">
        <f t="shared" si="1480"/>
        <v>0</v>
      </c>
      <c r="AK307" s="386">
        <f t="shared" si="1481"/>
        <v>0</v>
      </c>
      <c r="AL307" s="377">
        <f t="shared" si="1482"/>
        <v>0</v>
      </c>
      <c r="AM307" s="377">
        <f t="shared" si="1483"/>
        <v>0</v>
      </c>
      <c r="AN307" s="377">
        <f t="shared" si="1484"/>
        <v>0</v>
      </c>
      <c r="AO307" s="283"/>
      <c r="AP307" s="295">
        <f t="shared" si="1528"/>
        <v>5.1900000000000002E-3</v>
      </c>
      <c r="AQ307" s="20">
        <f>-BA307</f>
        <v>0</v>
      </c>
      <c r="AR307" s="95">
        <f t="shared" si="1552"/>
        <v>0</v>
      </c>
      <c r="AS307" s="94">
        <f t="shared" si="1536"/>
        <v>5.1900000000000002E-3</v>
      </c>
      <c r="AT307" s="94">
        <f t="shared" si="1486"/>
        <v>5.1900000000000002E-3</v>
      </c>
      <c r="AU307" s="94">
        <f t="shared" si="1487"/>
        <v>5.1900000000000002E-3</v>
      </c>
      <c r="AV307" s="94">
        <f t="shared" si="1488"/>
        <v>0</v>
      </c>
      <c r="AW307" s="94">
        <f t="shared" si="1537"/>
        <v>0</v>
      </c>
      <c r="AX307" s="94">
        <f t="shared" si="1490"/>
        <v>0</v>
      </c>
      <c r="AY307" s="94">
        <f t="shared" si="1538"/>
        <v>0</v>
      </c>
      <c r="AZ307" s="433">
        <f>-BU307</f>
        <v>0</v>
      </c>
      <c r="BA307" s="657">
        <v>0</v>
      </c>
      <c r="BB307" s="327">
        <v>0</v>
      </c>
      <c r="BC307" s="207">
        <f>-0.00519</f>
        <v>-5.1900000000000002E-3</v>
      </c>
      <c r="BD307" s="389">
        <v>0</v>
      </c>
      <c r="BE307" s="389">
        <v>-8</v>
      </c>
      <c r="BF307" s="516">
        <v>0</v>
      </c>
      <c r="BG307" s="207">
        <f>-0.00519</f>
        <v>-5.1900000000000002E-3</v>
      </c>
      <c r="BH307" s="207">
        <v>0</v>
      </c>
      <c r="BI307" s="389">
        <v>0</v>
      </c>
      <c r="BJ307" s="516">
        <v>0</v>
      </c>
      <c r="BK307" s="516">
        <v>0</v>
      </c>
      <c r="BL307" s="516">
        <v>0</v>
      </c>
      <c r="BM307" s="516">
        <v>0</v>
      </c>
      <c r="BN307" s="409">
        <v>0</v>
      </c>
      <c r="BO307" s="207">
        <v>0</v>
      </c>
      <c r="BP307" s="389">
        <v>0</v>
      </c>
      <c r="BQ307" s="389">
        <v>0</v>
      </c>
      <c r="BR307" s="389">
        <v>0</v>
      </c>
      <c r="BS307" s="296">
        <v>0</v>
      </c>
      <c r="BT307" s="296">
        <v>0</v>
      </c>
      <c r="BU307" s="296">
        <v>0</v>
      </c>
      <c r="BV307" s="409">
        <v>0</v>
      </c>
      <c r="BW307" s="296">
        <f t="shared" si="1539"/>
        <v>0</v>
      </c>
      <c r="BX307" s="439" t="s">
        <v>1783</v>
      </c>
    </row>
    <row r="308" spans="1:76" ht="57.95" hidden="1" customHeight="1" outlineLevel="1" x14ac:dyDescent="0.25">
      <c r="A308" s="678">
        <v>27</v>
      </c>
      <c r="B308" s="702" t="s">
        <v>276</v>
      </c>
      <c r="C308" s="694" t="s">
        <v>276</v>
      </c>
      <c r="D308" s="641">
        <v>44511</v>
      </c>
      <c r="E308" s="463" t="s">
        <v>1780</v>
      </c>
      <c r="F308" s="542" t="s">
        <v>1781</v>
      </c>
      <c r="G308" s="242" t="s">
        <v>25</v>
      </c>
      <c r="H308" s="311" t="s">
        <v>127</v>
      </c>
      <c r="I308" s="335"/>
      <c r="J308" s="294">
        <f t="shared" si="1540"/>
        <v>0</v>
      </c>
      <c r="K308" s="52">
        <f t="shared" si="1541"/>
        <v>0</v>
      </c>
      <c r="L308" s="52">
        <f t="shared" si="1542"/>
        <v>8.7029444172380025E-5</v>
      </c>
      <c r="M308" s="52">
        <f t="shared" si="1457"/>
        <v>9.0658835764132202E-5</v>
      </c>
      <c r="N308" s="52">
        <f t="shared" si="1458"/>
        <v>8.0191013469592444E-5</v>
      </c>
      <c r="O308" s="52">
        <f t="shared" si="1459"/>
        <v>0</v>
      </c>
      <c r="P308" s="52">
        <f t="shared" si="1460"/>
        <v>0</v>
      </c>
      <c r="Q308" s="52">
        <f t="shared" si="1461"/>
        <v>0</v>
      </c>
      <c r="R308" s="52">
        <f t="shared" si="1462"/>
        <v>0</v>
      </c>
      <c r="S308" s="527">
        <f t="shared" si="1543"/>
        <v>0</v>
      </c>
      <c r="T308" s="533">
        <f t="shared" si="1544"/>
        <v>0</v>
      </c>
      <c r="U308" s="375">
        <f t="shared" si="1545"/>
        <v>0</v>
      </c>
      <c r="V308" s="375">
        <f t="shared" si="1546"/>
        <v>-8.7029444172380025E-5</v>
      </c>
      <c r="W308" s="386">
        <f t="shared" si="1547"/>
        <v>0</v>
      </c>
      <c r="X308" s="386">
        <f t="shared" si="1548"/>
        <v>-2.5506930235323784E-4</v>
      </c>
      <c r="Y308" s="386">
        <f t="shared" si="1549"/>
        <v>0</v>
      </c>
      <c r="Z308" s="375">
        <f t="shared" si="1514"/>
        <v>-8.0191013469592444E-5</v>
      </c>
      <c r="AA308" s="375">
        <f t="shared" si="1550"/>
        <v>0</v>
      </c>
      <c r="AB308" s="386">
        <f t="shared" si="1551"/>
        <v>0</v>
      </c>
      <c r="AC308" s="386">
        <f t="shared" si="1473"/>
        <v>0</v>
      </c>
      <c r="AD308" s="386">
        <f t="shared" si="1474"/>
        <v>0</v>
      </c>
      <c r="AE308" s="386">
        <f t="shared" si="1475"/>
        <v>0</v>
      </c>
      <c r="AF308" s="386">
        <f t="shared" si="1476"/>
        <v>0</v>
      </c>
      <c r="AG308" s="375">
        <f t="shared" si="1477"/>
        <v>0</v>
      </c>
      <c r="AH308" s="375">
        <f t="shared" si="1478"/>
        <v>0</v>
      </c>
      <c r="AI308" s="386">
        <f t="shared" si="1479"/>
        <v>0</v>
      </c>
      <c r="AJ308" s="386">
        <f t="shared" si="1480"/>
        <v>0</v>
      </c>
      <c r="AK308" s="386">
        <f t="shared" si="1481"/>
        <v>0</v>
      </c>
      <c r="AL308" s="377">
        <f t="shared" si="1482"/>
        <v>0</v>
      </c>
      <c r="AM308" s="377">
        <f t="shared" si="1483"/>
        <v>0</v>
      </c>
      <c r="AN308" s="377">
        <f t="shared" si="1484"/>
        <v>0</v>
      </c>
      <c r="AO308" s="283"/>
      <c r="AP308" s="295">
        <f t="shared" si="1528"/>
        <v>2.693422</v>
      </c>
      <c r="AQ308" s="20">
        <v>0</v>
      </c>
      <c r="AR308" s="95">
        <v>0</v>
      </c>
      <c r="AS308" s="94">
        <f t="shared" si="1536"/>
        <v>2.843426</v>
      </c>
      <c r="AT308" s="94">
        <f t="shared" si="1486"/>
        <v>2.843426</v>
      </c>
      <c r="AU308" s="94">
        <f t="shared" si="1487"/>
        <v>2.693422</v>
      </c>
      <c r="AV308" s="94">
        <v>0</v>
      </c>
      <c r="AW308" s="94">
        <v>0</v>
      </c>
      <c r="AX308" s="94">
        <v>0</v>
      </c>
      <c r="AY308" s="94">
        <v>0</v>
      </c>
      <c r="AZ308" s="433">
        <v>0</v>
      </c>
      <c r="BA308" s="657">
        <v>0</v>
      </c>
      <c r="BB308" s="327">
        <v>0</v>
      </c>
      <c r="BC308" s="207">
        <f>-2.843426</f>
        <v>-2.843426</v>
      </c>
      <c r="BD308" s="389">
        <v>0</v>
      </c>
      <c r="BE308" s="389">
        <v>-8</v>
      </c>
      <c r="BF308" s="516">
        <v>0</v>
      </c>
      <c r="BG308" s="207">
        <f>-2.693422</f>
        <v>-2.693422</v>
      </c>
      <c r="BH308" s="207">
        <v>0</v>
      </c>
      <c r="BI308" s="389">
        <v>0</v>
      </c>
      <c r="BJ308" s="516">
        <v>0</v>
      </c>
      <c r="BK308" s="516">
        <v>0</v>
      </c>
      <c r="BL308" s="516">
        <v>0</v>
      </c>
      <c r="BM308" s="516">
        <v>0</v>
      </c>
      <c r="BN308" s="409">
        <v>0</v>
      </c>
      <c r="BO308" s="207">
        <v>0</v>
      </c>
      <c r="BP308" s="389">
        <v>0</v>
      </c>
      <c r="BQ308" s="389">
        <v>0</v>
      </c>
      <c r="BR308" s="389">
        <v>0</v>
      </c>
      <c r="BS308" s="296">
        <v>0</v>
      </c>
      <c r="BT308" s="296">
        <v>0</v>
      </c>
      <c r="BU308" s="296">
        <v>0</v>
      </c>
      <c r="BV308" s="409">
        <v>0</v>
      </c>
      <c r="BW308" s="296">
        <f t="shared" si="1539"/>
        <v>0</v>
      </c>
      <c r="BX308" s="439" t="s">
        <v>1784</v>
      </c>
    </row>
    <row r="309" spans="1:76" ht="57.95" hidden="1" customHeight="1" outlineLevel="1" x14ac:dyDescent="0.25">
      <c r="A309" s="678">
        <v>28</v>
      </c>
      <c r="B309" s="702" t="s">
        <v>276</v>
      </c>
      <c r="C309" s="694" t="s">
        <v>276</v>
      </c>
      <c r="D309" s="641">
        <v>44511</v>
      </c>
      <c r="E309" s="463" t="s">
        <v>1780</v>
      </c>
      <c r="F309" s="542" t="s">
        <v>1781</v>
      </c>
      <c r="G309" s="242" t="s">
        <v>40</v>
      </c>
      <c r="H309" s="311" t="s">
        <v>127</v>
      </c>
      <c r="I309" s="335"/>
      <c r="J309" s="294">
        <f t="shared" si="1540"/>
        <v>0</v>
      </c>
      <c r="K309" s="52">
        <f t="shared" si="1541"/>
        <v>0</v>
      </c>
      <c r="L309" s="52">
        <f t="shared" si="1542"/>
        <v>9.8249265426052891E-8</v>
      </c>
      <c r="M309" s="52">
        <f t="shared" si="1457"/>
        <v>1.0234655756923668E-7</v>
      </c>
      <c r="N309" s="52">
        <f t="shared" si="1458"/>
        <v>9.5571044283959858E-8</v>
      </c>
      <c r="O309" s="52">
        <f t="shared" si="1459"/>
        <v>0</v>
      </c>
      <c r="P309" s="52">
        <f t="shared" si="1460"/>
        <v>0</v>
      </c>
      <c r="Q309" s="52">
        <f t="shared" si="1461"/>
        <v>0</v>
      </c>
      <c r="R309" s="52">
        <f t="shared" si="1462"/>
        <v>0</v>
      </c>
      <c r="S309" s="527">
        <f t="shared" si="1543"/>
        <v>0</v>
      </c>
      <c r="T309" s="533">
        <f t="shared" si="1544"/>
        <v>0</v>
      </c>
      <c r="U309" s="375">
        <f t="shared" si="1545"/>
        <v>0</v>
      </c>
      <c r="V309" s="375">
        <f t="shared" si="1546"/>
        <v>-9.8249265426052891E-8</v>
      </c>
      <c r="W309" s="386">
        <f t="shared" si="1547"/>
        <v>0</v>
      </c>
      <c r="X309" s="386">
        <f t="shared" si="1548"/>
        <v>-2.5506930235323784E-4</v>
      </c>
      <c r="Y309" s="386">
        <f t="shared" si="1549"/>
        <v>0</v>
      </c>
      <c r="Z309" s="375">
        <f t="shared" si="1514"/>
        <v>-9.5571044283959858E-8</v>
      </c>
      <c r="AA309" s="375">
        <f t="shared" si="1550"/>
        <v>0</v>
      </c>
      <c r="AB309" s="386">
        <f t="shared" si="1551"/>
        <v>0</v>
      </c>
      <c r="AC309" s="386">
        <f t="shared" si="1473"/>
        <v>0</v>
      </c>
      <c r="AD309" s="386">
        <f t="shared" si="1474"/>
        <v>0</v>
      </c>
      <c r="AE309" s="386">
        <f t="shared" si="1475"/>
        <v>0</v>
      </c>
      <c r="AF309" s="386">
        <f t="shared" si="1476"/>
        <v>0</v>
      </c>
      <c r="AG309" s="375">
        <f t="shared" si="1477"/>
        <v>0</v>
      </c>
      <c r="AH309" s="375">
        <f t="shared" si="1478"/>
        <v>0</v>
      </c>
      <c r="AI309" s="386">
        <f t="shared" si="1479"/>
        <v>0</v>
      </c>
      <c r="AJ309" s="386">
        <f t="shared" si="1480"/>
        <v>0</v>
      </c>
      <c r="AK309" s="386">
        <f t="shared" si="1481"/>
        <v>0</v>
      </c>
      <c r="AL309" s="377">
        <f t="shared" si="1482"/>
        <v>0</v>
      </c>
      <c r="AM309" s="377">
        <f t="shared" si="1483"/>
        <v>0</v>
      </c>
      <c r="AN309" s="377">
        <f t="shared" si="1484"/>
        <v>0</v>
      </c>
      <c r="AO309" s="283"/>
      <c r="AP309" s="295">
        <f t="shared" ref="AP309:AP315" si="1553">AR309+AU309+AZ309+AW309+AY309</f>
        <v>3.2100000000000002E-3</v>
      </c>
      <c r="AQ309" s="20">
        <f t="shared" ref="AQ309:AQ315" si="1554">-BA309</f>
        <v>0</v>
      </c>
      <c r="AR309" s="95">
        <f t="shared" ref="AR309" si="1555">-BB309</f>
        <v>0</v>
      </c>
      <c r="AS309" s="94">
        <f t="shared" si="1536"/>
        <v>3.2100000000000002E-3</v>
      </c>
      <c r="AT309" s="94">
        <f t="shared" si="1486"/>
        <v>3.2100000000000002E-3</v>
      </c>
      <c r="AU309" s="94">
        <f t="shared" si="1487"/>
        <v>3.2100000000000002E-3</v>
      </c>
      <c r="AV309" s="94">
        <f t="shared" ref="AV309:AV315" si="1556">-BH309</f>
        <v>0</v>
      </c>
      <c r="AW309" s="94">
        <f t="shared" ref="AW309:AW315" si="1557">-BH309</f>
        <v>0</v>
      </c>
      <c r="AX309" s="94">
        <f t="shared" ref="AX309:AX315" si="1558">-BN309</f>
        <v>0</v>
      </c>
      <c r="AY309" s="94">
        <f t="shared" ref="AY309:AY315" si="1559">-BO309</f>
        <v>0</v>
      </c>
      <c r="AZ309" s="433">
        <f>-BU309</f>
        <v>0</v>
      </c>
      <c r="BA309" s="657">
        <v>0</v>
      </c>
      <c r="BB309" s="327">
        <v>0</v>
      </c>
      <c r="BC309" s="207">
        <f>-0.00321</f>
        <v>-3.2100000000000002E-3</v>
      </c>
      <c r="BD309" s="389">
        <v>0</v>
      </c>
      <c r="BE309" s="389">
        <v>-8</v>
      </c>
      <c r="BF309" s="516">
        <v>0</v>
      </c>
      <c r="BG309" s="207">
        <f>-0.00321</f>
        <v>-3.2100000000000002E-3</v>
      </c>
      <c r="BH309" s="207">
        <v>0</v>
      </c>
      <c r="BI309" s="389">
        <v>0</v>
      </c>
      <c r="BJ309" s="516">
        <v>0</v>
      </c>
      <c r="BK309" s="516">
        <v>0</v>
      </c>
      <c r="BL309" s="516">
        <v>0</v>
      </c>
      <c r="BM309" s="516">
        <v>0</v>
      </c>
      <c r="BN309" s="409">
        <v>0</v>
      </c>
      <c r="BO309" s="207">
        <v>0</v>
      </c>
      <c r="BP309" s="389">
        <v>0</v>
      </c>
      <c r="BQ309" s="389">
        <v>0</v>
      </c>
      <c r="BR309" s="389">
        <v>0</v>
      </c>
      <c r="BS309" s="296">
        <v>0</v>
      </c>
      <c r="BT309" s="296">
        <v>0</v>
      </c>
      <c r="BU309" s="296">
        <v>0</v>
      </c>
      <c r="BV309" s="409">
        <v>0</v>
      </c>
      <c r="BW309" s="296">
        <f t="shared" si="1539"/>
        <v>0</v>
      </c>
      <c r="BX309" s="439" t="s">
        <v>1785</v>
      </c>
    </row>
    <row r="310" spans="1:76" ht="57.95" hidden="1" customHeight="1" outlineLevel="1" x14ac:dyDescent="0.25">
      <c r="A310" s="678">
        <v>29</v>
      </c>
      <c r="B310" s="702" t="s">
        <v>276</v>
      </c>
      <c r="C310" s="694" t="s">
        <v>276</v>
      </c>
      <c r="D310" s="641">
        <v>44511</v>
      </c>
      <c r="E310" s="463" t="s">
        <v>1780</v>
      </c>
      <c r="F310" s="542" t="s">
        <v>1781</v>
      </c>
      <c r="G310" s="242" t="s">
        <v>7</v>
      </c>
      <c r="H310" s="311" t="s">
        <v>127</v>
      </c>
      <c r="I310" s="335"/>
      <c r="J310" s="294">
        <f t="shared" si="1540"/>
        <v>0</v>
      </c>
      <c r="K310" s="52">
        <f t="shared" si="1541"/>
        <v>0</v>
      </c>
      <c r="L310" s="52">
        <f t="shared" si="1542"/>
        <v>4.676787463271303E-8</v>
      </c>
      <c r="M310" s="52">
        <f t="shared" si="1457"/>
        <v>4.8718236749468426E-8</v>
      </c>
      <c r="N310" s="52">
        <f t="shared" si="1458"/>
        <v>4.1961940751966674E-7</v>
      </c>
      <c r="O310" s="52">
        <f t="shared" si="1459"/>
        <v>0</v>
      </c>
      <c r="P310" s="52">
        <f t="shared" si="1460"/>
        <v>0</v>
      </c>
      <c r="Q310" s="52">
        <f t="shared" si="1461"/>
        <v>0</v>
      </c>
      <c r="R310" s="52">
        <f t="shared" si="1462"/>
        <v>0</v>
      </c>
      <c r="S310" s="527">
        <f t="shared" si="1543"/>
        <v>0</v>
      </c>
      <c r="T310" s="533">
        <f t="shared" si="1544"/>
        <v>0</v>
      </c>
      <c r="U310" s="375">
        <f t="shared" si="1545"/>
        <v>0</v>
      </c>
      <c r="V310" s="375">
        <f t="shared" si="1546"/>
        <v>-4.676787463271303E-8</v>
      </c>
      <c r="W310" s="386">
        <f t="shared" si="1547"/>
        <v>0</v>
      </c>
      <c r="X310" s="386">
        <f t="shared" si="1548"/>
        <v>-2.5506930235323784E-4</v>
      </c>
      <c r="Y310" s="386">
        <f t="shared" si="1549"/>
        <v>0</v>
      </c>
      <c r="Z310" s="375">
        <f t="shared" si="1514"/>
        <v>-4.1961940751966674E-7</v>
      </c>
      <c r="AA310" s="375">
        <f t="shared" si="1550"/>
        <v>0</v>
      </c>
      <c r="AB310" s="386">
        <f t="shared" si="1551"/>
        <v>0</v>
      </c>
      <c r="AC310" s="386">
        <f t="shared" si="1473"/>
        <v>0</v>
      </c>
      <c r="AD310" s="386">
        <f t="shared" si="1474"/>
        <v>0</v>
      </c>
      <c r="AE310" s="386">
        <f t="shared" si="1475"/>
        <v>0</v>
      </c>
      <c r="AF310" s="386">
        <f t="shared" si="1476"/>
        <v>0</v>
      </c>
      <c r="AG310" s="375">
        <f t="shared" si="1477"/>
        <v>0</v>
      </c>
      <c r="AH310" s="375">
        <f t="shared" si="1478"/>
        <v>0</v>
      </c>
      <c r="AI310" s="386">
        <f t="shared" si="1479"/>
        <v>0</v>
      </c>
      <c r="AJ310" s="386">
        <f t="shared" si="1480"/>
        <v>0</v>
      </c>
      <c r="AK310" s="386">
        <f t="shared" si="1481"/>
        <v>0</v>
      </c>
      <c r="AL310" s="377">
        <f t="shared" si="1482"/>
        <v>0</v>
      </c>
      <c r="AM310" s="377">
        <f t="shared" si="1483"/>
        <v>0</v>
      </c>
      <c r="AN310" s="377">
        <f t="shared" si="1484"/>
        <v>0</v>
      </c>
      <c r="AO310" s="283"/>
      <c r="AP310" s="295">
        <f t="shared" si="1553"/>
        <v>1.4094000000000001E-2</v>
      </c>
      <c r="AQ310" s="20">
        <f t="shared" si="1554"/>
        <v>0</v>
      </c>
      <c r="AR310" s="95">
        <f t="shared" ref="AR310" si="1560">-BB310</f>
        <v>0</v>
      </c>
      <c r="AS310" s="94">
        <f t="shared" si="1536"/>
        <v>1.5280000000000001E-3</v>
      </c>
      <c r="AT310" s="94">
        <f t="shared" si="1486"/>
        <v>1.5280000000000001E-3</v>
      </c>
      <c r="AU310" s="94">
        <f t="shared" si="1487"/>
        <v>1.4094000000000001E-2</v>
      </c>
      <c r="AV310" s="94">
        <f t="shared" si="1556"/>
        <v>0</v>
      </c>
      <c r="AW310" s="94">
        <f t="shared" si="1557"/>
        <v>0</v>
      </c>
      <c r="AX310" s="94">
        <f t="shared" si="1558"/>
        <v>0</v>
      </c>
      <c r="AY310" s="94">
        <f t="shared" si="1559"/>
        <v>0</v>
      </c>
      <c r="AZ310" s="433">
        <f>-BU310</f>
        <v>0</v>
      </c>
      <c r="BA310" s="657">
        <v>0</v>
      </c>
      <c r="BB310" s="327">
        <v>0</v>
      </c>
      <c r="BC310" s="207">
        <f>-0.001528</f>
        <v>-1.5280000000000001E-3</v>
      </c>
      <c r="BD310" s="389">
        <v>0</v>
      </c>
      <c r="BE310" s="389">
        <v>-8</v>
      </c>
      <c r="BF310" s="516">
        <v>0</v>
      </c>
      <c r="BG310" s="207">
        <f>-0.014094</f>
        <v>-1.4094000000000001E-2</v>
      </c>
      <c r="BH310" s="207">
        <v>0</v>
      </c>
      <c r="BI310" s="389">
        <v>0</v>
      </c>
      <c r="BJ310" s="516">
        <v>0</v>
      </c>
      <c r="BK310" s="516">
        <v>0</v>
      </c>
      <c r="BL310" s="516">
        <v>0</v>
      </c>
      <c r="BM310" s="516">
        <v>0</v>
      </c>
      <c r="BN310" s="409">
        <v>0</v>
      </c>
      <c r="BO310" s="207">
        <v>0</v>
      </c>
      <c r="BP310" s="389">
        <v>0</v>
      </c>
      <c r="BQ310" s="389">
        <v>0</v>
      </c>
      <c r="BR310" s="389">
        <v>0</v>
      </c>
      <c r="BS310" s="296">
        <v>0</v>
      </c>
      <c r="BT310" s="296">
        <v>0</v>
      </c>
      <c r="BU310" s="296">
        <v>0</v>
      </c>
      <c r="BV310" s="409">
        <v>0</v>
      </c>
      <c r="BW310" s="296">
        <f t="shared" si="1539"/>
        <v>0</v>
      </c>
      <c r="BX310" s="439" t="s">
        <v>1779</v>
      </c>
    </row>
    <row r="311" spans="1:76" ht="57.95" hidden="1" customHeight="1" outlineLevel="1" x14ac:dyDescent="0.25">
      <c r="A311" s="678">
        <v>30</v>
      </c>
      <c r="B311" s="702" t="s">
        <v>276</v>
      </c>
      <c r="C311" s="694" t="s">
        <v>276</v>
      </c>
      <c r="D311" s="641">
        <v>44511</v>
      </c>
      <c r="E311" s="463" t="s">
        <v>1780</v>
      </c>
      <c r="F311" s="542" t="s">
        <v>1781</v>
      </c>
      <c r="G311" s="242" t="s">
        <v>211</v>
      </c>
      <c r="H311" s="311" t="s">
        <v>127</v>
      </c>
      <c r="I311" s="335"/>
      <c r="J311" s="294">
        <f t="shared" si="1540"/>
        <v>0</v>
      </c>
      <c r="K311" s="52">
        <f t="shared" si="1541"/>
        <v>0</v>
      </c>
      <c r="L311" s="52">
        <f t="shared" si="1542"/>
        <v>3.2700171400587658E-6</v>
      </c>
      <c r="M311" s="52">
        <f t="shared" si="1457"/>
        <v>3.4063867656019027E-6</v>
      </c>
      <c r="N311" s="52">
        <f t="shared" si="1458"/>
        <v>1.763955657536377E-6</v>
      </c>
      <c r="O311" s="52">
        <f t="shared" si="1459"/>
        <v>0</v>
      </c>
      <c r="P311" s="52">
        <f t="shared" si="1460"/>
        <v>0</v>
      </c>
      <c r="Q311" s="52">
        <f t="shared" si="1461"/>
        <v>0</v>
      </c>
      <c r="R311" s="52">
        <f t="shared" si="1462"/>
        <v>0</v>
      </c>
      <c r="S311" s="527">
        <f t="shared" si="1543"/>
        <v>0</v>
      </c>
      <c r="T311" s="533">
        <f t="shared" si="1544"/>
        <v>0</v>
      </c>
      <c r="U311" s="375">
        <f t="shared" si="1545"/>
        <v>0</v>
      </c>
      <c r="V311" s="375">
        <f t="shared" si="1546"/>
        <v>-3.2700171400587658E-6</v>
      </c>
      <c r="W311" s="386">
        <f t="shared" si="1547"/>
        <v>0</v>
      </c>
      <c r="X311" s="386">
        <f t="shared" si="1548"/>
        <v>-2.5506930235323784E-4</v>
      </c>
      <c r="Y311" s="386">
        <f t="shared" si="1549"/>
        <v>0</v>
      </c>
      <c r="Z311" s="375">
        <f t="shared" si="1514"/>
        <v>-1.763955657536377E-6</v>
      </c>
      <c r="AA311" s="375">
        <f t="shared" si="1550"/>
        <v>0</v>
      </c>
      <c r="AB311" s="386">
        <f t="shared" si="1551"/>
        <v>0</v>
      </c>
      <c r="AC311" s="386">
        <f t="shared" si="1473"/>
        <v>0</v>
      </c>
      <c r="AD311" s="386">
        <f t="shared" si="1474"/>
        <v>0</v>
      </c>
      <c r="AE311" s="386">
        <f t="shared" si="1475"/>
        <v>0</v>
      </c>
      <c r="AF311" s="386">
        <f t="shared" si="1476"/>
        <v>0</v>
      </c>
      <c r="AG311" s="375">
        <f t="shared" si="1477"/>
        <v>0</v>
      </c>
      <c r="AH311" s="375">
        <f t="shared" si="1478"/>
        <v>0</v>
      </c>
      <c r="AI311" s="386">
        <f t="shared" si="1479"/>
        <v>0</v>
      </c>
      <c r="AJ311" s="386">
        <f t="shared" si="1480"/>
        <v>0</v>
      </c>
      <c r="AK311" s="386">
        <f t="shared" si="1481"/>
        <v>0</v>
      </c>
      <c r="AL311" s="377">
        <f t="shared" si="1482"/>
        <v>0</v>
      </c>
      <c r="AM311" s="377">
        <f t="shared" si="1483"/>
        <v>0</v>
      </c>
      <c r="AN311" s="377">
        <f t="shared" si="1484"/>
        <v>0</v>
      </c>
      <c r="AO311" s="283"/>
      <c r="AP311" s="295">
        <f t="shared" si="1553"/>
        <v>5.9247000000000001E-2</v>
      </c>
      <c r="AQ311" s="20">
        <f t="shared" si="1554"/>
        <v>0</v>
      </c>
      <c r="AR311" s="95">
        <f t="shared" ref="AR311:AR314" si="1561">-BB311</f>
        <v>0</v>
      </c>
      <c r="AS311" s="94">
        <f t="shared" si="1536"/>
        <v>0.106838</v>
      </c>
      <c r="AT311" s="94">
        <f t="shared" si="1486"/>
        <v>0.106838</v>
      </c>
      <c r="AU311" s="94">
        <f t="shared" si="1487"/>
        <v>5.9247000000000001E-2</v>
      </c>
      <c r="AV311" s="94">
        <f t="shared" si="1556"/>
        <v>0</v>
      </c>
      <c r="AW311" s="94">
        <f t="shared" si="1557"/>
        <v>0</v>
      </c>
      <c r="AX311" s="94">
        <f t="shared" si="1558"/>
        <v>0</v>
      </c>
      <c r="AY311" s="94">
        <f t="shared" si="1559"/>
        <v>0</v>
      </c>
      <c r="AZ311" s="433">
        <f>-BU311</f>
        <v>0</v>
      </c>
      <c r="BA311" s="657">
        <v>0</v>
      </c>
      <c r="BB311" s="327">
        <v>0</v>
      </c>
      <c r="BC311" s="207">
        <f>-0.106838</f>
        <v>-0.106838</v>
      </c>
      <c r="BD311" s="389">
        <v>0</v>
      </c>
      <c r="BE311" s="389">
        <v>-8</v>
      </c>
      <c r="BF311" s="516">
        <v>0</v>
      </c>
      <c r="BG311" s="207">
        <f>-0.059247</f>
        <v>-5.9247000000000001E-2</v>
      </c>
      <c r="BH311" s="207">
        <v>0</v>
      </c>
      <c r="BI311" s="389">
        <v>0</v>
      </c>
      <c r="BJ311" s="516">
        <v>0</v>
      </c>
      <c r="BK311" s="516">
        <v>0</v>
      </c>
      <c r="BL311" s="516">
        <v>0</v>
      </c>
      <c r="BM311" s="516">
        <v>0</v>
      </c>
      <c r="BN311" s="409">
        <v>0</v>
      </c>
      <c r="BO311" s="207">
        <v>0</v>
      </c>
      <c r="BP311" s="389">
        <v>0</v>
      </c>
      <c r="BQ311" s="389">
        <v>0</v>
      </c>
      <c r="BR311" s="389">
        <v>0</v>
      </c>
      <c r="BS311" s="296">
        <v>0</v>
      </c>
      <c r="BT311" s="296">
        <v>0</v>
      </c>
      <c r="BU311" s="296">
        <v>0</v>
      </c>
      <c r="BV311" s="409">
        <v>0</v>
      </c>
      <c r="BW311" s="296">
        <f t="shared" si="1539"/>
        <v>0</v>
      </c>
      <c r="BX311" s="439" t="s">
        <v>1786</v>
      </c>
    </row>
    <row r="312" spans="1:76" ht="57.95" hidden="1" customHeight="1" outlineLevel="1" x14ac:dyDescent="0.25">
      <c r="A312" s="678">
        <v>31</v>
      </c>
      <c r="B312" s="702" t="s">
        <v>276</v>
      </c>
      <c r="C312" s="694" t="s">
        <v>276</v>
      </c>
      <c r="D312" s="641">
        <v>44511</v>
      </c>
      <c r="E312" s="463" t="s">
        <v>1780</v>
      </c>
      <c r="F312" s="542" t="s">
        <v>1781</v>
      </c>
      <c r="G312" s="242" t="s">
        <v>24</v>
      </c>
      <c r="H312" s="311" t="s">
        <v>127</v>
      </c>
      <c r="I312" s="335"/>
      <c r="J312" s="294">
        <f t="shared" si="1540"/>
        <v>0</v>
      </c>
      <c r="K312" s="52">
        <f t="shared" si="1541"/>
        <v>0</v>
      </c>
      <c r="L312" s="52">
        <f t="shared" si="1542"/>
        <v>4.676787463271303E-8</v>
      </c>
      <c r="M312" s="52">
        <f t="shared" ref="M312:M314" si="1562">AT312/Y$8</f>
        <v>4.8718236749468426E-8</v>
      </c>
      <c r="N312" s="52">
        <f t="shared" si="1458"/>
        <v>4.5493007995604572E-8</v>
      </c>
      <c r="O312" s="52">
        <f t="shared" si="1459"/>
        <v>0</v>
      </c>
      <c r="P312" s="52">
        <f t="shared" si="1460"/>
        <v>0</v>
      </c>
      <c r="Q312" s="52">
        <f t="shared" si="1461"/>
        <v>0</v>
      </c>
      <c r="R312" s="52">
        <f t="shared" si="1462"/>
        <v>0</v>
      </c>
      <c r="S312" s="527">
        <f t="shared" si="1543"/>
        <v>0</v>
      </c>
      <c r="T312" s="533">
        <f t="shared" si="1544"/>
        <v>0</v>
      </c>
      <c r="U312" s="375">
        <f t="shared" si="1545"/>
        <v>0</v>
      </c>
      <c r="V312" s="375">
        <f t="shared" si="1546"/>
        <v>-4.676787463271303E-8</v>
      </c>
      <c r="W312" s="386">
        <f t="shared" si="1547"/>
        <v>0</v>
      </c>
      <c r="X312" s="386">
        <f t="shared" si="1548"/>
        <v>-2.5506930235323784E-4</v>
      </c>
      <c r="Y312" s="386">
        <f>BF312/Y$8</f>
        <v>0</v>
      </c>
      <c r="Z312" s="375">
        <f t="shared" ref="Z312:Z314" si="1563">BG312/Z$8</f>
        <v>-4.5493007995604572E-8</v>
      </c>
      <c r="AA312" s="375">
        <f t="shared" si="1550"/>
        <v>0</v>
      </c>
      <c r="AB312" s="386">
        <f t="shared" si="1551"/>
        <v>0</v>
      </c>
      <c r="AC312" s="386">
        <f t="shared" si="1473"/>
        <v>0</v>
      </c>
      <c r="AD312" s="386">
        <f t="shared" si="1474"/>
        <v>0</v>
      </c>
      <c r="AE312" s="386">
        <f t="shared" si="1475"/>
        <v>0</v>
      </c>
      <c r="AF312" s="386">
        <f t="shared" si="1476"/>
        <v>0</v>
      </c>
      <c r="AG312" s="375">
        <f t="shared" si="1477"/>
        <v>0</v>
      </c>
      <c r="AH312" s="375">
        <f t="shared" si="1478"/>
        <v>0</v>
      </c>
      <c r="AI312" s="386">
        <f t="shared" si="1479"/>
        <v>0</v>
      </c>
      <c r="AJ312" s="386">
        <f t="shared" si="1480"/>
        <v>0</v>
      </c>
      <c r="AK312" s="386">
        <f t="shared" si="1481"/>
        <v>0</v>
      </c>
      <c r="AL312" s="377">
        <f t="shared" si="1482"/>
        <v>0</v>
      </c>
      <c r="AM312" s="377">
        <f t="shared" si="1483"/>
        <v>0</v>
      </c>
      <c r="AN312" s="377">
        <f t="shared" si="1484"/>
        <v>0</v>
      </c>
      <c r="AO312" s="283"/>
      <c r="AP312" s="295">
        <f t="shared" si="1553"/>
        <v>1.5280000000000001E-3</v>
      </c>
      <c r="AQ312" s="20">
        <f t="shared" si="1554"/>
        <v>0</v>
      </c>
      <c r="AR312" s="95">
        <f t="shared" si="1561"/>
        <v>0</v>
      </c>
      <c r="AS312" s="94">
        <f t="shared" ref="AS312:AS314" si="1564">-BC312</f>
        <v>1.5280000000000001E-3</v>
      </c>
      <c r="AT312" s="94">
        <f t="shared" ref="AT312:AT314" si="1565">-BC312</f>
        <v>1.5280000000000001E-3</v>
      </c>
      <c r="AU312" s="94">
        <f t="shared" ref="AU312:AU314" si="1566">-BG312</f>
        <v>1.5280000000000001E-3</v>
      </c>
      <c r="AV312" s="94">
        <f t="shared" si="1556"/>
        <v>0</v>
      </c>
      <c r="AW312" s="94">
        <f t="shared" si="1557"/>
        <v>0</v>
      </c>
      <c r="AX312" s="94">
        <f t="shared" si="1558"/>
        <v>0</v>
      </c>
      <c r="AY312" s="94">
        <f t="shared" ref="AY312:AY314" si="1567">-BO312</f>
        <v>0</v>
      </c>
      <c r="AZ312" s="433">
        <f t="shared" ref="AZ312:AZ314" si="1568">-BU312</f>
        <v>0</v>
      </c>
      <c r="BA312" s="657">
        <v>0</v>
      </c>
      <c r="BB312" s="327">
        <v>0</v>
      </c>
      <c r="BC312" s="207">
        <f>-0.001528</f>
        <v>-1.5280000000000001E-3</v>
      </c>
      <c r="BD312" s="389">
        <v>0</v>
      </c>
      <c r="BE312" s="389">
        <v>-8</v>
      </c>
      <c r="BF312" s="516">
        <v>0</v>
      </c>
      <c r="BG312" s="207">
        <f>-0.001528</f>
        <v>-1.5280000000000001E-3</v>
      </c>
      <c r="BH312" s="207">
        <v>0</v>
      </c>
      <c r="BI312" s="389">
        <v>0</v>
      </c>
      <c r="BJ312" s="516">
        <v>0</v>
      </c>
      <c r="BK312" s="516">
        <v>0</v>
      </c>
      <c r="BL312" s="516">
        <v>0</v>
      </c>
      <c r="BM312" s="516">
        <v>0</v>
      </c>
      <c r="BN312" s="409">
        <v>0</v>
      </c>
      <c r="BO312" s="207">
        <v>0</v>
      </c>
      <c r="BP312" s="389">
        <v>0</v>
      </c>
      <c r="BQ312" s="389">
        <v>0</v>
      </c>
      <c r="BR312" s="389">
        <v>0</v>
      </c>
      <c r="BS312" s="296">
        <v>0</v>
      </c>
      <c r="BT312" s="296">
        <v>0</v>
      </c>
      <c r="BU312" s="296">
        <v>0</v>
      </c>
      <c r="BV312" s="409">
        <v>0</v>
      </c>
      <c r="BW312" s="296">
        <f t="shared" ref="BW312:BW314" si="1569">-BV312</f>
        <v>0</v>
      </c>
      <c r="BX312" s="439" t="s">
        <v>1779</v>
      </c>
    </row>
    <row r="313" spans="1:76" ht="81.599999999999994" hidden="1" customHeight="1" outlineLevel="1" x14ac:dyDescent="0.25">
      <c r="A313" s="678">
        <v>32</v>
      </c>
      <c r="B313" s="702" t="s">
        <v>276</v>
      </c>
      <c r="C313" s="694" t="s">
        <v>276</v>
      </c>
      <c r="D313" s="641">
        <v>44621</v>
      </c>
      <c r="E313" s="463" t="s">
        <v>2008</v>
      </c>
      <c r="F313" s="542" t="s">
        <v>2007</v>
      </c>
      <c r="G313" s="242" t="s">
        <v>2010</v>
      </c>
      <c r="H313" s="311" t="s">
        <v>129</v>
      </c>
      <c r="I313" s="335"/>
      <c r="J313" s="294">
        <f t="shared" si="1540"/>
        <v>0</v>
      </c>
      <c r="K313" s="52">
        <f t="shared" si="1541"/>
        <v>0</v>
      </c>
      <c r="L313" s="52">
        <f t="shared" si="1542"/>
        <v>4.676787463271303E-8</v>
      </c>
      <c r="M313" s="52">
        <f t="shared" si="1562"/>
        <v>4.8718236749468426E-8</v>
      </c>
      <c r="N313" s="52">
        <f t="shared" si="1458"/>
        <v>0</v>
      </c>
      <c r="O313" s="52">
        <f t="shared" si="1459"/>
        <v>7.5128599250930646E-5</v>
      </c>
      <c r="P313" s="52">
        <f t="shared" si="1460"/>
        <v>7.7235400781132987E-5</v>
      </c>
      <c r="Q313" s="52">
        <f t="shared" si="1461"/>
        <v>7.4674021862942497E-5</v>
      </c>
      <c r="R313" s="52">
        <f t="shared" si="1462"/>
        <v>0</v>
      </c>
      <c r="S313" s="527">
        <f t="shared" si="1543"/>
        <v>0</v>
      </c>
      <c r="T313" s="533">
        <f t="shared" si="1544"/>
        <v>0</v>
      </c>
      <c r="U313" s="375">
        <f t="shared" si="1545"/>
        <v>0</v>
      </c>
      <c r="V313" s="375">
        <f t="shared" si="1546"/>
        <v>-4.676787463271303E-8</v>
      </c>
      <c r="W313" s="386">
        <f t="shared" si="1547"/>
        <v>0</v>
      </c>
      <c r="X313" s="386">
        <f t="shared" si="1548"/>
        <v>0</v>
      </c>
      <c r="Y313" s="386">
        <f>BF313/Y$8</f>
        <v>0</v>
      </c>
      <c r="Z313" s="375">
        <f t="shared" si="1563"/>
        <v>0</v>
      </c>
      <c r="AA313" s="375">
        <f t="shared" si="1550"/>
        <v>-7.5128599250930646E-5</v>
      </c>
      <c r="AB313" s="386">
        <f t="shared" si="1551"/>
        <v>0</v>
      </c>
      <c r="AC313" s="386">
        <f t="shared" si="1473"/>
        <v>0</v>
      </c>
      <c r="AD313" s="386">
        <f t="shared" si="1474"/>
        <v>-8.7090825803272845E-5</v>
      </c>
      <c r="AE313" s="386">
        <f t="shared" si="1475"/>
        <v>-7.7235400781132987E-5</v>
      </c>
      <c r="AF313" s="386">
        <f t="shared" si="1476"/>
        <v>-7.5128599250930646E-5</v>
      </c>
      <c r="AG313" s="375">
        <f t="shared" si="1477"/>
        <v>-7.5358259017301428E-5</v>
      </c>
      <c r="AH313" s="375">
        <f t="shared" si="1478"/>
        <v>0</v>
      </c>
      <c r="AI313" s="386">
        <f t="shared" si="1479"/>
        <v>0</v>
      </c>
      <c r="AJ313" s="386">
        <f t="shared" si="1480"/>
        <v>0</v>
      </c>
      <c r="AK313" s="386">
        <f t="shared" si="1481"/>
        <v>0</v>
      </c>
      <c r="AL313" s="377">
        <f t="shared" si="1482"/>
        <v>0</v>
      </c>
      <c r="AM313" s="377">
        <f t="shared" si="1483"/>
        <v>0</v>
      </c>
      <c r="AN313" s="377">
        <f t="shared" si="1484"/>
        <v>0</v>
      </c>
      <c r="AO313" s="283"/>
      <c r="AP313" s="295">
        <f t="shared" si="1553"/>
        <v>2.9629840000000001</v>
      </c>
      <c r="AQ313" s="20">
        <f t="shared" si="1554"/>
        <v>0</v>
      </c>
      <c r="AR313" s="95">
        <f t="shared" si="1561"/>
        <v>0</v>
      </c>
      <c r="AS313" s="94">
        <f t="shared" si="1564"/>
        <v>1.5280000000000001E-3</v>
      </c>
      <c r="AT313" s="94">
        <f t="shared" si="1565"/>
        <v>1.5280000000000001E-3</v>
      </c>
      <c r="AU313" s="94">
        <f t="shared" si="1566"/>
        <v>0</v>
      </c>
      <c r="AV313" s="94">
        <f t="shared" si="1556"/>
        <v>2.9629840000000001</v>
      </c>
      <c r="AW313" s="94">
        <f t="shared" si="1557"/>
        <v>2.9629840000000001</v>
      </c>
      <c r="AX313" s="94">
        <f t="shared" si="1558"/>
        <v>2.9450559999999997</v>
      </c>
      <c r="AY313" s="94">
        <f t="shared" si="1567"/>
        <v>0</v>
      </c>
      <c r="AZ313" s="433">
        <f t="shared" si="1568"/>
        <v>0</v>
      </c>
      <c r="BA313" s="657">
        <v>0</v>
      </c>
      <c r="BB313" s="327">
        <v>0</v>
      </c>
      <c r="BC313" s="207">
        <f>-0.001528</f>
        <v>-1.5280000000000001E-3</v>
      </c>
      <c r="BD313" s="389">
        <v>0</v>
      </c>
      <c r="BE313" s="389">
        <v>0</v>
      </c>
      <c r="BF313" s="516">
        <v>0</v>
      </c>
      <c r="BG313" s="207">
        <v>0</v>
      </c>
      <c r="BH313" s="207">
        <v>-2.9629840000000001</v>
      </c>
      <c r="BI313" s="389">
        <v>0</v>
      </c>
      <c r="BJ313" s="516">
        <v>0</v>
      </c>
      <c r="BK313" s="516">
        <v>-2.9629840000000001</v>
      </c>
      <c r="BL313" s="516">
        <v>-2.9629840000000001</v>
      </c>
      <c r="BM313" s="516">
        <v>-2.9629840000000001</v>
      </c>
      <c r="BN313" s="1014">
        <f>-0.00519-2.805922-0.129624-0.002792-0.001528</f>
        <v>-2.9450559999999997</v>
      </c>
      <c r="BO313" s="207">
        <v>0</v>
      </c>
      <c r="BP313" s="389">
        <v>0</v>
      </c>
      <c r="BQ313" s="389">
        <v>0</v>
      </c>
      <c r="BR313" s="389">
        <v>0</v>
      </c>
      <c r="BS313" s="296">
        <v>0</v>
      </c>
      <c r="BT313" s="296">
        <v>0</v>
      </c>
      <c r="BU313" s="296">
        <v>0</v>
      </c>
      <c r="BV313" s="1014">
        <v>0</v>
      </c>
      <c r="BW313" s="296">
        <f t="shared" si="1569"/>
        <v>0</v>
      </c>
      <c r="BX313" s="439" t="s">
        <v>2009</v>
      </c>
    </row>
    <row r="314" spans="1:76" ht="81.599999999999994" hidden="1" customHeight="1" outlineLevel="1" x14ac:dyDescent="0.25">
      <c r="A314" s="678">
        <v>32</v>
      </c>
      <c r="B314" s="702" t="s">
        <v>276</v>
      </c>
      <c r="C314" s="694" t="s">
        <v>276</v>
      </c>
      <c r="D314" s="641">
        <v>44637</v>
      </c>
      <c r="E314" s="463" t="s">
        <v>2023</v>
      </c>
      <c r="F314" s="542" t="s">
        <v>2024</v>
      </c>
      <c r="G314" s="242" t="s">
        <v>2025</v>
      </c>
      <c r="H314" s="311" t="s">
        <v>129</v>
      </c>
      <c r="I314" s="335"/>
      <c r="J314" s="294"/>
      <c r="K314" s="52">
        <f t="shared" si="1541"/>
        <v>0</v>
      </c>
      <c r="L314" s="52">
        <f t="shared" si="1542"/>
        <v>4.676787463271303E-8</v>
      </c>
      <c r="M314" s="52">
        <f t="shared" si="1562"/>
        <v>4.8718236749468426E-8</v>
      </c>
      <c r="N314" s="52">
        <f t="shared" si="1458"/>
        <v>0</v>
      </c>
      <c r="O314" s="52">
        <f t="shared" si="1459"/>
        <v>2.2308983710562957E-4</v>
      </c>
      <c r="P314" s="52">
        <f t="shared" si="1460"/>
        <v>2.2934585698185407E-4</v>
      </c>
      <c r="Q314" s="52">
        <f t="shared" si="1461"/>
        <v>2.2229922033103911E-4</v>
      </c>
      <c r="R314" s="52">
        <f t="shared" si="1462"/>
        <v>0</v>
      </c>
      <c r="S314" s="527">
        <f t="shared" si="1543"/>
        <v>0</v>
      </c>
      <c r="T314" s="533">
        <f t="shared" si="1544"/>
        <v>0</v>
      </c>
      <c r="U314" s="375">
        <f t="shared" si="1545"/>
        <v>0</v>
      </c>
      <c r="V314" s="375">
        <f t="shared" si="1546"/>
        <v>-4.676787463271303E-8</v>
      </c>
      <c r="W314" s="386">
        <f t="shared" si="1547"/>
        <v>0</v>
      </c>
      <c r="X314" s="386">
        <f t="shared" si="1548"/>
        <v>0</v>
      </c>
      <c r="Y314" s="386">
        <f>BF314/Y$8</f>
        <v>0</v>
      </c>
      <c r="Z314" s="375">
        <f t="shared" si="1563"/>
        <v>0</v>
      </c>
      <c r="AA314" s="375">
        <f t="shared" si="1550"/>
        <v>-2.2308983710562957E-4</v>
      </c>
      <c r="AB314" s="386">
        <f t="shared" si="1551"/>
        <v>0</v>
      </c>
      <c r="AC314" s="386">
        <f t="shared" si="1473"/>
        <v>0</v>
      </c>
      <c r="AD314" s="386">
        <f t="shared" si="1474"/>
        <v>0</v>
      </c>
      <c r="AE314" s="386">
        <f t="shared" si="1475"/>
        <v>-2.2934585698185407E-4</v>
      </c>
      <c r="AF314" s="386">
        <f t="shared" si="1476"/>
        <v>-2.2308983710562957E-4</v>
      </c>
      <c r="AG314" s="375">
        <f t="shared" si="1477"/>
        <v>-2.243361453839671E-4</v>
      </c>
      <c r="AH314" s="375">
        <f t="shared" si="1478"/>
        <v>0</v>
      </c>
      <c r="AI314" s="386">
        <f t="shared" si="1479"/>
        <v>0</v>
      </c>
      <c r="AJ314" s="386">
        <f t="shared" si="1480"/>
        <v>0</v>
      </c>
      <c r="AK314" s="386">
        <f t="shared" si="1481"/>
        <v>0</v>
      </c>
      <c r="AL314" s="377">
        <f t="shared" si="1482"/>
        <v>0</v>
      </c>
      <c r="AM314" s="377">
        <f t="shared" si="1483"/>
        <v>0</v>
      </c>
      <c r="AN314" s="377">
        <f t="shared" si="1484"/>
        <v>0</v>
      </c>
      <c r="AO314" s="283"/>
      <c r="AP314" s="295">
        <f t="shared" ref="AP314" si="1570">AR314+AU314+AZ314+AW314+AY314</f>
        <v>8.7984019999999994</v>
      </c>
      <c r="AQ314" s="20">
        <f t="shared" ref="AQ314" si="1571">-BA314</f>
        <v>0</v>
      </c>
      <c r="AR314" s="95">
        <f t="shared" si="1561"/>
        <v>0</v>
      </c>
      <c r="AS314" s="94">
        <f t="shared" si="1564"/>
        <v>1.5280000000000001E-3</v>
      </c>
      <c r="AT314" s="94">
        <f t="shared" si="1565"/>
        <v>1.5280000000000001E-3</v>
      </c>
      <c r="AU314" s="94">
        <f t="shared" si="1566"/>
        <v>0</v>
      </c>
      <c r="AV314" s="94">
        <f t="shared" si="1556"/>
        <v>8.7984019999999994</v>
      </c>
      <c r="AW314" s="94">
        <f t="shared" ref="AW314" si="1572">-BH314</f>
        <v>8.7984019999999994</v>
      </c>
      <c r="AX314" s="94">
        <f t="shared" si="1558"/>
        <v>8.767221000000001</v>
      </c>
      <c r="AY314" s="94">
        <f t="shared" si="1567"/>
        <v>0</v>
      </c>
      <c r="AZ314" s="433">
        <f t="shared" si="1568"/>
        <v>0</v>
      </c>
      <c r="BA314" s="657">
        <v>0</v>
      </c>
      <c r="BB314" s="327">
        <v>0</v>
      </c>
      <c r="BC314" s="207">
        <f>-0.001528</f>
        <v>-1.5280000000000001E-3</v>
      </c>
      <c r="BD314" s="389">
        <v>0</v>
      </c>
      <c r="BE314" s="389">
        <v>0</v>
      </c>
      <c r="BF314" s="516">
        <v>0</v>
      </c>
      <c r="BG314" s="207">
        <v>0</v>
      </c>
      <c r="BH314" s="207">
        <v>-8.7984019999999994</v>
      </c>
      <c r="BI314" s="389">
        <v>0</v>
      </c>
      <c r="BJ314" s="516">
        <v>0</v>
      </c>
      <c r="BK314" s="516">
        <v>0</v>
      </c>
      <c r="BL314" s="516">
        <v>-8.7984019999999994</v>
      </c>
      <c r="BM314" s="516">
        <v>-8.7984019999999994</v>
      </c>
      <c r="BN314" s="713">
        <f>-0.001155-8.151111-0.458327-0.005452-0.067635-0.083541</f>
        <v>-8.767221000000001</v>
      </c>
      <c r="BO314" s="207">
        <v>0</v>
      </c>
      <c r="BP314" s="389">
        <v>0</v>
      </c>
      <c r="BQ314" s="389">
        <v>0</v>
      </c>
      <c r="BR314" s="389">
        <v>0</v>
      </c>
      <c r="BS314" s="296">
        <v>0</v>
      </c>
      <c r="BT314" s="296">
        <v>0</v>
      </c>
      <c r="BU314" s="296">
        <v>0</v>
      </c>
      <c r="BV314" s="713">
        <v>0</v>
      </c>
      <c r="BW314" s="296">
        <f t="shared" si="1569"/>
        <v>0</v>
      </c>
      <c r="BX314" s="439" t="s">
        <v>2026</v>
      </c>
    </row>
    <row r="315" spans="1:76" ht="90.75" hidden="1" customHeight="1" outlineLevel="1" x14ac:dyDescent="0.25">
      <c r="A315" s="678">
        <v>32</v>
      </c>
      <c r="B315" s="702" t="s">
        <v>276</v>
      </c>
      <c r="C315" s="694" t="s">
        <v>276</v>
      </c>
      <c r="D315" s="641">
        <v>44656</v>
      </c>
      <c r="E315" s="463" t="s">
        <v>2066</v>
      </c>
      <c r="F315" s="542" t="s">
        <v>2065</v>
      </c>
      <c r="G315" s="242" t="s">
        <v>25</v>
      </c>
      <c r="H315" s="311" t="s">
        <v>130</v>
      </c>
      <c r="I315" s="335"/>
      <c r="J315" s="294">
        <f t="shared" si="1517"/>
        <v>0</v>
      </c>
      <c r="K315" s="52">
        <f t="shared" si="1518"/>
        <v>0</v>
      </c>
      <c r="L315" s="52">
        <f t="shared" si="1519"/>
        <v>4.676787463271303E-8</v>
      </c>
      <c r="M315" s="52">
        <f t="shared" si="1457"/>
        <v>4.8718236749468426E-8</v>
      </c>
      <c r="N315" s="52">
        <f t="shared" si="1458"/>
        <v>0</v>
      </c>
      <c r="O315" s="52">
        <f t="shared" si="1459"/>
        <v>4.1378003093365921E-7</v>
      </c>
      <c r="P315" s="52">
        <f t="shared" si="1460"/>
        <v>4.2538350033186444E-7</v>
      </c>
      <c r="Q315" s="52">
        <f t="shared" si="1461"/>
        <v>4.1372931948921611E-7</v>
      </c>
      <c r="R315" s="52">
        <f t="shared" si="1462"/>
        <v>0</v>
      </c>
      <c r="S315" s="527">
        <f t="shared" si="1520"/>
        <v>0</v>
      </c>
      <c r="T315" s="533">
        <f t="shared" si="1464"/>
        <v>0</v>
      </c>
      <c r="U315" s="375">
        <f t="shared" si="1521"/>
        <v>0</v>
      </c>
      <c r="V315" s="375">
        <f t="shared" si="1522"/>
        <v>-4.676787463271303E-8</v>
      </c>
      <c r="W315" s="386">
        <f t="shared" si="1523"/>
        <v>0</v>
      </c>
      <c r="X315" s="386">
        <f t="shared" si="1524"/>
        <v>0</v>
      </c>
      <c r="Y315" s="386">
        <f>BF315/Y$8</f>
        <v>0</v>
      </c>
      <c r="Z315" s="375">
        <f>BG315/Z$8</f>
        <v>0</v>
      </c>
      <c r="AA315" s="375">
        <f t="shared" si="1526"/>
        <v>-4.1378003093365921E-7</v>
      </c>
      <c r="AB315" s="386">
        <f t="shared" si="1527"/>
        <v>0</v>
      </c>
      <c r="AC315" s="386">
        <f t="shared" si="1473"/>
        <v>0</v>
      </c>
      <c r="AD315" s="386">
        <f t="shared" si="1474"/>
        <v>0</v>
      </c>
      <c r="AE315" s="386">
        <f t="shared" si="1475"/>
        <v>-4.2538350033186444E-7</v>
      </c>
      <c r="AF315" s="386">
        <f t="shared" si="1476"/>
        <v>-4.1378003093365921E-7</v>
      </c>
      <c r="AG315" s="375">
        <f t="shared" si="1477"/>
        <v>-4.175203162131069E-7</v>
      </c>
      <c r="AH315" s="375">
        <f t="shared" si="1478"/>
        <v>0</v>
      </c>
      <c r="AI315" s="386">
        <f t="shared" si="1479"/>
        <v>0</v>
      </c>
      <c r="AJ315" s="386">
        <f t="shared" si="1480"/>
        <v>0</v>
      </c>
      <c r="AK315" s="386">
        <f t="shared" si="1481"/>
        <v>0</v>
      </c>
      <c r="AL315" s="377">
        <f t="shared" si="1482"/>
        <v>0</v>
      </c>
      <c r="AM315" s="377">
        <f t="shared" si="1483"/>
        <v>0</v>
      </c>
      <c r="AN315" s="377">
        <f t="shared" si="1484"/>
        <v>0</v>
      </c>
      <c r="AO315" s="283"/>
      <c r="AP315" s="295">
        <f t="shared" si="1553"/>
        <v>1.6319E-2</v>
      </c>
      <c r="AQ315" s="20">
        <f t="shared" si="1554"/>
        <v>0</v>
      </c>
      <c r="AR315" s="95">
        <f t="shared" si="1529"/>
        <v>0</v>
      </c>
      <c r="AS315" s="94">
        <f t="shared" si="1536"/>
        <v>1.5280000000000001E-3</v>
      </c>
      <c r="AT315" s="94">
        <f t="shared" si="1486"/>
        <v>1.5280000000000001E-3</v>
      </c>
      <c r="AU315" s="94">
        <f t="shared" si="1487"/>
        <v>0</v>
      </c>
      <c r="AV315" s="94">
        <f t="shared" si="1556"/>
        <v>1.6319E-2</v>
      </c>
      <c r="AW315" s="94">
        <f t="shared" si="1557"/>
        <v>1.6319E-2</v>
      </c>
      <c r="AX315" s="94">
        <f t="shared" si="1558"/>
        <v>1.6317000000000002E-2</v>
      </c>
      <c r="AY315" s="94">
        <f t="shared" si="1559"/>
        <v>0</v>
      </c>
      <c r="AZ315" s="433">
        <f>-BU315</f>
        <v>0</v>
      </c>
      <c r="BA315" s="657">
        <v>0</v>
      </c>
      <c r="BB315" s="327">
        <v>0</v>
      </c>
      <c r="BC315" s="207">
        <f>-0.001528</f>
        <v>-1.5280000000000001E-3</v>
      </c>
      <c r="BD315" s="389">
        <v>0</v>
      </c>
      <c r="BE315" s="389">
        <v>0</v>
      </c>
      <c r="BF315" s="516">
        <v>0</v>
      </c>
      <c r="BG315" s="207">
        <v>0</v>
      </c>
      <c r="BH315" s="207">
        <v>-1.6319E-2</v>
      </c>
      <c r="BI315" s="389">
        <v>0</v>
      </c>
      <c r="BJ315" s="516">
        <v>0</v>
      </c>
      <c r="BK315" s="516">
        <v>0</v>
      </c>
      <c r="BL315" s="516">
        <v>-1.6319E-2</v>
      </c>
      <c r="BM315" s="516">
        <v>-1.6319E-2</v>
      </c>
      <c r="BN315" s="713">
        <v>-1.6317000000000002E-2</v>
      </c>
      <c r="BO315" s="207">
        <v>0</v>
      </c>
      <c r="BP315" s="389">
        <v>0</v>
      </c>
      <c r="BQ315" s="389">
        <v>0</v>
      </c>
      <c r="BR315" s="389">
        <v>0</v>
      </c>
      <c r="BS315" s="296">
        <v>0</v>
      </c>
      <c r="BT315" s="296">
        <v>0</v>
      </c>
      <c r="BU315" s="296">
        <v>0</v>
      </c>
      <c r="BV315" s="713">
        <v>0</v>
      </c>
      <c r="BW315" s="296">
        <f t="shared" si="1539"/>
        <v>0</v>
      </c>
      <c r="BX315" s="439" t="s">
        <v>2064</v>
      </c>
    </row>
    <row r="316" spans="1:76" ht="18.75" collapsed="1" x14ac:dyDescent="0.25">
      <c r="A316" s="467">
        <v>4</v>
      </c>
      <c r="B316" s="708" t="s">
        <v>1727</v>
      </c>
      <c r="C316" s="689"/>
      <c r="D316" s="348"/>
      <c r="E316" s="460"/>
      <c r="F316" s="540"/>
      <c r="G316" s="400" t="s">
        <v>1730</v>
      </c>
      <c r="H316" s="401" t="s">
        <v>1730</v>
      </c>
      <c r="I316" s="349"/>
      <c r="J316" s="379">
        <f t="shared" ref="J316:AN316" si="1573">SUM(J317:J345)</f>
        <v>7.5847056111229337E-4</v>
      </c>
      <c r="K316" s="380">
        <f t="shared" si="1573"/>
        <v>6.9765269048752002E-4</v>
      </c>
      <c r="L316" s="380">
        <f t="shared" si="1573"/>
        <v>9.8289178501469133E-4</v>
      </c>
      <c r="M316" s="380">
        <f t="shared" si="1573"/>
        <v>1.0238813514086677E-3</v>
      </c>
      <c r="N316" s="380">
        <f>SUM(N317:N345)</f>
        <v>5.9013705632073097E-4</v>
      </c>
      <c r="O316" s="380">
        <f>SUM(O317:O345)</f>
        <v>1.6003613989105088E-4</v>
      </c>
      <c r="P316" s="380">
        <f>SUM(P317:P345)</f>
        <v>1.6452396992877068E-4</v>
      </c>
      <c r="Q316" s="380">
        <f>SUM(Q317:Q345)</f>
        <v>1.2147229233988936E-4</v>
      </c>
      <c r="R316" s="380">
        <f t="shared" si="1573"/>
        <v>0</v>
      </c>
      <c r="S316" s="381">
        <f t="shared" si="1573"/>
        <v>0</v>
      </c>
      <c r="T316" s="379">
        <f t="shared" si="1573"/>
        <v>-7.5847056111229337E-4</v>
      </c>
      <c r="U316" s="380">
        <f t="shared" si="1573"/>
        <v>-6.9765269048752002E-4</v>
      </c>
      <c r="V316" s="380">
        <f t="shared" si="1573"/>
        <v>-9.8289178501469133E-4</v>
      </c>
      <c r="W316" s="385">
        <f t="shared" si="1573"/>
        <v>-8.9291425986971567E-4</v>
      </c>
      <c r="X316" s="385">
        <f t="shared" si="1573"/>
        <v>-1.1222324587887153E-3</v>
      </c>
      <c r="Y316" s="385">
        <f>SUM(Y317:Y345)</f>
        <v>-1.1222324587887153E-3</v>
      </c>
      <c r="Z316" s="380">
        <f t="shared" si="1573"/>
        <v>-5.9013705632073097E-4</v>
      </c>
      <c r="AA316" s="380">
        <f t="shared" si="1573"/>
        <v>-1.6003613989105088E-4</v>
      </c>
      <c r="AB316" s="385">
        <f t="shared" si="1573"/>
        <v>0</v>
      </c>
      <c r="AC316" s="385">
        <f t="shared" si="1573"/>
        <v>0</v>
      </c>
      <c r="AD316" s="385">
        <f t="shared" ref="AD316" si="1574">SUM(AD317:AD345)</f>
        <v>-5.2881670385594609E-5</v>
      </c>
      <c r="AE316" s="385">
        <f t="shared" si="1573"/>
        <v>-1.6980053436621643E-4</v>
      </c>
      <c r="AF316" s="385">
        <f t="shared" ref="AF316:AG316" si="1575">SUM(AF317:AF345)</f>
        <v>-1.651687719617504E-4</v>
      </c>
      <c r="AG316" s="380">
        <f t="shared" si="1575"/>
        <v>-1.2258534147760228E-4</v>
      </c>
      <c r="AH316" s="380">
        <f t="shared" ref="AH316:AI316" si="1576">SUM(AH317:AH345)</f>
        <v>0</v>
      </c>
      <c r="AI316" s="385">
        <f t="shared" si="1576"/>
        <v>0</v>
      </c>
      <c r="AJ316" s="385">
        <f t="shared" ref="AJ316:AK316" si="1577">SUM(AJ317:AJ345)</f>
        <v>0</v>
      </c>
      <c r="AK316" s="385">
        <f t="shared" si="1577"/>
        <v>0</v>
      </c>
      <c r="AL316" s="381">
        <f t="shared" ref="AL316:AM316" si="1578">SUM(AL317:AL345)</f>
        <v>0</v>
      </c>
      <c r="AM316" s="381">
        <f t="shared" si="1578"/>
        <v>0</v>
      </c>
      <c r="AN316" s="381">
        <f t="shared" si="1573"/>
        <v>0</v>
      </c>
      <c r="AO316" s="337"/>
      <c r="AP316" s="350">
        <f t="shared" ref="AP316:BW316" si="1579">SUM(AP317:AP345)</f>
        <v>47.267635000000013</v>
      </c>
      <c r="AQ316" s="382">
        <f t="shared" si="1579"/>
        <v>21.384319000000001</v>
      </c>
      <c r="AR316" s="382">
        <f t="shared" si="1579"/>
        <v>21.134721999999996</v>
      </c>
      <c r="AS316" s="382">
        <f t="shared" si="1579"/>
        <v>32.113040400000003</v>
      </c>
      <c r="AT316" s="382">
        <f t="shared" si="1579"/>
        <v>32.113040400000003</v>
      </c>
      <c r="AU316" s="382">
        <f t="shared" si="1579"/>
        <v>19.821274999999996</v>
      </c>
      <c r="AV316" s="382">
        <f t="shared" ref="AV316" si="1580">SUM(AV317:AV345)</f>
        <v>6.3116380000000003</v>
      </c>
      <c r="AW316" s="382">
        <f t="shared" si="1579"/>
        <v>6.3116380000000003</v>
      </c>
      <c r="AX316" s="382">
        <f t="shared" ref="AX316" si="1581">SUM(AX317:AX345)</f>
        <v>4.7907249999999992</v>
      </c>
      <c r="AY316" s="382">
        <f t="shared" si="1579"/>
        <v>0</v>
      </c>
      <c r="AZ316" s="383">
        <f t="shared" si="1579"/>
        <v>0</v>
      </c>
      <c r="BA316" s="656">
        <f t="shared" si="1579"/>
        <v>-21.384319000000001</v>
      </c>
      <c r="BB316" s="350">
        <f t="shared" si="1579"/>
        <v>-21.134721999999996</v>
      </c>
      <c r="BC316" s="382">
        <f t="shared" si="1579"/>
        <v>-32.113040400000003</v>
      </c>
      <c r="BD316" s="387">
        <f t="shared" si="1579"/>
        <v>-27.348980000000001</v>
      </c>
      <c r="BE316" s="387">
        <f t="shared" si="1579"/>
        <v>-35.197727000000008</v>
      </c>
      <c r="BF316" s="651">
        <f t="shared" si="1579"/>
        <v>-35.197727000000008</v>
      </c>
      <c r="BG316" s="360">
        <f t="shared" si="1579"/>
        <v>-19.821274999999996</v>
      </c>
      <c r="BH316" s="382">
        <f t="shared" si="1579"/>
        <v>-6.3116380000000003</v>
      </c>
      <c r="BI316" s="387">
        <f t="shared" si="1579"/>
        <v>0</v>
      </c>
      <c r="BJ316" s="673">
        <f t="shared" si="1579"/>
        <v>0</v>
      </c>
      <c r="BK316" s="673">
        <f t="shared" si="1579"/>
        <v>-1.7991280000000001</v>
      </c>
      <c r="BL316" s="673">
        <f t="shared" ref="BL316:BN316" si="1582">SUM(BL317:BL345)</f>
        <v>-6.5140630000000002</v>
      </c>
      <c r="BM316" s="673">
        <f t="shared" si="1582"/>
        <v>-6.5140630000000002</v>
      </c>
      <c r="BN316" s="350">
        <f t="shared" si="1582"/>
        <v>-4.7907249999999992</v>
      </c>
      <c r="BO316" s="382">
        <f t="shared" si="1579"/>
        <v>0</v>
      </c>
      <c r="BP316" s="387">
        <f t="shared" ref="BP316:BQ316" si="1583">SUM(BP317:BP345)</f>
        <v>0</v>
      </c>
      <c r="BQ316" s="387">
        <f t="shared" si="1583"/>
        <v>0</v>
      </c>
      <c r="BR316" s="387">
        <f t="shared" ref="BR316:BT316" si="1584">SUM(BR317:BR345)</f>
        <v>0</v>
      </c>
      <c r="BS316" s="383">
        <f t="shared" si="1584"/>
        <v>0</v>
      </c>
      <c r="BT316" s="383">
        <f t="shared" si="1584"/>
        <v>0</v>
      </c>
      <c r="BU316" s="383">
        <f t="shared" si="1579"/>
        <v>0</v>
      </c>
      <c r="BV316" s="350">
        <f t="shared" si="1579"/>
        <v>0</v>
      </c>
      <c r="BW316" s="383">
        <f t="shared" si="1579"/>
        <v>0</v>
      </c>
      <c r="BX316" s="351"/>
    </row>
    <row r="317" spans="1:76" ht="101.45" hidden="1" customHeight="1" outlineLevel="1" x14ac:dyDescent="0.25">
      <c r="A317" s="678">
        <v>1</v>
      </c>
      <c r="B317" s="702" t="s">
        <v>210</v>
      </c>
      <c r="C317" s="692" t="s">
        <v>210</v>
      </c>
      <c r="D317" s="63" t="s">
        <v>286</v>
      </c>
      <c r="E317" s="463" t="s">
        <v>215</v>
      </c>
      <c r="F317" s="542" t="s">
        <v>220</v>
      </c>
      <c r="G317" s="71" t="s">
        <v>211</v>
      </c>
      <c r="H317" s="311" t="s">
        <v>127</v>
      </c>
      <c r="I317" s="335"/>
      <c r="J317" s="294">
        <f t="shared" ref="J317" si="1585">AQ317/T$8</f>
        <v>8.7571823792296242E-6</v>
      </c>
      <c r="K317" s="52">
        <f t="shared" ref="K317" si="1586">AR317/U$8</f>
        <v>3.2022989996878927E-4</v>
      </c>
      <c r="L317" s="52">
        <f t="shared" ref="L317" si="1587">AS317/V$8</f>
        <v>3.2460513589618021E-4</v>
      </c>
      <c r="M317" s="52">
        <f t="shared" ref="M317:M345" si="1588">AT317/Y$8</f>
        <v>3.381421538797452E-4</v>
      </c>
      <c r="N317" s="52">
        <f t="shared" ref="N317:N345" si="1589">AU317/Z$8</f>
        <v>2.1402435703984498E-5</v>
      </c>
      <c r="O317" s="52">
        <f t="shared" ref="O317:O345" si="1590">AV317/AA$8</f>
        <v>0</v>
      </c>
      <c r="P317" s="52">
        <f t="shared" ref="P317:P345" si="1591">AW317/AE$8</f>
        <v>0</v>
      </c>
      <c r="Q317" s="52">
        <f t="shared" ref="Q317:Q345" si="1592">AX317/AF$8</f>
        <v>0</v>
      </c>
      <c r="R317" s="52">
        <f t="shared" ref="R317:R345" si="1593">AY317/AH$8</f>
        <v>0</v>
      </c>
      <c r="S317" s="527">
        <f t="shared" ref="S317" si="1594">AZ317/AN$8</f>
        <v>0</v>
      </c>
      <c r="T317" s="533">
        <f>BA317/T$8</f>
        <v>-8.7571823792296242E-6</v>
      </c>
      <c r="U317" s="1197">
        <f>BB317/U$8</f>
        <v>-3.2022989996878927E-4</v>
      </c>
      <c r="V317" s="375">
        <f>BC317/V$8</f>
        <v>-3.2460513589618021E-4</v>
      </c>
      <c r="W317" s="386">
        <f t="shared" ref="W317" si="1595">BD317/W$8</f>
        <v>-3.4625793320752763E-4</v>
      </c>
      <c r="X317" s="386">
        <f t="shared" ref="X317" si="1596">BE317/X$8</f>
        <v>-3.381421538797452E-4</v>
      </c>
      <c r="Y317" s="386">
        <f t="shared" ref="Y317" si="1597">BF317/Y$8</f>
        <v>-3.381421538797452E-4</v>
      </c>
      <c r="Z317" s="375">
        <f t="shared" ref="Z317:Z339" si="1598">BG317/Z$8</f>
        <v>-2.1402435703984498E-5</v>
      </c>
      <c r="AA317" s="375">
        <f t="shared" ref="AA317" si="1599">BH317/AA$8</f>
        <v>0</v>
      </c>
      <c r="AB317" s="386">
        <f t="shared" ref="AB317" si="1600">BI317/AB$8</f>
        <v>0</v>
      </c>
      <c r="AC317" s="386">
        <f t="shared" ref="AC317:AC343" si="1601">BJ317/AC$8</f>
        <v>0</v>
      </c>
      <c r="AD317" s="386">
        <f t="shared" ref="AD317:AD343" si="1602">BK317/AD$8</f>
        <v>0</v>
      </c>
      <c r="AE317" s="386">
        <f t="shared" ref="AE317:AE345" si="1603">BL317/AE$8</f>
        <v>0</v>
      </c>
      <c r="AF317" s="386">
        <f t="shared" ref="AF317:AF345" si="1604">BM317/AF$8</f>
        <v>0</v>
      </c>
      <c r="AG317" s="375">
        <f t="shared" ref="AG317:AG345" si="1605">BN317/AG$8</f>
        <v>0</v>
      </c>
      <c r="AH317" s="375">
        <f t="shared" ref="AH317:AH345" si="1606">BO317/AH$8</f>
        <v>0</v>
      </c>
      <c r="AI317" s="386">
        <f t="shared" ref="AI317:AI345" si="1607">BP317/AI$8</f>
        <v>0</v>
      </c>
      <c r="AJ317" s="386">
        <f t="shared" ref="AJ317:AJ345" si="1608">BQ317/AJ$8</f>
        <v>0</v>
      </c>
      <c r="AK317" s="386">
        <f t="shared" ref="AK317:AK345" si="1609">BR317/AK$8</f>
        <v>0</v>
      </c>
      <c r="AL317" s="377">
        <f t="shared" ref="AL317:AL345" si="1610">BS317/AL$8</f>
        <v>0</v>
      </c>
      <c r="AM317" s="377">
        <f t="shared" ref="AM317:AM345" si="1611">BT317/AM$8</f>
        <v>0</v>
      </c>
      <c r="AN317" s="377">
        <f t="shared" ref="AN317:AN345" si="1612">BU317/AN$8</f>
        <v>0</v>
      </c>
      <c r="AO317" s="283"/>
      <c r="AP317" s="1231">
        <f>SUM(AW317:AW318)+SUM(AR317)+SUM(AY317:AY318)+SUM(AZ317:AZ318)+SUM(AU317:AU318)</f>
        <v>10.419915000000001</v>
      </c>
      <c r="AQ317" s="20">
        <f>-BA317</f>
        <v>0.24690000000000001</v>
      </c>
      <c r="AR317" s="1233">
        <f>-BB317</f>
        <v>9.7010590000000008</v>
      </c>
      <c r="AS317" s="94">
        <f>-BC317</f>
        <v>10.605499</v>
      </c>
      <c r="AT317" s="94">
        <f t="shared" ref="AT317:AT345" si="1613">-BC317</f>
        <v>10.605499</v>
      </c>
      <c r="AU317" s="94">
        <f t="shared" ref="AU317:AU339" si="1614">-BG317</f>
        <v>0.71885599999999994</v>
      </c>
      <c r="AV317" s="94">
        <f t="shared" ref="AV317:AV345" si="1615">-BH317</f>
        <v>0</v>
      </c>
      <c r="AW317" s="94">
        <f t="shared" ref="AW317:AW334" si="1616">-BH317</f>
        <v>0</v>
      </c>
      <c r="AX317" s="94">
        <f t="shared" ref="AX317:AX345" si="1617">-BN317</f>
        <v>0</v>
      </c>
      <c r="AY317" s="94">
        <f t="shared" ref="AY317:AY334" si="1618">-BO317</f>
        <v>0</v>
      </c>
      <c r="AZ317" s="433">
        <f t="shared" ref="AZ317:AZ334" si="1619">-BU317</f>
        <v>0</v>
      </c>
      <c r="BA317" s="657">
        <v>-0.24690000000000001</v>
      </c>
      <c r="BB317" s="1238">
        <v>-9.7010590000000008</v>
      </c>
      <c r="BC317" s="207">
        <v>-10.605499</v>
      </c>
      <c r="BD317" s="389">
        <v>-10.605499</v>
      </c>
      <c r="BE317" s="389">
        <v>-10.605499</v>
      </c>
      <c r="BF317" s="516">
        <v>-10.605499</v>
      </c>
      <c r="BG317" s="1171">
        <f>-0.011737-0.218848-0.253271-0.235</f>
        <v>-0.71885599999999994</v>
      </c>
      <c r="BH317" s="207">
        <v>0</v>
      </c>
      <c r="BI317" s="389">
        <v>0</v>
      </c>
      <c r="BJ317" s="516">
        <v>0</v>
      </c>
      <c r="BK317" s="516">
        <v>0</v>
      </c>
      <c r="BL317" s="516">
        <v>0</v>
      </c>
      <c r="BM317" s="516">
        <v>0</v>
      </c>
      <c r="BN317" s="1154">
        <v>0</v>
      </c>
      <c r="BO317" s="207">
        <v>0</v>
      </c>
      <c r="BP317" s="389">
        <v>0</v>
      </c>
      <c r="BQ317" s="389">
        <v>0</v>
      </c>
      <c r="BR317" s="389">
        <v>0</v>
      </c>
      <c r="BS317" s="296">
        <v>0</v>
      </c>
      <c r="BT317" s="296">
        <v>0</v>
      </c>
      <c r="BU317" s="296">
        <v>0</v>
      </c>
      <c r="BV317" s="1154">
        <v>0</v>
      </c>
      <c r="BW317" s="1269">
        <f>-BV317</f>
        <v>0</v>
      </c>
      <c r="BX317" s="451" t="s">
        <v>687</v>
      </c>
    </row>
    <row r="318" spans="1:76" ht="87" hidden="1" customHeight="1" outlineLevel="1" x14ac:dyDescent="0.25">
      <c r="A318" s="678">
        <v>2</v>
      </c>
      <c r="B318" s="702" t="s">
        <v>210</v>
      </c>
      <c r="C318" s="692" t="s">
        <v>210</v>
      </c>
      <c r="D318" s="63" t="s">
        <v>286</v>
      </c>
      <c r="E318" s="463" t="s">
        <v>215</v>
      </c>
      <c r="F318" s="542" t="s">
        <v>223</v>
      </c>
      <c r="G318" s="242" t="s">
        <v>211</v>
      </c>
      <c r="H318" s="311" t="s">
        <v>127</v>
      </c>
      <c r="I318" s="335"/>
      <c r="J318" s="294">
        <f t="shared" ref="J318" si="1620">AQ318/T$8</f>
        <v>3.4184893949067179E-4</v>
      </c>
      <c r="K318" s="52">
        <f t="shared" ref="K318" si="1621">AR318/U$8</f>
        <v>0</v>
      </c>
      <c r="L318" s="52">
        <f t="shared" ref="L318" si="1622">AS318/V$8</f>
        <v>1.928256611165524E-5</v>
      </c>
      <c r="M318" s="52">
        <f t="shared" si="1588"/>
        <v>2.008670756031748E-5</v>
      </c>
      <c r="N318" s="52">
        <f t="shared" si="1589"/>
        <v>0</v>
      </c>
      <c r="O318" s="52">
        <f t="shared" si="1590"/>
        <v>0</v>
      </c>
      <c r="P318" s="52">
        <f t="shared" si="1591"/>
        <v>0</v>
      </c>
      <c r="Q318" s="52">
        <f t="shared" si="1592"/>
        <v>0</v>
      </c>
      <c r="R318" s="52">
        <f t="shared" si="1593"/>
        <v>0</v>
      </c>
      <c r="S318" s="527">
        <f t="shared" ref="S318" si="1623">AZ318/AN$8</f>
        <v>0</v>
      </c>
      <c r="T318" s="533">
        <f t="shared" ref="T318:T345" si="1624">BA318/T$8</f>
        <v>-3.4184893949067179E-4</v>
      </c>
      <c r="U318" s="1198"/>
      <c r="V318" s="375">
        <f t="shared" ref="V318" si="1625">BC318/V$8</f>
        <v>-1.928256611165524E-5</v>
      </c>
      <c r="W318" s="386">
        <f t="shared" ref="W318" si="1626">BD318/W$8</f>
        <v>-2.0568810380420799E-5</v>
      </c>
      <c r="X318" s="386">
        <f t="shared" ref="X318" si="1627">BE318/X$8</f>
        <v>-2.008670756031748E-5</v>
      </c>
      <c r="Y318" s="386">
        <f t="shared" ref="Y318:Y345" si="1628">BF318/Y$8</f>
        <v>-2.008670756031748E-5</v>
      </c>
      <c r="Z318" s="375">
        <f t="shared" si="1598"/>
        <v>0</v>
      </c>
      <c r="AA318" s="375">
        <f t="shared" ref="AA318" si="1629">BH318/AA$8</f>
        <v>0</v>
      </c>
      <c r="AB318" s="386">
        <f t="shared" ref="AB318" si="1630">BI318/AB$8</f>
        <v>0</v>
      </c>
      <c r="AC318" s="386">
        <f t="shared" si="1601"/>
        <v>0</v>
      </c>
      <c r="AD318" s="386">
        <f t="shared" si="1602"/>
        <v>0</v>
      </c>
      <c r="AE318" s="386">
        <f t="shared" si="1603"/>
        <v>0</v>
      </c>
      <c r="AF318" s="386">
        <f t="shared" si="1604"/>
        <v>0</v>
      </c>
      <c r="AG318" s="375">
        <f t="shared" si="1605"/>
        <v>0</v>
      </c>
      <c r="AH318" s="375">
        <f t="shared" si="1606"/>
        <v>0</v>
      </c>
      <c r="AI318" s="386">
        <f t="shared" si="1607"/>
        <v>0</v>
      </c>
      <c r="AJ318" s="386">
        <f t="shared" si="1608"/>
        <v>0</v>
      </c>
      <c r="AK318" s="386">
        <f t="shared" si="1609"/>
        <v>0</v>
      </c>
      <c r="AL318" s="377">
        <f t="shared" si="1610"/>
        <v>0</v>
      </c>
      <c r="AM318" s="377">
        <f t="shared" si="1611"/>
        <v>0</v>
      </c>
      <c r="AN318" s="377">
        <f t="shared" si="1612"/>
        <v>0</v>
      </c>
      <c r="AO318" s="283"/>
      <c r="AP318" s="1232"/>
      <c r="AQ318" s="20">
        <f t="shared" ref="AQ318:AQ329" si="1631">-BA318</f>
        <v>9.6380890000000008</v>
      </c>
      <c r="AR318" s="1234"/>
      <c r="AS318" s="94">
        <f t="shared" ref="AS318:AS329" si="1632">-BC318</f>
        <v>0.63</v>
      </c>
      <c r="AT318" s="94">
        <f t="shared" si="1613"/>
        <v>0.63</v>
      </c>
      <c r="AU318" s="94">
        <f t="shared" si="1614"/>
        <v>0</v>
      </c>
      <c r="AV318" s="94">
        <f t="shared" si="1615"/>
        <v>0</v>
      </c>
      <c r="AW318" s="94">
        <f t="shared" si="1616"/>
        <v>0</v>
      </c>
      <c r="AX318" s="94">
        <f t="shared" si="1617"/>
        <v>0</v>
      </c>
      <c r="AY318" s="94">
        <f t="shared" si="1618"/>
        <v>0</v>
      </c>
      <c r="AZ318" s="433">
        <f t="shared" si="1619"/>
        <v>0</v>
      </c>
      <c r="BA318" s="657">
        <v>-9.6380890000000008</v>
      </c>
      <c r="BB318" s="1239"/>
      <c r="BC318" s="207">
        <v>-0.63</v>
      </c>
      <c r="BD318" s="389">
        <v>-0.63</v>
      </c>
      <c r="BE318" s="389">
        <v>-0.63</v>
      </c>
      <c r="BF318" s="516">
        <v>-0.63</v>
      </c>
      <c r="BG318" s="1171"/>
      <c r="BH318" s="207">
        <v>0</v>
      </c>
      <c r="BI318" s="389">
        <v>0</v>
      </c>
      <c r="BJ318" s="516">
        <v>0</v>
      </c>
      <c r="BK318" s="516">
        <v>0</v>
      </c>
      <c r="BL318" s="516">
        <v>0</v>
      </c>
      <c r="BM318" s="516">
        <v>0</v>
      </c>
      <c r="BN318" s="1156"/>
      <c r="BO318" s="207">
        <v>0</v>
      </c>
      <c r="BP318" s="389">
        <v>0</v>
      </c>
      <c r="BQ318" s="389">
        <v>0</v>
      </c>
      <c r="BR318" s="389">
        <v>0</v>
      </c>
      <c r="BS318" s="296">
        <v>0</v>
      </c>
      <c r="BT318" s="296">
        <v>0</v>
      </c>
      <c r="BU318" s="296">
        <v>0</v>
      </c>
      <c r="BV318" s="1156"/>
      <c r="BW318" s="1270"/>
      <c r="BX318" s="451" t="s">
        <v>688</v>
      </c>
    </row>
    <row r="319" spans="1:76" ht="101.45" hidden="1" customHeight="1" outlineLevel="1" x14ac:dyDescent="0.25">
      <c r="A319" s="678">
        <v>3</v>
      </c>
      <c r="B319" s="702" t="s">
        <v>210</v>
      </c>
      <c r="C319" s="692" t="s">
        <v>210</v>
      </c>
      <c r="D319" s="63">
        <v>43987</v>
      </c>
      <c r="E319" s="463" t="s">
        <v>267</v>
      </c>
      <c r="F319" s="542" t="s">
        <v>287</v>
      </c>
      <c r="G319" s="71" t="s">
        <v>211</v>
      </c>
      <c r="H319" s="311" t="s">
        <v>127</v>
      </c>
      <c r="I319" s="335"/>
      <c r="J319" s="294">
        <f t="shared" ref="J319:J345" si="1633">AQ319/T$8</f>
        <v>3.7642984322905582E-4</v>
      </c>
      <c r="K319" s="52">
        <f t="shared" ref="K319:K345" si="1634">AR319/U$8</f>
        <v>3.4828696530951879E-4</v>
      </c>
      <c r="L319" s="52">
        <f t="shared" ref="L319:L345" si="1635">AS319/V$8</f>
        <v>0</v>
      </c>
      <c r="M319" s="52">
        <f t="shared" si="1588"/>
        <v>0</v>
      </c>
      <c r="N319" s="52">
        <f t="shared" si="1589"/>
        <v>0</v>
      </c>
      <c r="O319" s="52">
        <f t="shared" si="1590"/>
        <v>0</v>
      </c>
      <c r="P319" s="52">
        <f t="shared" si="1591"/>
        <v>0</v>
      </c>
      <c r="Q319" s="52">
        <f t="shared" si="1592"/>
        <v>0</v>
      </c>
      <c r="R319" s="52">
        <f t="shared" si="1593"/>
        <v>0</v>
      </c>
      <c r="S319" s="527">
        <f t="shared" ref="S319:S345" si="1636">AZ319/AN$8</f>
        <v>0</v>
      </c>
      <c r="T319" s="533">
        <f t="shared" si="1624"/>
        <v>-3.7642984322905582E-4</v>
      </c>
      <c r="U319" s="375">
        <f t="shared" ref="U319:U345" si="1637">BB319/U$8</f>
        <v>-3.4828696530951879E-4</v>
      </c>
      <c r="V319" s="375">
        <f t="shared" ref="V319:V345" si="1638">BC319/V$8</f>
        <v>0</v>
      </c>
      <c r="W319" s="386">
        <f t="shared" ref="W319:W345" si="1639">BD319/W$8</f>
        <v>0</v>
      </c>
      <c r="X319" s="386">
        <f t="shared" ref="X319:X336" si="1640">BE319/X$8</f>
        <v>0</v>
      </c>
      <c r="Y319" s="386">
        <f t="shared" si="1628"/>
        <v>0</v>
      </c>
      <c r="Z319" s="375">
        <f t="shared" si="1598"/>
        <v>0</v>
      </c>
      <c r="AA319" s="375">
        <f t="shared" ref="AA319:AA345" si="1641">BH319/AA$8</f>
        <v>0</v>
      </c>
      <c r="AB319" s="386">
        <f t="shared" ref="AB319:AB345" si="1642">BI319/AB$8</f>
        <v>0</v>
      </c>
      <c r="AC319" s="386">
        <f t="shared" si="1601"/>
        <v>0</v>
      </c>
      <c r="AD319" s="386">
        <f t="shared" si="1602"/>
        <v>0</v>
      </c>
      <c r="AE319" s="386">
        <f t="shared" si="1603"/>
        <v>0</v>
      </c>
      <c r="AF319" s="386">
        <f t="shared" si="1604"/>
        <v>0</v>
      </c>
      <c r="AG319" s="375">
        <f t="shared" si="1605"/>
        <v>0</v>
      </c>
      <c r="AH319" s="375">
        <f t="shared" si="1606"/>
        <v>0</v>
      </c>
      <c r="AI319" s="386">
        <f t="shared" si="1607"/>
        <v>0</v>
      </c>
      <c r="AJ319" s="386">
        <f t="shared" si="1608"/>
        <v>0</v>
      </c>
      <c r="AK319" s="386">
        <f t="shared" si="1609"/>
        <v>0</v>
      </c>
      <c r="AL319" s="377">
        <f t="shared" si="1610"/>
        <v>0</v>
      </c>
      <c r="AM319" s="377">
        <f t="shared" si="1611"/>
        <v>0</v>
      </c>
      <c r="AN319" s="377">
        <f t="shared" si="1612"/>
        <v>0</v>
      </c>
      <c r="AO319" s="283"/>
      <c r="AP319" s="295">
        <f t="shared" ref="AP319:AP345" si="1643">AR319+AU319+AZ319+AW319+AY319</f>
        <v>10.551021</v>
      </c>
      <c r="AQ319" s="20">
        <f t="shared" si="1631"/>
        <v>10.613063</v>
      </c>
      <c r="AR319" s="95">
        <f t="shared" ref="AR319:AR329" si="1644">-BB319</f>
        <v>10.551021</v>
      </c>
      <c r="AS319" s="94">
        <f t="shared" si="1632"/>
        <v>0</v>
      </c>
      <c r="AT319" s="94">
        <f t="shared" si="1613"/>
        <v>0</v>
      </c>
      <c r="AU319" s="94">
        <f t="shared" si="1614"/>
        <v>0</v>
      </c>
      <c r="AV319" s="94">
        <f t="shared" si="1615"/>
        <v>0</v>
      </c>
      <c r="AW319" s="94">
        <f t="shared" si="1616"/>
        <v>0</v>
      </c>
      <c r="AX319" s="94">
        <f t="shared" si="1617"/>
        <v>0</v>
      </c>
      <c r="AY319" s="94">
        <f t="shared" si="1618"/>
        <v>0</v>
      </c>
      <c r="AZ319" s="433">
        <f t="shared" si="1619"/>
        <v>0</v>
      </c>
      <c r="BA319" s="657">
        <v>-10.613063</v>
      </c>
      <c r="BB319" s="327">
        <v>-10.551021</v>
      </c>
      <c r="BC319" s="207">
        <v>0</v>
      </c>
      <c r="BD319" s="389">
        <v>0</v>
      </c>
      <c r="BE319" s="389">
        <v>0</v>
      </c>
      <c r="BF319" s="516">
        <v>0</v>
      </c>
      <c r="BG319" s="207">
        <v>0</v>
      </c>
      <c r="BH319" s="207">
        <v>0</v>
      </c>
      <c r="BI319" s="389">
        <v>0</v>
      </c>
      <c r="BJ319" s="516">
        <v>0</v>
      </c>
      <c r="BK319" s="516">
        <v>0</v>
      </c>
      <c r="BL319" s="516">
        <v>0</v>
      </c>
      <c r="BM319" s="516">
        <v>0</v>
      </c>
      <c r="BN319" s="409">
        <v>0</v>
      </c>
      <c r="BO319" s="207">
        <v>0</v>
      </c>
      <c r="BP319" s="389">
        <v>0</v>
      </c>
      <c r="BQ319" s="389">
        <v>0</v>
      </c>
      <c r="BR319" s="389">
        <v>0</v>
      </c>
      <c r="BS319" s="296">
        <v>0</v>
      </c>
      <c r="BT319" s="296">
        <v>0</v>
      </c>
      <c r="BU319" s="296">
        <v>0</v>
      </c>
      <c r="BV319" s="409">
        <v>0</v>
      </c>
      <c r="BW319" s="296">
        <f t="shared" ref="BW319:BW324" si="1645">-BV319</f>
        <v>0</v>
      </c>
      <c r="BX319" s="451" t="s">
        <v>651</v>
      </c>
    </row>
    <row r="320" spans="1:76" ht="57.95" hidden="1" customHeight="1" outlineLevel="1" x14ac:dyDescent="0.25">
      <c r="A320" s="678">
        <v>4</v>
      </c>
      <c r="B320" s="702" t="s">
        <v>210</v>
      </c>
      <c r="C320" s="692" t="s">
        <v>210</v>
      </c>
      <c r="D320" s="63">
        <v>44099</v>
      </c>
      <c r="E320" s="463" t="s">
        <v>357</v>
      </c>
      <c r="F320" s="542" t="s">
        <v>333</v>
      </c>
      <c r="G320" s="71" t="s">
        <v>211</v>
      </c>
      <c r="H320" s="311" t="s">
        <v>129</v>
      </c>
      <c r="I320" s="335"/>
      <c r="J320" s="294">
        <f t="shared" si="1633"/>
        <v>2.363151734411577E-5</v>
      </c>
      <c r="K320" s="52">
        <f t="shared" si="1634"/>
        <v>2.1873671871815072E-5</v>
      </c>
      <c r="L320" s="52">
        <f t="shared" si="1635"/>
        <v>0</v>
      </c>
      <c r="M320" s="52">
        <f t="shared" si="1588"/>
        <v>0</v>
      </c>
      <c r="N320" s="52">
        <f t="shared" si="1589"/>
        <v>0</v>
      </c>
      <c r="O320" s="52">
        <f t="shared" si="1590"/>
        <v>0</v>
      </c>
      <c r="P320" s="52">
        <f t="shared" si="1591"/>
        <v>0</v>
      </c>
      <c r="Q320" s="52">
        <f t="shared" si="1592"/>
        <v>0</v>
      </c>
      <c r="R320" s="52">
        <f t="shared" si="1593"/>
        <v>0</v>
      </c>
      <c r="S320" s="527">
        <f t="shared" si="1636"/>
        <v>0</v>
      </c>
      <c r="T320" s="533">
        <f t="shared" si="1624"/>
        <v>-2.363151734411577E-5</v>
      </c>
      <c r="U320" s="375">
        <f t="shared" si="1637"/>
        <v>-2.1873671871815072E-5</v>
      </c>
      <c r="V320" s="375">
        <f t="shared" si="1638"/>
        <v>0</v>
      </c>
      <c r="W320" s="386">
        <f t="shared" si="1639"/>
        <v>0</v>
      </c>
      <c r="X320" s="386">
        <f t="shared" si="1640"/>
        <v>0</v>
      </c>
      <c r="Y320" s="386">
        <f t="shared" si="1628"/>
        <v>0</v>
      </c>
      <c r="Z320" s="375">
        <f t="shared" si="1598"/>
        <v>0</v>
      </c>
      <c r="AA320" s="375">
        <f t="shared" si="1641"/>
        <v>0</v>
      </c>
      <c r="AB320" s="386">
        <f t="shared" si="1642"/>
        <v>0</v>
      </c>
      <c r="AC320" s="386">
        <f t="shared" si="1601"/>
        <v>0</v>
      </c>
      <c r="AD320" s="386">
        <f t="shared" si="1602"/>
        <v>0</v>
      </c>
      <c r="AE320" s="386">
        <f t="shared" si="1603"/>
        <v>0</v>
      </c>
      <c r="AF320" s="386">
        <f t="shared" si="1604"/>
        <v>0</v>
      </c>
      <c r="AG320" s="375">
        <f t="shared" si="1605"/>
        <v>0</v>
      </c>
      <c r="AH320" s="375">
        <f t="shared" si="1606"/>
        <v>0</v>
      </c>
      <c r="AI320" s="386">
        <f t="shared" si="1607"/>
        <v>0</v>
      </c>
      <c r="AJ320" s="386">
        <f t="shared" si="1608"/>
        <v>0</v>
      </c>
      <c r="AK320" s="386">
        <f t="shared" si="1609"/>
        <v>0</v>
      </c>
      <c r="AL320" s="377">
        <f t="shared" si="1610"/>
        <v>0</v>
      </c>
      <c r="AM320" s="377">
        <f t="shared" si="1611"/>
        <v>0</v>
      </c>
      <c r="AN320" s="377">
        <f t="shared" si="1612"/>
        <v>0</v>
      </c>
      <c r="AO320" s="283"/>
      <c r="AP320" s="295">
        <f t="shared" si="1643"/>
        <v>0.66264199999999995</v>
      </c>
      <c r="AQ320" s="20">
        <f t="shared" si="1631"/>
        <v>0.66626700000000005</v>
      </c>
      <c r="AR320" s="95">
        <f t="shared" si="1644"/>
        <v>0.66264199999999995</v>
      </c>
      <c r="AS320" s="94">
        <f t="shared" si="1632"/>
        <v>0</v>
      </c>
      <c r="AT320" s="94">
        <f t="shared" si="1613"/>
        <v>0</v>
      </c>
      <c r="AU320" s="94">
        <f t="shared" si="1614"/>
        <v>0</v>
      </c>
      <c r="AV320" s="94">
        <f t="shared" si="1615"/>
        <v>0</v>
      </c>
      <c r="AW320" s="94">
        <f t="shared" si="1616"/>
        <v>0</v>
      </c>
      <c r="AX320" s="94">
        <f t="shared" si="1617"/>
        <v>0</v>
      </c>
      <c r="AY320" s="94">
        <f t="shared" si="1618"/>
        <v>0</v>
      </c>
      <c r="AZ320" s="433">
        <f t="shared" si="1619"/>
        <v>0</v>
      </c>
      <c r="BA320" s="657">
        <v>-0.66626700000000005</v>
      </c>
      <c r="BB320" s="327">
        <v>-0.66264199999999995</v>
      </c>
      <c r="BC320" s="207">
        <v>0</v>
      </c>
      <c r="BD320" s="389">
        <v>0</v>
      </c>
      <c r="BE320" s="389">
        <v>0</v>
      </c>
      <c r="BF320" s="516">
        <v>0</v>
      </c>
      <c r="BG320" s="207">
        <v>0</v>
      </c>
      <c r="BH320" s="207">
        <v>0</v>
      </c>
      <c r="BI320" s="389">
        <v>0</v>
      </c>
      <c r="BJ320" s="516">
        <v>0</v>
      </c>
      <c r="BK320" s="516">
        <v>0</v>
      </c>
      <c r="BL320" s="516">
        <v>0</v>
      </c>
      <c r="BM320" s="516">
        <v>0</v>
      </c>
      <c r="BN320" s="409">
        <v>0</v>
      </c>
      <c r="BO320" s="207">
        <v>0</v>
      </c>
      <c r="BP320" s="389">
        <v>0</v>
      </c>
      <c r="BQ320" s="389">
        <v>0</v>
      </c>
      <c r="BR320" s="389">
        <v>0</v>
      </c>
      <c r="BS320" s="296">
        <v>0</v>
      </c>
      <c r="BT320" s="296">
        <v>0</v>
      </c>
      <c r="BU320" s="296">
        <v>0</v>
      </c>
      <c r="BV320" s="409">
        <v>0</v>
      </c>
      <c r="BW320" s="296">
        <f t="shared" si="1645"/>
        <v>0</v>
      </c>
      <c r="BX320" s="439" t="s">
        <v>342</v>
      </c>
    </row>
    <row r="321" spans="1:76" ht="72.599999999999994" hidden="1" customHeight="1" outlineLevel="1" x14ac:dyDescent="0.25">
      <c r="A321" s="678">
        <v>5</v>
      </c>
      <c r="B321" s="702" t="s">
        <v>210</v>
      </c>
      <c r="C321" s="692" t="s">
        <v>210</v>
      </c>
      <c r="D321" s="63" t="s">
        <v>705</v>
      </c>
      <c r="E321" s="463" t="s">
        <v>673</v>
      </c>
      <c r="F321" s="542" t="s">
        <v>672</v>
      </c>
      <c r="G321" s="71" t="s">
        <v>138</v>
      </c>
      <c r="H321" s="311" t="s">
        <v>127</v>
      </c>
      <c r="I321" s="335"/>
      <c r="J321" s="294">
        <f t="shared" si="1633"/>
        <v>0</v>
      </c>
      <c r="K321" s="52">
        <f t="shared" si="1634"/>
        <v>0</v>
      </c>
      <c r="L321" s="52">
        <f t="shared" si="1635"/>
        <v>1.8364348677766895E-5</v>
      </c>
      <c r="M321" s="52">
        <f t="shared" si="1588"/>
        <v>1.9130197676492835E-5</v>
      </c>
      <c r="N321" s="52">
        <f t="shared" si="1589"/>
        <v>1.6194022200885632E-5</v>
      </c>
      <c r="O321" s="52">
        <f t="shared" si="1590"/>
        <v>0</v>
      </c>
      <c r="P321" s="52">
        <f t="shared" si="1591"/>
        <v>0</v>
      </c>
      <c r="Q321" s="52">
        <f t="shared" si="1592"/>
        <v>0</v>
      </c>
      <c r="R321" s="52">
        <f t="shared" si="1593"/>
        <v>0</v>
      </c>
      <c r="S321" s="527">
        <f t="shared" si="1636"/>
        <v>0</v>
      </c>
      <c r="T321" s="533">
        <f t="shared" si="1624"/>
        <v>0</v>
      </c>
      <c r="U321" s="375">
        <f t="shared" si="1637"/>
        <v>0</v>
      </c>
      <c r="V321" s="375">
        <f t="shared" si="1638"/>
        <v>-1.8364348677766895E-5</v>
      </c>
      <c r="W321" s="386">
        <f t="shared" si="1639"/>
        <v>-1.9589343219448381E-5</v>
      </c>
      <c r="X321" s="386">
        <f t="shared" si="1640"/>
        <v>-1.9130197676492835E-5</v>
      </c>
      <c r="Y321" s="386">
        <f t="shared" si="1628"/>
        <v>-1.9130197676492835E-5</v>
      </c>
      <c r="Z321" s="375">
        <f t="shared" si="1598"/>
        <v>-1.6194022200885632E-5</v>
      </c>
      <c r="AA321" s="375">
        <f t="shared" si="1641"/>
        <v>0</v>
      </c>
      <c r="AB321" s="386">
        <f t="shared" si="1642"/>
        <v>0</v>
      </c>
      <c r="AC321" s="386">
        <f t="shared" si="1601"/>
        <v>0</v>
      </c>
      <c r="AD321" s="386">
        <f t="shared" si="1602"/>
        <v>0</v>
      </c>
      <c r="AE321" s="386">
        <f t="shared" si="1603"/>
        <v>0</v>
      </c>
      <c r="AF321" s="386">
        <f t="shared" si="1604"/>
        <v>0</v>
      </c>
      <c r="AG321" s="375">
        <f t="shared" si="1605"/>
        <v>0</v>
      </c>
      <c r="AH321" s="375">
        <f t="shared" si="1606"/>
        <v>0</v>
      </c>
      <c r="AI321" s="386">
        <f t="shared" si="1607"/>
        <v>0</v>
      </c>
      <c r="AJ321" s="386">
        <f t="shared" si="1608"/>
        <v>0</v>
      </c>
      <c r="AK321" s="386">
        <f t="shared" si="1609"/>
        <v>0</v>
      </c>
      <c r="AL321" s="377">
        <f t="shared" si="1610"/>
        <v>0</v>
      </c>
      <c r="AM321" s="377">
        <f t="shared" si="1611"/>
        <v>0</v>
      </c>
      <c r="AN321" s="377">
        <f t="shared" si="1612"/>
        <v>0</v>
      </c>
      <c r="AO321" s="283"/>
      <c r="AP321" s="295">
        <f t="shared" si="1643"/>
        <v>0.54391800000000001</v>
      </c>
      <c r="AQ321" s="20">
        <f t="shared" si="1631"/>
        <v>0</v>
      </c>
      <c r="AR321" s="95">
        <f t="shared" si="1644"/>
        <v>0</v>
      </c>
      <c r="AS321" s="94">
        <f t="shared" si="1632"/>
        <v>0.6</v>
      </c>
      <c r="AT321" s="94">
        <f t="shared" si="1613"/>
        <v>0.6</v>
      </c>
      <c r="AU321" s="94">
        <f t="shared" si="1614"/>
        <v>0.54391800000000001</v>
      </c>
      <c r="AV321" s="94">
        <f t="shared" si="1615"/>
        <v>0</v>
      </c>
      <c r="AW321" s="94">
        <f t="shared" si="1616"/>
        <v>0</v>
      </c>
      <c r="AX321" s="94">
        <f t="shared" si="1617"/>
        <v>0</v>
      </c>
      <c r="AY321" s="94">
        <f t="shared" si="1618"/>
        <v>0</v>
      </c>
      <c r="AZ321" s="433">
        <f t="shared" si="1619"/>
        <v>0</v>
      </c>
      <c r="BA321" s="657">
        <v>0</v>
      </c>
      <c r="BB321" s="327">
        <v>0</v>
      </c>
      <c r="BC321" s="207">
        <v>-0.6</v>
      </c>
      <c r="BD321" s="389">
        <v>-0.6</v>
      </c>
      <c r="BE321" s="389">
        <v>-0.6</v>
      </c>
      <c r="BF321" s="516">
        <v>-0.6</v>
      </c>
      <c r="BG321" s="207">
        <f>-0.543918</f>
        <v>-0.54391800000000001</v>
      </c>
      <c r="BH321" s="207">
        <v>0</v>
      </c>
      <c r="BI321" s="389">
        <v>0</v>
      </c>
      <c r="BJ321" s="516">
        <v>0</v>
      </c>
      <c r="BK321" s="516">
        <v>0</v>
      </c>
      <c r="BL321" s="516">
        <v>0</v>
      </c>
      <c r="BM321" s="516">
        <v>0</v>
      </c>
      <c r="BN321" s="409">
        <v>0</v>
      </c>
      <c r="BO321" s="207">
        <v>0</v>
      </c>
      <c r="BP321" s="389">
        <v>0</v>
      </c>
      <c r="BQ321" s="389">
        <v>0</v>
      </c>
      <c r="BR321" s="389">
        <v>0</v>
      </c>
      <c r="BS321" s="296">
        <v>0</v>
      </c>
      <c r="BT321" s="296">
        <v>0</v>
      </c>
      <c r="BU321" s="296">
        <v>0</v>
      </c>
      <c r="BV321" s="409">
        <v>0</v>
      </c>
      <c r="BW321" s="296">
        <f t="shared" si="1645"/>
        <v>0</v>
      </c>
      <c r="BX321" s="439" t="s">
        <v>674</v>
      </c>
    </row>
    <row r="322" spans="1:76" ht="72.599999999999994" hidden="1" customHeight="1" outlineLevel="1" x14ac:dyDescent="0.25">
      <c r="A322" s="678">
        <v>6</v>
      </c>
      <c r="B322" s="702" t="s">
        <v>210</v>
      </c>
      <c r="C322" s="692" t="s">
        <v>210</v>
      </c>
      <c r="D322" s="63">
        <v>44166</v>
      </c>
      <c r="E322" s="463" t="s">
        <v>425</v>
      </c>
      <c r="F322" s="542" t="s">
        <v>424</v>
      </c>
      <c r="G322" s="71" t="s">
        <v>211</v>
      </c>
      <c r="H322" s="311" t="s">
        <v>127</v>
      </c>
      <c r="I322" s="335"/>
      <c r="J322" s="294">
        <f t="shared" si="1633"/>
        <v>0</v>
      </c>
      <c r="K322" s="52">
        <f t="shared" si="1634"/>
        <v>0</v>
      </c>
      <c r="L322" s="52">
        <f t="shared" si="1635"/>
        <v>3.3162371449559254E-5</v>
      </c>
      <c r="M322" s="52">
        <f t="shared" si="1588"/>
        <v>3.4545342847873554E-5</v>
      </c>
      <c r="N322" s="52">
        <f t="shared" si="1589"/>
        <v>2.5728945810592662E-5</v>
      </c>
      <c r="O322" s="52">
        <f t="shared" si="1590"/>
        <v>0</v>
      </c>
      <c r="P322" s="52">
        <f t="shared" si="1591"/>
        <v>0</v>
      </c>
      <c r="Q322" s="52">
        <f t="shared" si="1592"/>
        <v>0</v>
      </c>
      <c r="R322" s="52">
        <f t="shared" si="1593"/>
        <v>0</v>
      </c>
      <c r="S322" s="527">
        <f t="shared" si="1636"/>
        <v>0</v>
      </c>
      <c r="T322" s="533">
        <f t="shared" si="1624"/>
        <v>0</v>
      </c>
      <c r="U322" s="375">
        <f t="shared" si="1637"/>
        <v>0</v>
      </c>
      <c r="V322" s="375">
        <f t="shared" si="1638"/>
        <v>-3.3162371449559254E-5</v>
      </c>
      <c r="W322" s="386">
        <f t="shared" si="1639"/>
        <v>-3.537446863458525E-5</v>
      </c>
      <c r="X322" s="386">
        <f t="shared" si="1640"/>
        <v>-3.4545342847873554E-5</v>
      </c>
      <c r="Y322" s="386">
        <f t="shared" si="1628"/>
        <v>-3.4545342847873554E-5</v>
      </c>
      <c r="Z322" s="375">
        <f t="shared" si="1598"/>
        <v>-2.5728945810592662E-5</v>
      </c>
      <c r="AA322" s="375">
        <f t="shared" si="1641"/>
        <v>0</v>
      </c>
      <c r="AB322" s="386">
        <f t="shared" si="1642"/>
        <v>0</v>
      </c>
      <c r="AC322" s="386">
        <f t="shared" si="1601"/>
        <v>0</v>
      </c>
      <c r="AD322" s="386">
        <f t="shared" si="1602"/>
        <v>0</v>
      </c>
      <c r="AE322" s="386">
        <f t="shared" si="1603"/>
        <v>0</v>
      </c>
      <c r="AF322" s="386">
        <f t="shared" si="1604"/>
        <v>0</v>
      </c>
      <c r="AG322" s="375">
        <f t="shared" si="1605"/>
        <v>0</v>
      </c>
      <c r="AH322" s="375">
        <f t="shared" si="1606"/>
        <v>0</v>
      </c>
      <c r="AI322" s="386">
        <f t="shared" si="1607"/>
        <v>0</v>
      </c>
      <c r="AJ322" s="386">
        <f t="shared" si="1608"/>
        <v>0</v>
      </c>
      <c r="AK322" s="386">
        <f t="shared" si="1609"/>
        <v>0</v>
      </c>
      <c r="AL322" s="377">
        <f t="shared" si="1610"/>
        <v>0</v>
      </c>
      <c r="AM322" s="377">
        <f t="shared" si="1611"/>
        <v>0</v>
      </c>
      <c r="AN322" s="377">
        <f t="shared" si="1612"/>
        <v>0</v>
      </c>
      <c r="AO322" s="283"/>
      <c r="AP322" s="295">
        <f t="shared" si="1643"/>
        <v>0.86417299999999997</v>
      </c>
      <c r="AQ322" s="20">
        <f t="shared" si="1631"/>
        <v>0</v>
      </c>
      <c r="AR322" s="95">
        <f t="shared" si="1644"/>
        <v>0</v>
      </c>
      <c r="AS322" s="94">
        <f t="shared" si="1632"/>
        <v>1.0834809999999999</v>
      </c>
      <c r="AT322" s="94">
        <f t="shared" si="1613"/>
        <v>1.0834809999999999</v>
      </c>
      <c r="AU322" s="94">
        <f t="shared" si="1614"/>
        <v>0.86417299999999997</v>
      </c>
      <c r="AV322" s="94">
        <f t="shared" si="1615"/>
        <v>0</v>
      </c>
      <c r="AW322" s="94">
        <f t="shared" si="1616"/>
        <v>0</v>
      </c>
      <c r="AX322" s="94">
        <f t="shared" si="1617"/>
        <v>0</v>
      </c>
      <c r="AY322" s="94">
        <f t="shared" si="1618"/>
        <v>0</v>
      </c>
      <c r="AZ322" s="433">
        <f t="shared" si="1619"/>
        <v>0</v>
      </c>
      <c r="BA322" s="657">
        <v>0</v>
      </c>
      <c r="BB322" s="327">
        <v>0</v>
      </c>
      <c r="BC322" s="207">
        <v>-1.0834809999999999</v>
      </c>
      <c r="BD322" s="389">
        <v>-1.0834809999999999</v>
      </c>
      <c r="BE322" s="389">
        <v>-1.0834809999999999</v>
      </c>
      <c r="BF322" s="516">
        <v>-1.0834809999999999</v>
      </c>
      <c r="BG322" s="207">
        <v>-0.86417299999999997</v>
      </c>
      <c r="BH322" s="207">
        <v>0</v>
      </c>
      <c r="BI322" s="389">
        <v>0</v>
      </c>
      <c r="BJ322" s="516">
        <v>0</v>
      </c>
      <c r="BK322" s="516">
        <v>0</v>
      </c>
      <c r="BL322" s="516">
        <v>0</v>
      </c>
      <c r="BM322" s="516">
        <v>0</v>
      </c>
      <c r="BN322" s="409">
        <v>0</v>
      </c>
      <c r="BO322" s="207">
        <v>0</v>
      </c>
      <c r="BP322" s="389">
        <v>0</v>
      </c>
      <c r="BQ322" s="389">
        <v>0</v>
      </c>
      <c r="BR322" s="389">
        <v>0</v>
      </c>
      <c r="BS322" s="296">
        <v>0</v>
      </c>
      <c r="BT322" s="296">
        <v>0</v>
      </c>
      <c r="BU322" s="296">
        <v>0</v>
      </c>
      <c r="BV322" s="409">
        <v>0</v>
      </c>
      <c r="BW322" s="296">
        <f t="shared" si="1645"/>
        <v>0</v>
      </c>
      <c r="BX322" s="439" t="s">
        <v>426</v>
      </c>
    </row>
    <row r="323" spans="1:76" ht="29.1" hidden="1" customHeight="1" outlineLevel="1" x14ac:dyDescent="0.25">
      <c r="A323" s="678">
        <v>7</v>
      </c>
      <c r="B323" s="702" t="s">
        <v>210</v>
      </c>
      <c r="C323" s="692" t="s">
        <v>210</v>
      </c>
      <c r="D323" s="63">
        <v>44166</v>
      </c>
      <c r="E323" s="463" t="s">
        <v>423</v>
      </c>
      <c r="F323" s="542" t="s">
        <v>422</v>
      </c>
      <c r="G323" s="71" t="s">
        <v>211</v>
      </c>
      <c r="H323" s="311" t="s">
        <v>171</v>
      </c>
      <c r="I323" s="335"/>
      <c r="J323" s="294">
        <f t="shared" si="1633"/>
        <v>7.8030786692204008E-6</v>
      </c>
      <c r="K323" s="52">
        <f t="shared" si="1634"/>
        <v>7.2621533373968385E-6</v>
      </c>
      <c r="L323" s="52">
        <f t="shared" si="1635"/>
        <v>0</v>
      </c>
      <c r="M323" s="52">
        <f t="shared" si="1588"/>
        <v>0</v>
      </c>
      <c r="N323" s="52">
        <f t="shared" si="1589"/>
        <v>0</v>
      </c>
      <c r="O323" s="52">
        <f t="shared" si="1590"/>
        <v>0</v>
      </c>
      <c r="P323" s="52">
        <f t="shared" si="1591"/>
        <v>0</v>
      </c>
      <c r="Q323" s="52">
        <f t="shared" si="1592"/>
        <v>0</v>
      </c>
      <c r="R323" s="52">
        <f t="shared" si="1593"/>
        <v>0</v>
      </c>
      <c r="S323" s="527">
        <f t="shared" si="1636"/>
        <v>0</v>
      </c>
      <c r="T323" s="533">
        <f t="shared" si="1624"/>
        <v>-7.8030786692204008E-6</v>
      </c>
      <c r="U323" s="375">
        <f t="shared" si="1637"/>
        <v>-7.2621533373968385E-6</v>
      </c>
      <c r="V323" s="375">
        <f t="shared" si="1638"/>
        <v>0</v>
      </c>
      <c r="W323" s="386">
        <f t="shared" si="1639"/>
        <v>0</v>
      </c>
      <c r="X323" s="386">
        <f t="shared" si="1640"/>
        <v>0</v>
      </c>
      <c r="Y323" s="386">
        <f t="shared" si="1628"/>
        <v>0</v>
      </c>
      <c r="Z323" s="375">
        <f t="shared" si="1598"/>
        <v>0</v>
      </c>
      <c r="AA323" s="375">
        <f t="shared" si="1641"/>
        <v>0</v>
      </c>
      <c r="AB323" s="386">
        <f t="shared" si="1642"/>
        <v>0</v>
      </c>
      <c r="AC323" s="386">
        <f t="shared" si="1601"/>
        <v>0</v>
      </c>
      <c r="AD323" s="386">
        <f t="shared" si="1602"/>
        <v>0</v>
      </c>
      <c r="AE323" s="386">
        <f t="shared" si="1603"/>
        <v>0</v>
      </c>
      <c r="AF323" s="386">
        <f t="shared" si="1604"/>
        <v>0</v>
      </c>
      <c r="AG323" s="375">
        <f t="shared" si="1605"/>
        <v>0</v>
      </c>
      <c r="AH323" s="375">
        <f t="shared" si="1606"/>
        <v>0</v>
      </c>
      <c r="AI323" s="386">
        <f t="shared" si="1607"/>
        <v>0</v>
      </c>
      <c r="AJ323" s="386">
        <f t="shared" si="1608"/>
        <v>0</v>
      </c>
      <c r="AK323" s="386">
        <f t="shared" si="1609"/>
        <v>0</v>
      </c>
      <c r="AL323" s="377">
        <f t="shared" si="1610"/>
        <v>0</v>
      </c>
      <c r="AM323" s="377">
        <f t="shared" si="1611"/>
        <v>0</v>
      </c>
      <c r="AN323" s="377">
        <f t="shared" si="1612"/>
        <v>0</v>
      </c>
      <c r="AO323" s="283"/>
      <c r="AP323" s="295">
        <f t="shared" si="1643"/>
        <v>0.22</v>
      </c>
      <c r="AQ323" s="20">
        <f t="shared" si="1631"/>
        <v>0.22</v>
      </c>
      <c r="AR323" s="95">
        <f t="shared" si="1644"/>
        <v>0.22</v>
      </c>
      <c r="AS323" s="94">
        <f t="shared" si="1632"/>
        <v>0</v>
      </c>
      <c r="AT323" s="94">
        <f t="shared" si="1613"/>
        <v>0</v>
      </c>
      <c r="AU323" s="94">
        <f t="shared" si="1614"/>
        <v>0</v>
      </c>
      <c r="AV323" s="94">
        <f t="shared" si="1615"/>
        <v>0</v>
      </c>
      <c r="AW323" s="94">
        <f t="shared" si="1616"/>
        <v>0</v>
      </c>
      <c r="AX323" s="94">
        <f t="shared" si="1617"/>
        <v>0</v>
      </c>
      <c r="AY323" s="94">
        <f t="shared" si="1618"/>
        <v>0</v>
      </c>
      <c r="AZ323" s="433">
        <f t="shared" si="1619"/>
        <v>0</v>
      </c>
      <c r="BA323" s="657">
        <v>-0.22</v>
      </c>
      <c r="BB323" s="409">
        <v>-0.22</v>
      </c>
      <c r="BC323" s="207">
        <v>0</v>
      </c>
      <c r="BD323" s="389">
        <v>0</v>
      </c>
      <c r="BE323" s="389">
        <v>0</v>
      </c>
      <c r="BF323" s="516">
        <v>0</v>
      </c>
      <c r="BG323" s="207">
        <v>0</v>
      </c>
      <c r="BH323" s="207">
        <v>0</v>
      </c>
      <c r="BI323" s="389">
        <v>0</v>
      </c>
      <c r="BJ323" s="516">
        <v>0</v>
      </c>
      <c r="BK323" s="516">
        <v>0</v>
      </c>
      <c r="BL323" s="516">
        <v>0</v>
      </c>
      <c r="BM323" s="516">
        <v>0</v>
      </c>
      <c r="BN323" s="409">
        <v>0</v>
      </c>
      <c r="BO323" s="207">
        <v>0</v>
      </c>
      <c r="BP323" s="389">
        <v>0</v>
      </c>
      <c r="BQ323" s="389">
        <v>0</v>
      </c>
      <c r="BR323" s="389">
        <v>0</v>
      </c>
      <c r="BS323" s="296">
        <v>0</v>
      </c>
      <c r="BT323" s="296">
        <v>0</v>
      </c>
      <c r="BU323" s="296">
        <v>0</v>
      </c>
      <c r="BV323" s="409">
        <v>0</v>
      </c>
      <c r="BW323" s="296">
        <f t="shared" si="1645"/>
        <v>0</v>
      </c>
      <c r="BX323" s="439" t="s">
        <v>652</v>
      </c>
    </row>
    <row r="324" spans="1:76" ht="152.25" hidden="1" customHeight="1" outlineLevel="1" x14ac:dyDescent="0.25">
      <c r="A324" s="678">
        <v>8</v>
      </c>
      <c r="B324" s="702" t="s">
        <v>210</v>
      </c>
      <c r="C324" s="692" t="s">
        <v>210</v>
      </c>
      <c r="D324" s="63">
        <v>44210</v>
      </c>
      <c r="E324" s="463" t="s">
        <v>554</v>
      </c>
      <c r="F324" s="542" t="s">
        <v>614</v>
      </c>
      <c r="G324" s="71" t="s">
        <v>211</v>
      </c>
      <c r="H324" s="311" t="s">
        <v>127</v>
      </c>
      <c r="I324" s="335"/>
      <c r="J324" s="294">
        <f t="shared" si="1633"/>
        <v>0</v>
      </c>
      <c r="K324" s="52">
        <f t="shared" si="1634"/>
        <v>0</v>
      </c>
      <c r="L324" s="52">
        <f t="shared" si="1635"/>
        <v>9.1821743388834472E-5</v>
      </c>
      <c r="M324" s="52">
        <f t="shared" si="1588"/>
        <v>9.5650988382464178E-5</v>
      </c>
      <c r="N324" s="52">
        <f t="shared" si="1589"/>
        <v>8.4593742228339833E-5</v>
      </c>
      <c r="O324" s="52">
        <f t="shared" si="1590"/>
        <v>0</v>
      </c>
      <c r="P324" s="52">
        <f t="shared" si="1591"/>
        <v>0</v>
      </c>
      <c r="Q324" s="52">
        <f t="shared" si="1592"/>
        <v>0</v>
      </c>
      <c r="R324" s="52">
        <f t="shared" si="1593"/>
        <v>0</v>
      </c>
      <c r="S324" s="527">
        <f t="shared" si="1636"/>
        <v>0</v>
      </c>
      <c r="T324" s="533">
        <f t="shared" si="1624"/>
        <v>0</v>
      </c>
      <c r="U324" s="375">
        <f t="shared" si="1637"/>
        <v>0</v>
      </c>
      <c r="V324" s="375">
        <f t="shared" si="1638"/>
        <v>-9.1821743388834472E-5</v>
      </c>
      <c r="W324" s="386">
        <f t="shared" si="1639"/>
        <v>-9.7946716097241902E-5</v>
      </c>
      <c r="X324" s="386">
        <f t="shared" si="1640"/>
        <v>-9.5650988382464178E-5</v>
      </c>
      <c r="Y324" s="386">
        <f t="shared" si="1628"/>
        <v>-9.5650988382464178E-5</v>
      </c>
      <c r="Z324" s="375">
        <f t="shared" si="1598"/>
        <v>-8.4593742228339833E-5</v>
      </c>
      <c r="AA324" s="375">
        <f t="shared" si="1641"/>
        <v>0</v>
      </c>
      <c r="AB324" s="386">
        <f t="shared" si="1642"/>
        <v>0</v>
      </c>
      <c r="AC324" s="386">
        <f t="shared" si="1601"/>
        <v>0</v>
      </c>
      <c r="AD324" s="386">
        <f t="shared" si="1602"/>
        <v>0</v>
      </c>
      <c r="AE324" s="386">
        <f t="shared" si="1603"/>
        <v>0</v>
      </c>
      <c r="AF324" s="386">
        <f t="shared" si="1604"/>
        <v>0</v>
      </c>
      <c r="AG324" s="375">
        <f t="shared" si="1605"/>
        <v>0</v>
      </c>
      <c r="AH324" s="375">
        <f t="shared" si="1606"/>
        <v>0</v>
      </c>
      <c r="AI324" s="386">
        <f t="shared" si="1607"/>
        <v>0</v>
      </c>
      <c r="AJ324" s="386">
        <f t="shared" si="1608"/>
        <v>0</v>
      </c>
      <c r="AK324" s="386">
        <f t="shared" si="1609"/>
        <v>0</v>
      </c>
      <c r="AL324" s="377">
        <f t="shared" si="1610"/>
        <v>0</v>
      </c>
      <c r="AM324" s="377">
        <f t="shared" si="1611"/>
        <v>0</v>
      </c>
      <c r="AN324" s="377">
        <f t="shared" si="1612"/>
        <v>0</v>
      </c>
      <c r="AO324" s="283"/>
      <c r="AP324" s="295">
        <f t="shared" si="1643"/>
        <v>2.8412989999999998</v>
      </c>
      <c r="AQ324" s="20">
        <f t="shared" si="1631"/>
        <v>0</v>
      </c>
      <c r="AR324" s="95">
        <f t="shared" si="1644"/>
        <v>0</v>
      </c>
      <c r="AS324" s="94">
        <f t="shared" si="1632"/>
        <v>3</v>
      </c>
      <c r="AT324" s="94">
        <f t="shared" si="1613"/>
        <v>3</v>
      </c>
      <c r="AU324" s="94">
        <f t="shared" si="1614"/>
        <v>2.8412989999999998</v>
      </c>
      <c r="AV324" s="94">
        <f t="shared" si="1615"/>
        <v>0</v>
      </c>
      <c r="AW324" s="94">
        <f t="shared" si="1616"/>
        <v>0</v>
      </c>
      <c r="AX324" s="94">
        <f t="shared" si="1617"/>
        <v>0</v>
      </c>
      <c r="AY324" s="94">
        <f t="shared" si="1618"/>
        <v>0</v>
      </c>
      <c r="AZ324" s="433">
        <f t="shared" si="1619"/>
        <v>0</v>
      </c>
      <c r="BA324" s="657">
        <v>0</v>
      </c>
      <c r="BB324" s="327">
        <v>0</v>
      </c>
      <c r="BC324" s="207">
        <v>-3</v>
      </c>
      <c r="BD324" s="389">
        <v>-3</v>
      </c>
      <c r="BE324" s="389">
        <v>-3</v>
      </c>
      <c r="BF324" s="516">
        <v>-3</v>
      </c>
      <c r="BG324" s="207">
        <f>-2.841299</f>
        <v>-2.8412989999999998</v>
      </c>
      <c r="BH324" s="207">
        <v>0</v>
      </c>
      <c r="BI324" s="389">
        <v>0</v>
      </c>
      <c r="BJ324" s="516">
        <v>0</v>
      </c>
      <c r="BK324" s="516">
        <v>0</v>
      </c>
      <c r="BL324" s="516">
        <v>0</v>
      </c>
      <c r="BM324" s="516">
        <v>0</v>
      </c>
      <c r="BN324" s="409">
        <v>0</v>
      </c>
      <c r="BO324" s="207">
        <v>0</v>
      </c>
      <c r="BP324" s="389">
        <v>0</v>
      </c>
      <c r="BQ324" s="389">
        <v>0</v>
      </c>
      <c r="BR324" s="389">
        <v>0</v>
      </c>
      <c r="BS324" s="296">
        <v>0</v>
      </c>
      <c r="BT324" s="296">
        <v>0</v>
      </c>
      <c r="BU324" s="296">
        <v>0</v>
      </c>
      <c r="BV324" s="409">
        <v>0</v>
      </c>
      <c r="BW324" s="296">
        <f t="shared" si="1645"/>
        <v>0</v>
      </c>
      <c r="BX324" s="439" t="s">
        <v>555</v>
      </c>
    </row>
    <row r="325" spans="1:76" ht="57.95" hidden="1" customHeight="1" outlineLevel="1" x14ac:dyDescent="0.25">
      <c r="A325" s="678">
        <v>9</v>
      </c>
      <c r="B325" s="702" t="s">
        <v>210</v>
      </c>
      <c r="C325" s="692" t="s">
        <v>210</v>
      </c>
      <c r="D325" s="63">
        <v>44231</v>
      </c>
      <c r="E325" s="463" t="s">
        <v>1337</v>
      </c>
      <c r="F325" s="542" t="s">
        <v>698</v>
      </c>
      <c r="G325" s="71" t="s">
        <v>211</v>
      </c>
      <c r="H325" s="311" t="s">
        <v>127</v>
      </c>
      <c r="I325" s="335"/>
      <c r="J325" s="294">
        <f t="shared" si="1633"/>
        <v>0</v>
      </c>
      <c r="K325" s="52">
        <f t="shared" si="1634"/>
        <v>0</v>
      </c>
      <c r="L325" s="52">
        <f t="shared" si="1635"/>
        <v>0</v>
      </c>
      <c r="M325" s="52">
        <f t="shared" si="1588"/>
        <v>0</v>
      </c>
      <c r="N325" s="52">
        <f t="shared" si="1589"/>
        <v>0</v>
      </c>
      <c r="O325" s="52">
        <f t="shared" si="1590"/>
        <v>0</v>
      </c>
      <c r="P325" s="52">
        <f t="shared" si="1591"/>
        <v>0</v>
      </c>
      <c r="Q325" s="52">
        <f t="shared" si="1592"/>
        <v>0</v>
      </c>
      <c r="R325" s="52">
        <f t="shared" si="1593"/>
        <v>0</v>
      </c>
      <c r="S325" s="527">
        <f t="shared" si="1636"/>
        <v>0</v>
      </c>
      <c r="T325" s="533">
        <f t="shared" si="1624"/>
        <v>0</v>
      </c>
      <c r="U325" s="375">
        <f t="shared" si="1637"/>
        <v>0</v>
      </c>
      <c r="V325" s="375">
        <f t="shared" si="1638"/>
        <v>0</v>
      </c>
      <c r="W325" s="386">
        <f t="shared" si="1639"/>
        <v>-1.958934321944838E-4</v>
      </c>
      <c r="X325" s="386">
        <f t="shared" si="1640"/>
        <v>-1.9130197676492836E-4</v>
      </c>
      <c r="Y325" s="386">
        <f t="shared" si="1628"/>
        <v>-1.9130197676492836E-4</v>
      </c>
      <c r="Z325" s="375">
        <f t="shared" si="1598"/>
        <v>0</v>
      </c>
      <c r="AA325" s="375">
        <f t="shared" si="1641"/>
        <v>0</v>
      </c>
      <c r="AB325" s="386">
        <f t="shared" si="1642"/>
        <v>0</v>
      </c>
      <c r="AC325" s="386">
        <f t="shared" si="1601"/>
        <v>0</v>
      </c>
      <c r="AD325" s="386">
        <f t="shared" si="1602"/>
        <v>0</v>
      </c>
      <c r="AE325" s="386">
        <f t="shared" si="1603"/>
        <v>0</v>
      </c>
      <c r="AF325" s="386">
        <f t="shared" si="1604"/>
        <v>0</v>
      </c>
      <c r="AG325" s="375">
        <f t="shared" si="1605"/>
        <v>0</v>
      </c>
      <c r="AH325" s="375">
        <f t="shared" si="1606"/>
        <v>0</v>
      </c>
      <c r="AI325" s="386">
        <f t="shared" si="1607"/>
        <v>0</v>
      </c>
      <c r="AJ325" s="386">
        <f t="shared" si="1608"/>
        <v>0</v>
      </c>
      <c r="AK325" s="386">
        <f t="shared" si="1609"/>
        <v>0</v>
      </c>
      <c r="AL325" s="377">
        <f t="shared" si="1610"/>
        <v>0</v>
      </c>
      <c r="AM325" s="377">
        <f t="shared" si="1611"/>
        <v>0</v>
      </c>
      <c r="AN325" s="377">
        <f t="shared" si="1612"/>
        <v>0</v>
      </c>
      <c r="AO325" s="283"/>
      <c r="AP325" s="295">
        <f t="shared" si="1643"/>
        <v>0</v>
      </c>
      <c r="AQ325" s="20">
        <f t="shared" si="1631"/>
        <v>0</v>
      </c>
      <c r="AR325" s="95">
        <f t="shared" si="1644"/>
        <v>0</v>
      </c>
      <c r="AS325" s="94">
        <f t="shared" si="1632"/>
        <v>0</v>
      </c>
      <c r="AT325" s="94">
        <f t="shared" si="1613"/>
        <v>0</v>
      </c>
      <c r="AU325" s="94">
        <f t="shared" si="1614"/>
        <v>0</v>
      </c>
      <c r="AV325" s="94">
        <f t="shared" si="1615"/>
        <v>0</v>
      </c>
      <c r="AW325" s="94">
        <f t="shared" si="1616"/>
        <v>0</v>
      </c>
      <c r="AX325" s="94">
        <f t="shared" si="1617"/>
        <v>0</v>
      </c>
      <c r="AY325" s="94">
        <f t="shared" si="1618"/>
        <v>0</v>
      </c>
      <c r="AZ325" s="433">
        <f t="shared" si="1619"/>
        <v>0</v>
      </c>
      <c r="BA325" s="657">
        <v>0</v>
      </c>
      <c r="BB325" s="327">
        <v>0</v>
      </c>
      <c r="BC325" s="207">
        <v>0</v>
      </c>
      <c r="BD325" s="389">
        <v>-6</v>
      </c>
      <c r="BE325" s="389">
        <v>-6</v>
      </c>
      <c r="BF325" s="516">
        <v>-6</v>
      </c>
      <c r="BG325" s="207">
        <v>0</v>
      </c>
      <c r="BH325" s="207">
        <v>0</v>
      </c>
      <c r="BI325" s="389">
        <v>0</v>
      </c>
      <c r="BJ325" s="516">
        <v>0</v>
      </c>
      <c r="BK325" s="516">
        <v>0</v>
      </c>
      <c r="BL325" s="516">
        <v>0</v>
      </c>
      <c r="BM325" s="516">
        <v>0</v>
      </c>
      <c r="BN325" s="409">
        <v>0</v>
      </c>
      <c r="BO325" s="207">
        <v>0</v>
      </c>
      <c r="BP325" s="389">
        <v>0</v>
      </c>
      <c r="BQ325" s="389">
        <v>0</v>
      </c>
      <c r="BR325" s="389">
        <v>0</v>
      </c>
      <c r="BS325" s="296">
        <v>0</v>
      </c>
      <c r="BT325" s="296">
        <v>0</v>
      </c>
      <c r="BU325" s="296">
        <v>0</v>
      </c>
      <c r="BV325" s="409">
        <v>0</v>
      </c>
      <c r="BW325" s="296">
        <f t="shared" ref="BW325" si="1646">-BV325</f>
        <v>0</v>
      </c>
      <c r="BX325" s="439" t="s">
        <v>1951</v>
      </c>
    </row>
    <row r="326" spans="1:76" ht="72.599999999999994" hidden="1" customHeight="1" outlineLevel="1" x14ac:dyDescent="0.25">
      <c r="A326" s="678">
        <v>10</v>
      </c>
      <c r="B326" s="702" t="s">
        <v>210</v>
      </c>
      <c r="C326" s="692" t="s">
        <v>210</v>
      </c>
      <c r="D326" s="63">
        <v>44250</v>
      </c>
      <c r="E326" s="463" t="s">
        <v>1192</v>
      </c>
      <c r="F326" s="542" t="s">
        <v>1099</v>
      </c>
      <c r="G326" s="71" t="s">
        <v>211</v>
      </c>
      <c r="H326" s="311" t="s">
        <v>127</v>
      </c>
      <c r="I326" s="335"/>
      <c r="J326" s="294">
        <f t="shared" si="1633"/>
        <v>0</v>
      </c>
      <c r="K326" s="52">
        <f t="shared" si="1634"/>
        <v>0</v>
      </c>
      <c r="L326" s="52">
        <f t="shared" si="1635"/>
        <v>6.1214495592556319E-5</v>
      </c>
      <c r="M326" s="52">
        <f t="shared" si="1588"/>
        <v>6.3767325588309461E-5</v>
      </c>
      <c r="N326" s="52">
        <f t="shared" si="1589"/>
        <v>5.9545821983775614E-5</v>
      </c>
      <c r="O326" s="52">
        <f t="shared" si="1590"/>
        <v>0</v>
      </c>
      <c r="P326" s="52">
        <f t="shared" si="1591"/>
        <v>0</v>
      </c>
      <c r="Q326" s="52">
        <f t="shared" si="1592"/>
        <v>0</v>
      </c>
      <c r="R326" s="52">
        <f t="shared" si="1593"/>
        <v>0</v>
      </c>
      <c r="S326" s="527">
        <f t="shared" si="1636"/>
        <v>0</v>
      </c>
      <c r="T326" s="533">
        <f t="shared" si="1624"/>
        <v>0</v>
      </c>
      <c r="U326" s="375">
        <f t="shared" si="1637"/>
        <v>0</v>
      </c>
      <c r="V326" s="375">
        <f t="shared" si="1638"/>
        <v>-6.1214495592556319E-5</v>
      </c>
      <c r="W326" s="386">
        <f t="shared" si="1639"/>
        <v>-6.5297810731494601E-5</v>
      </c>
      <c r="X326" s="386">
        <f t="shared" si="1640"/>
        <v>-6.3767325588309461E-5</v>
      </c>
      <c r="Y326" s="386">
        <f t="shared" si="1628"/>
        <v>-6.3767325588309461E-5</v>
      </c>
      <c r="Z326" s="375">
        <f t="shared" si="1598"/>
        <v>-5.9545821983775614E-5</v>
      </c>
      <c r="AA326" s="375">
        <f t="shared" si="1641"/>
        <v>0</v>
      </c>
      <c r="AB326" s="386">
        <f t="shared" si="1642"/>
        <v>0</v>
      </c>
      <c r="AC326" s="386">
        <f t="shared" si="1601"/>
        <v>0</v>
      </c>
      <c r="AD326" s="386">
        <f t="shared" si="1602"/>
        <v>0</v>
      </c>
      <c r="AE326" s="386">
        <f t="shared" si="1603"/>
        <v>0</v>
      </c>
      <c r="AF326" s="386">
        <f t="shared" si="1604"/>
        <v>0</v>
      </c>
      <c r="AG326" s="375">
        <f t="shared" si="1605"/>
        <v>0</v>
      </c>
      <c r="AH326" s="375">
        <f t="shared" si="1606"/>
        <v>0</v>
      </c>
      <c r="AI326" s="386">
        <f t="shared" si="1607"/>
        <v>0</v>
      </c>
      <c r="AJ326" s="386">
        <f t="shared" si="1608"/>
        <v>0</v>
      </c>
      <c r="AK326" s="386">
        <f t="shared" si="1609"/>
        <v>0</v>
      </c>
      <c r="AL326" s="377">
        <f t="shared" si="1610"/>
        <v>0</v>
      </c>
      <c r="AM326" s="377">
        <f t="shared" si="1611"/>
        <v>0</v>
      </c>
      <c r="AN326" s="377">
        <f t="shared" si="1612"/>
        <v>0</v>
      </c>
      <c r="AO326" s="283"/>
      <c r="AP326" s="295">
        <f t="shared" si="1643"/>
        <v>2</v>
      </c>
      <c r="AQ326" s="20">
        <f t="shared" si="1631"/>
        <v>0</v>
      </c>
      <c r="AR326" s="95">
        <f t="shared" si="1644"/>
        <v>0</v>
      </c>
      <c r="AS326" s="94">
        <f t="shared" si="1632"/>
        <v>2</v>
      </c>
      <c r="AT326" s="94">
        <f t="shared" si="1613"/>
        <v>2</v>
      </c>
      <c r="AU326" s="94">
        <f t="shared" si="1614"/>
        <v>2</v>
      </c>
      <c r="AV326" s="94">
        <f t="shared" si="1615"/>
        <v>0</v>
      </c>
      <c r="AW326" s="94">
        <f t="shared" si="1616"/>
        <v>0</v>
      </c>
      <c r="AX326" s="94">
        <f t="shared" si="1617"/>
        <v>0</v>
      </c>
      <c r="AY326" s="94">
        <f t="shared" si="1618"/>
        <v>0</v>
      </c>
      <c r="AZ326" s="433">
        <f t="shared" si="1619"/>
        <v>0</v>
      </c>
      <c r="BA326" s="657">
        <v>0</v>
      </c>
      <c r="BB326" s="327">
        <v>0</v>
      </c>
      <c r="BC326" s="207">
        <v>-2</v>
      </c>
      <c r="BD326" s="389">
        <v>-2</v>
      </c>
      <c r="BE326" s="389">
        <v>-2</v>
      </c>
      <c r="BF326" s="516">
        <v>-2</v>
      </c>
      <c r="BG326" s="207">
        <v>-2</v>
      </c>
      <c r="BH326" s="207">
        <v>0</v>
      </c>
      <c r="BI326" s="389">
        <v>0</v>
      </c>
      <c r="BJ326" s="516">
        <v>0</v>
      </c>
      <c r="BK326" s="516">
        <v>0</v>
      </c>
      <c r="BL326" s="516">
        <v>0</v>
      </c>
      <c r="BM326" s="516">
        <v>0</v>
      </c>
      <c r="BN326" s="409">
        <v>0</v>
      </c>
      <c r="BO326" s="207">
        <v>0</v>
      </c>
      <c r="BP326" s="389">
        <v>0</v>
      </c>
      <c r="BQ326" s="389">
        <v>0</v>
      </c>
      <c r="BR326" s="389">
        <v>0</v>
      </c>
      <c r="BS326" s="296">
        <v>0</v>
      </c>
      <c r="BT326" s="296">
        <v>0</v>
      </c>
      <c r="BU326" s="296">
        <v>0</v>
      </c>
      <c r="BV326" s="409">
        <v>0</v>
      </c>
      <c r="BW326" s="296">
        <f>-BV326</f>
        <v>0</v>
      </c>
      <c r="BX326" s="439" t="s">
        <v>1100</v>
      </c>
    </row>
    <row r="327" spans="1:76" ht="101.45" hidden="1" customHeight="1" outlineLevel="1" x14ac:dyDescent="0.25">
      <c r="A327" s="678">
        <v>11</v>
      </c>
      <c r="B327" s="702" t="s">
        <v>210</v>
      </c>
      <c r="C327" s="692" t="s">
        <v>210</v>
      </c>
      <c r="D327" s="63">
        <v>44253</v>
      </c>
      <c r="E327" s="463" t="s">
        <v>1155</v>
      </c>
      <c r="F327" s="557" t="s">
        <v>1157</v>
      </c>
      <c r="G327" s="71" t="s">
        <v>138</v>
      </c>
      <c r="H327" s="311" t="s">
        <v>127</v>
      </c>
      <c r="I327" s="335"/>
      <c r="J327" s="294">
        <f t="shared" si="1633"/>
        <v>0</v>
      </c>
      <c r="K327" s="52">
        <f t="shared" si="1634"/>
        <v>0</v>
      </c>
      <c r="L327" s="52">
        <f t="shared" si="1635"/>
        <v>1.3161116552399608E-5</v>
      </c>
      <c r="M327" s="52">
        <f t="shared" si="1588"/>
        <v>1.3709975001486533E-5</v>
      </c>
      <c r="N327" s="52">
        <f t="shared" si="1589"/>
        <v>9.638831069068718E-6</v>
      </c>
      <c r="O327" s="52">
        <f t="shared" si="1590"/>
        <v>0</v>
      </c>
      <c r="P327" s="52">
        <f t="shared" si="1591"/>
        <v>0</v>
      </c>
      <c r="Q327" s="52">
        <f t="shared" si="1592"/>
        <v>0</v>
      </c>
      <c r="R327" s="52">
        <f t="shared" si="1593"/>
        <v>0</v>
      </c>
      <c r="S327" s="527">
        <f t="shared" si="1636"/>
        <v>0</v>
      </c>
      <c r="T327" s="533">
        <f t="shared" si="1624"/>
        <v>0</v>
      </c>
      <c r="U327" s="375">
        <f t="shared" si="1637"/>
        <v>0</v>
      </c>
      <c r="V327" s="375">
        <f t="shared" si="1638"/>
        <v>-1.3161116552399608E-5</v>
      </c>
      <c r="W327" s="386">
        <f t="shared" si="1639"/>
        <v>-1.4039029307271339E-5</v>
      </c>
      <c r="X327" s="386">
        <f t="shared" si="1640"/>
        <v>-1.3709975001486533E-5</v>
      </c>
      <c r="Y327" s="386">
        <f t="shared" si="1628"/>
        <v>-1.3709975001486533E-5</v>
      </c>
      <c r="Z327" s="375">
        <f t="shared" si="1598"/>
        <v>-9.638831069068718E-6</v>
      </c>
      <c r="AA327" s="375">
        <f t="shared" si="1641"/>
        <v>0</v>
      </c>
      <c r="AB327" s="386">
        <f t="shared" si="1642"/>
        <v>0</v>
      </c>
      <c r="AC327" s="386">
        <f t="shared" si="1601"/>
        <v>0</v>
      </c>
      <c r="AD327" s="386">
        <f t="shared" si="1602"/>
        <v>0</v>
      </c>
      <c r="AE327" s="386">
        <f t="shared" si="1603"/>
        <v>0</v>
      </c>
      <c r="AF327" s="386">
        <f t="shared" si="1604"/>
        <v>0</v>
      </c>
      <c r="AG327" s="375">
        <f t="shared" si="1605"/>
        <v>0</v>
      </c>
      <c r="AH327" s="375">
        <f t="shared" si="1606"/>
        <v>0</v>
      </c>
      <c r="AI327" s="386">
        <f t="shared" si="1607"/>
        <v>0</v>
      </c>
      <c r="AJ327" s="386">
        <f t="shared" si="1608"/>
        <v>0</v>
      </c>
      <c r="AK327" s="386">
        <f t="shared" si="1609"/>
        <v>0</v>
      </c>
      <c r="AL327" s="377">
        <f t="shared" si="1610"/>
        <v>0</v>
      </c>
      <c r="AM327" s="377">
        <f t="shared" si="1611"/>
        <v>0</v>
      </c>
      <c r="AN327" s="377">
        <f t="shared" si="1612"/>
        <v>0</v>
      </c>
      <c r="AO327" s="283"/>
      <c r="AP327" s="295">
        <f t="shared" si="1643"/>
        <v>0.323745</v>
      </c>
      <c r="AQ327" s="20">
        <f t="shared" si="1631"/>
        <v>0</v>
      </c>
      <c r="AR327" s="95">
        <f t="shared" si="1644"/>
        <v>0</v>
      </c>
      <c r="AS327" s="94">
        <f t="shared" si="1632"/>
        <v>0.43</v>
      </c>
      <c r="AT327" s="94">
        <f t="shared" si="1613"/>
        <v>0.43</v>
      </c>
      <c r="AU327" s="94">
        <f t="shared" si="1614"/>
        <v>0.323745</v>
      </c>
      <c r="AV327" s="94">
        <f t="shared" si="1615"/>
        <v>0</v>
      </c>
      <c r="AW327" s="94">
        <f t="shared" si="1616"/>
        <v>0</v>
      </c>
      <c r="AX327" s="94">
        <f t="shared" si="1617"/>
        <v>0</v>
      </c>
      <c r="AY327" s="94">
        <f t="shared" si="1618"/>
        <v>0</v>
      </c>
      <c r="AZ327" s="433">
        <f t="shared" si="1619"/>
        <v>0</v>
      </c>
      <c r="BA327" s="657">
        <v>0</v>
      </c>
      <c r="BB327" s="327">
        <v>0</v>
      </c>
      <c r="BC327" s="207">
        <v>-0.43</v>
      </c>
      <c r="BD327" s="389">
        <v>-0.43</v>
      </c>
      <c r="BE327" s="389">
        <v>-0.43</v>
      </c>
      <c r="BF327" s="516">
        <v>-0.43</v>
      </c>
      <c r="BG327" s="207">
        <f>-0.323745</f>
        <v>-0.323745</v>
      </c>
      <c r="BH327" s="207">
        <v>0</v>
      </c>
      <c r="BI327" s="389">
        <v>0</v>
      </c>
      <c r="BJ327" s="516">
        <v>0</v>
      </c>
      <c r="BK327" s="516">
        <v>0</v>
      </c>
      <c r="BL327" s="516">
        <v>0</v>
      </c>
      <c r="BM327" s="516">
        <v>0</v>
      </c>
      <c r="BN327" s="409">
        <v>0</v>
      </c>
      <c r="BO327" s="207">
        <v>0</v>
      </c>
      <c r="BP327" s="389">
        <v>0</v>
      </c>
      <c r="BQ327" s="389">
        <v>0</v>
      </c>
      <c r="BR327" s="389">
        <v>0</v>
      </c>
      <c r="BS327" s="296">
        <v>0</v>
      </c>
      <c r="BT327" s="296">
        <v>0</v>
      </c>
      <c r="BU327" s="296">
        <v>0</v>
      </c>
      <c r="BV327" s="409">
        <v>0</v>
      </c>
      <c r="BW327" s="296">
        <f>-BV327</f>
        <v>0</v>
      </c>
      <c r="BX327" s="442" t="s">
        <v>1156</v>
      </c>
    </row>
    <row r="328" spans="1:76" ht="72.599999999999994" hidden="1" customHeight="1" outlineLevel="1" x14ac:dyDescent="0.25">
      <c r="A328" s="678">
        <v>12</v>
      </c>
      <c r="B328" s="702" t="s">
        <v>210</v>
      </c>
      <c r="C328" s="692" t="s">
        <v>210</v>
      </c>
      <c r="D328" s="63">
        <v>44264</v>
      </c>
      <c r="E328" s="463" t="s">
        <v>1185</v>
      </c>
      <c r="F328" s="558" t="s">
        <v>1172</v>
      </c>
      <c r="G328" s="71" t="s">
        <v>211</v>
      </c>
      <c r="H328" s="311" t="s">
        <v>127</v>
      </c>
      <c r="I328" s="335"/>
      <c r="J328" s="294">
        <f t="shared" si="1633"/>
        <v>0</v>
      </c>
      <c r="K328" s="52">
        <f t="shared" si="1634"/>
        <v>0</v>
      </c>
      <c r="L328" s="52">
        <f t="shared" si="1635"/>
        <v>9.1821743388834472E-5</v>
      </c>
      <c r="M328" s="52">
        <f t="shared" si="1588"/>
        <v>9.5650988382464178E-5</v>
      </c>
      <c r="N328" s="52">
        <f t="shared" si="1589"/>
        <v>7.9766660169225054E-5</v>
      </c>
      <c r="O328" s="52">
        <f t="shared" si="1590"/>
        <v>0</v>
      </c>
      <c r="P328" s="52">
        <f t="shared" si="1591"/>
        <v>0</v>
      </c>
      <c r="Q328" s="52">
        <f t="shared" si="1592"/>
        <v>0</v>
      </c>
      <c r="R328" s="52">
        <f t="shared" si="1593"/>
        <v>0</v>
      </c>
      <c r="S328" s="527">
        <f t="shared" si="1636"/>
        <v>0</v>
      </c>
      <c r="T328" s="533">
        <f t="shared" si="1624"/>
        <v>0</v>
      </c>
      <c r="U328" s="375">
        <f t="shared" si="1637"/>
        <v>0</v>
      </c>
      <c r="V328" s="375">
        <f t="shared" si="1638"/>
        <v>-9.1821743388834472E-5</v>
      </c>
      <c r="W328" s="386">
        <f t="shared" si="1639"/>
        <v>-9.7946716097241902E-5</v>
      </c>
      <c r="X328" s="386">
        <f t="shared" si="1640"/>
        <v>-9.5650988382464178E-5</v>
      </c>
      <c r="Y328" s="386">
        <f t="shared" si="1628"/>
        <v>-9.5650988382464178E-5</v>
      </c>
      <c r="Z328" s="375">
        <f t="shared" si="1598"/>
        <v>-7.9766660169225054E-5</v>
      </c>
      <c r="AA328" s="375">
        <f t="shared" si="1641"/>
        <v>0</v>
      </c>
      <c r="AB328" s="386">
        <f t="shared" si="1642"/>
        <v>0</v>
      </c>
      <c r="AC328" s="386">
        <f t="shared" si="1601"/>
        <v>0</v>
      </c>
      <c r="AD328" s="386">
        <f t="shared" si="1602"/>
        <v>0</v>
      </c>
      <c r="AE328" s="386">
        <f t="shared" si="1603"/>
        <v>0</v>
      </c>
      <c r="AF328" s="386">
        <f t="shared" si="1604"/>
        <v>0</v>
      </c>
      <c r="AG328" s="375">
        <f t="shared" si="1605"/>
        <v>0</v>
      </c>
      <c r="AH328" s="375">
        <f t="shared" si="1606"/>
        <v>0</v>
      </c>
      <c r="AI328" s="386">
        <f t="shared" si="1607"/>
        <v>0</v>
      </c>
      <c r="AJ328" s="386">
        <f t="shared" si="1608"/>
        <v>0</v>
      </c>
      <c r="AK328" s="386">
        <f t="shared" si="1609"/>
        <v>0</v>
      </c>
      <c r="AL328" s="377">
        <f t="shared" si="1610"/>
        <v>0</v>
      </c>
      <c r="AM328" s="377">
        <f t="shared" si="1611"/>
        <v>0</v>
      </c>
      <c r="AN328" s="377">
        <f t="shared" si="1612"/>
        <v>0</v>
      </c>
      <c r="AO328" s="283"/>
      <c r="AP328" s="295">
        <f t="shared" si="1643"/>
        <v>2.6791689999999999</v>
      </c>
      <c r="AQ328" s="20">
        <f t="shared" si="1631"/>
        <v>0</v>
      </c>
      <c r="AR328" s="95">
        <f t="shared" si="1644"/>
        <v>0</v>
      </c>
      <c r="AS328" s="94">
        <f t="shared" si="1632"/>
        <v>3</v>
      </c>
      <c r="AT328" s="94">
        <f t="shared" si="1613"/>
        <v>3</v>
      </c>
      <c r="AU328" s="94">
        <f t="shared" si="1614"/>
        <v>2.6791689999999999</v>
      </c>
      <c r="AV328" s="94">
        <f t="shared" si="1615"/>
        <v>0</v>
      </c>
      <c r="AW328" s="94">
        <f t="shared" si="1616"/>
        <v>0</v>
      </c>
      <c r="AX328" s="94">
        <f t="shared" si="1617"/>
        <v>0</v>
      </c>
      <c r="AY328" s="94">
        <f t="shared" si="1618"/>
        <v>0</v>
      </c>
      <c r="AZ328" s="433">
        <f t="shared" si="1619"/>
        <v>0</v>
      </c>
      <c r="BA328" s="657">
        <v>0</v>
      </c>
      <c r="BB328" s="327">
        <v>0</v>
      </c>
      <c r="BC328" s="207">
        <v>-3</v>
      </c>
      <c r="BD328" s="389">
        <v>-3</v>
      </c>
      <c r="BE328" s="389">
        <v>-3</v>
      </c>
      <c r="BF328" s="516">
        <v>-3</v>
      </c>
      <c r="BG328" s="207">
        <f>-2.65367-0.025499</f>
        <v>-2.6791689999999999</v>
      </c>
      <c r="BH328" s="207">
        <v>0</v>
      </c>
      <c r="BI328" s="389">
        <v>0</v>
      </c>
      <c r="BJ328" s="516">
        <v>0</v>
      </c>
      <c r="BK328" s="516">
        <v>0</v>
      </c>
      <c r="BL328" s="516">
        <v>0</v>
      </c>
      <c r="BM328" s="516">
        <v>0</v>
      </c>
      <c r="BN328" s="409">
        <v>0</v>
      </c>
      <c r="BO328" s="207">
        <v>0</v>
      </c>
      <c r="BP328" s="389">
        <v>0</v>
      </c>
      <c r="BQ328" s="389">
        <v>0</v>
      </c>
      <c r="BR328" s="389">
        <v>0</v>
      </c>
      <c r="BS328" s="296">
        <v>0</v>
      </c>
      <c r="BT328" s="296">
        <v>0</v>
      </c>
      <c r="BU328" s="296">
        <v>0</v>
      </c>
      <c r="BV328" s="409">
        <v>0</v>
      </c>
      <c r="BW328" s="296">
        <f>-BV328</f>
        <v>0</v>
      </c>
      <c r="BX328" s="442" t="s">
        <v>1179</v>
      </c>
    </row>
    <row r="329" spans="1:76" ht="72.599999999999994" hidden="1" customHeight="1" outlineLevel="1" x14ac:dyDescent="0.25">
      <c r="A329" s="678">
        <v>13</v>
      </c>
      <c r="B329" s="702" t="s">
        <v>210</v>
      </c>
      <c r="C329" s="692" t="s">
        <v>210</v>
      </c>
      <c r="D329" s="63">
        <v>44314</v>
      </c>
      <c r="E329" s="463" t="s">
        <v>1368</v>
      </c>
      <c r="F329" s="558" t="s">
        <v>1351</v>
      </c>
      <c r="G329" s="71" t="s">
        <v>138</v>
      </c>
      <c r="H329" s="311" t="s">
        <v>127</v>
      </c>
      <c r="I329" s="335"/>
      <c r="J329" s="294">
        <f t="shared" si="1633"/>
        <v>0</v>
      </c>
      <c r="K329" s="52">
        <f t="shared" si="1634"/>
        <v>0</v>
      </c>
      <c r="L329" s="52">
        <f t="shared" si="1635"/>
        <v>1.0100391772771793E-5</v>
      </c>
      <c r="M329" s="52">
        <f t="shared" si="1588"/>
        <v>1.052160872207106E-5</v>
      </c>
      <c r="N329" s="52">
        <f t="shared" si="1589"/>
        <v>0</v>
      </c>
      <c r="O329" s="52">
        <f t="shared" si="1590"/>
        <v>0</v>
      </c>
      <c r="P329" s="52">
        <f t="shared" si="1591"/>
        <v>0</v>
      </c>
      <c r="Q329" s="52">
        <f t="shared" si="1592"/>
        <v>0</v>
      </c>
      <c r="R329" s="52">
        <f t="shared" si="1593"/>
        <v>0</v>
      </c>
      <c r="S329" s="527">
        <f t="shared" si="1636"/>
        <v>0</v>
      </c>
      <c r="T329" s="533">
        <f t="shared" si="1624"/>
        <v>0</v>
      </c>
      <c r="U329" s="375">
        <f t="shared" si="1637"/>
        <v>0</v>
      </c>
      <c r="V329" s="375">
        <f t="shared" si="1638"/>
        <v>-1.0100391772771793E-5</v>
      </c>
      <c r="W329" s="386">
        <f t="shared" si="1639"/>
        <v>0</v>
      </c>
      <c r="X329" s="386">
        <f t="shared" si="1640"/>
        <v>-1.052160872207106E-5</v>
      </c>
      <c r="Y329" s="386">
        <f t="shared" si="1628"/>
        <v>-1.052160872207106E-5</v>
      </c>
      <c r="Z329" s="375">
        <f t="shared" si="1598"/>
        <v>0</v>
      </c>
      <c r="AA329" s="375">
        <f t="shared" si="1641"/>
        <v>0</v>
      </c>
      <c r="AB329" s="386">
        <f t="shared" si="1642"/>
        <v>0</v>
      </c>
      <c r="AC329" s="386">
        <f t="shared" si="1601"/>
        <v>0</v>
      </c>
      <c r="AD329" s="386">
        <f t="shared" si="1602"/>
        <v>0</v>
      </c>
      <c r="AE329" s="386">
        <f t="shared" si="1603"/>
        <v>0</v>
      </c>
      <c r="AF329" s="386">
        <f t="shared" si="1604"/>
        <v>0</v>
      </c>
      <c r="AG329" s="375">
        <f t="shared" si="1605"/>
        <v>0</v>
      </c>
      <c r="AH329" s="375">
        <f t="shared" si="1606"/>
        <v>0</v>
      </c>
      <c r="AI329" s="386">
        <f t="shared" si="1607"/>
        <v>0</v>
      </c>
      <c r="AJ329" s="386">
        <f t="shared" si="1608"/>
        <v>0</v>
      </c>
      <c r="AK329" s="386">
        <f t="shared" si="1609"/>
        <v>0</v>
      </c>
      <c r="AL329" s="377">
        <f t="shared" si="1610"/>
        <v>0</v>
      </c>
      <c r="AM329" s="377">
        <f t="shared" si="1611"/>
        <v>0</v>
      </c>
      <c r="AN329" s="377">
        <f t="shared" si="1612"/>
        <v>0</v>
      </c>
      <c r="AO329" s="283"/>
      <c r="AP329" s="295">
        <f t="shared" si="1643"/>
        <v>0</v>
      </c>
      <c r="AQ329" s="20">
        <f t="shared" si="1631"/>
        <v>0</v>
      </c>
      <c r="AR329" s="95">
        <f t="shared" si="1644"/>
        <v>0</v>
      </c>
      <c r="AS329" s="94">
        <f t="shared" si="1632"/>
        <v>0.33</v>
      </c>
      <c r="AT329" s="94">
        <f t="shared" si="1613"/>
        <v>0.33</v>
      </c>
      <c r="AU329" s="94">
        <f t="shared" si="1614"/>
        <v>0</v>
      </c>
      <c r="AV329" s="94">
        <f t="shared" si="1615"/>
        <v>0</v>
      </c>
      <c r="AW329" s="94">
        <f t="shared" si="1616"/>
        <v>0</v>
      </c>
      <c r="AX329" s="94">
        <f t="shared" si="1617"/>
        <v>0</v>
      </c>
      <c r="AY329" s="94">
        <f t="shared" si="1618"/>
        <v>0</v>
      </c>
      <c r="AZ329" s="433">
        <f t="shared" si="1619"/>
        <v>0</v>
      </c>
      <c r="BA329" s="657">
        <v>0</v>
      </c>
      <c r="BB329" s="327">
        <v>0</v>
      </c>
      <c r="BC329" s="207">
        <v>-0.33</v>
      </c>
      <c r="BD329" s="389">
        <v>0</v>
      </c>
      <c r="BE329" s="389">
        <v>-0.33</v>
      </c>
      <c r="BF329" s="516">
        <v>-0.33</v>
      </c>
      <c r="BG329" s="207">
        <v>0</v>
      </c>
      <c r="BH329" s="207">
        <v>0</v>
      </c>
      <c r="BI329" s="389">
        <v>0</v>
      </c>
      <c r="BJ329" s="516">
        <v>0</v>
      </c>
      <c r="BK329" s="516">
        <v>0</v>
      </c>
      <c r="BL329" s="516">
        <v>0</v>
      </c>
      <c r="BM329" s="516">
        <v>0</v>
      </c>
      <c r="BN329" s="409">
        <v>0</v>
      </c>
      <c r="BO329" s="207">
        <v>0</v>
      </c>
      <c r="BP329" s="389">
        <v>0</v>
      </c>
      <c r="BQ329" s="389">
        <v>0</v>
      </c>
      <c r="BR329" s="389">
        <v>0</v>
      </c>
      <c r="BS329" s="296">
        <v>0</v>
      </c>
      <c r="BT329" s="296">
        <v>0</v>
      </c>
      <c r="BU329" s="296">
        <v>0</v>
      </c>
      <c r="BV329" s="409">
        <v>0</v>
      </c>
      <c r="BW329" s="296">
        <f>-BV329</f>
        <v>0</v>
      </c>
      <c r="BX329" s="442" t="s">
        <v>1352</v>
      </c>
    </row>
    <row r="330" spans="1:76" ht="72.599999999999994" hidden="1" customHeight="1" outlineLevel="1" x14ac:dyDescent="0.25">
      <c r="A330" s="678">
        <v>14</v>
      </c>
      <c r="B330" s="702" t="s">
        <v>210</v>
      </c>
      <c r="C330" s="692" t="s">
        <v>210</v>
      </c>
      <c r="D330" s="63">
        <v>44314</v>
      </c>
      <c r="E330" s="463" t="s">
        <v>1367</v>
      </c>
      <c r="F330" s="558" t="s">
        <v>1353</v>
      </c>
      <c r="G330" s="71" t="s">
        <v>211</v>
      </c>
      <c r="H330" s="311" t="s">
        <v>127</v>
      </c>
      <c r="I330" s="335"/>
      <c r="J330" s="294">
        <f t="shared" si="1633"/>
        <v>0</v>
      </c>
      <c r="K330" s="52">
        <f t="shared" si="1634"/>
        <v>0</v>
      </c>
      <c r="L330" s="52">
        <f t="shared" si="1635"/>
        <v>5.7281158178256618E-6</v>
      </c>
      <c r="M330" s="52">
        <f t="shared" si="1588"/>
        <v>5.9669956082632637E-6</v>
      </c>
      <c r="N330" s="52">
        <f t="shared" si="1589"/>
        <v>5.5719705192208118E-6</v>
      </c>
      <c r="O330" s="52">
        <f t="shared" si="1590"/>
        <v>0</v>
      </c>
      <c r="P330" s="52">
        <f t="shared" si="1591"/>
        <v>0</v>
      </c>
      <c r="Q330" s="52">
        <f t="shared" si="1592"/>
        <v>0</v>
      </c>
      <c r="R330" s="52">
        <f t="shared" si="1593"/>
        <v>0</v>
      </c>
      <c r="S330" s="527">
        <f t="shared" si="1636"/>
        <v>0</v>
      </c>
      <c r="T330" s="533">
        <f t="shared" si="1624"/>
        <v>0</v>
      </c>
      <c r="U330" s="375">
        <f t="shared" si="1637"/>
        <v>0</v>
      </c>
      <c r="V330" s="375">
        <f t="shared" si="1638"/>
        <v>-5.7281158178256618E-6</v>
      </c>
      <c r="W330" s="386">
        <f t="shared" si="1639"/>
        <v>0</v>
      </c>
      <c r="X330" s="386">
        <f t="shared" si="1640"/>
        <v>-5.9669956082632637E-6</v>
      </c>
      <c r="Y330" s="386">
        <f t="shared" si="1628"/>
        <v>-5.9669956082632637E-6</v>
      </c>
      <c r="Z330" s="375">
        <f t="shared" si="1598"/>
        <v>-5.5719705192208118E-6</v>
      </c>
      <c r="AA330" s="375">
        <f t="shared" si="1641"/>
        <v>0</v>
      </c>
      <c r="AB330" s="386">
        <f t="shared" si="1642"/>
        <v>0</v>
      </c>
      <c r="AC330" s="386">
        <f t="shared" si="1601"/>
        <v>0</v>
      </c>
      <c r="AD330" s="386">
        <f t="shared" si="1602"/>
        <v>0</v>
      </c>
      <c r="AE330" s="386">
        <f t="shared" si="1603"/>
        <v>0</v>
      </c>
      <c r="AF330" s="386">
        <f t="shared" si="1604"/>
        <v>0</v>
      </c>
      <c r="AG330" s="375">
        <f t="shared" si="1605"/>
        <v>0</v>
      </c>
      <c r="AH330" s="375">
        <f t="shared" si="1606"/>
        <v>0</v>
      </c>
      <c r="AI330" s="386">
        <f t="shared" si="1607"/>
        <v>0</v>
      </c>
      <c r="AJ330" s="386">
        <f t="shared" si="1608"/>
        <v>0</v>
      </c>
      <c r="AK330" s="386">
        <f t="shared" si="1609"/>
        <v>0</v>
      </c>
      <c r="AL330" s="377">
        <f t="shared" si="1610"/>
        <v>0</v>
      </c>
      <c r="AM330" s="377">
        <f t="shared" si="1611"/>
        <v>0</v>
      </c>
      <c r="AN330" s="377">
        <f t="shared" si="1612"/>
        <v>0</v>
      </c>
      <c r="AO330" s="283"/>
      <c r="AP330" s="295">
        <f t="shared" si="1643"/>
        <v>0.18714900000000001</v>
      </c>
      <c r="AQ330" s="20">
        <f t="shared" ref="AQ330:AQ345" si="1647">-BA330</f>
        <v>0</v>
      </c>
      <c r="AR330" s="95">
        <f t="shared" ref="AR330:AR345" si="1648">-BB330</f>
        <v>0</v>
      </c>
      <c r="AS330" s="94">
        <f t="shared" ref="AS330" si="1649">-BC330</f>
        <v>0.18714900000000001</v>
      </c>
      <c r="AT330" s="94">
        <f t="shared" si="1613"/>
        <v>0.18714900000000001</v>
      </c>
      <c r="AU330" s="94">
        <f t="shared" si="1614"/>
        <v>0.18714900000000001</v>
      </c>
      <c r="AV330" s="94">
        <f t="shared" si="1615"/>
        <v>0</v>
      </c>
      <c r="AW330" s="94">
        <f t="shared" si="1616"/>
        <v>0</v>
      </c>
      <c r="AX330" s="94">
        <f t="shared" si="1617"/>
        <v>0</v>
      </c>
      <c r="AY330" s="94">
        <f t="shared" si="1618"/>
        <v>0</v>
      </c>
      <c r="AZ330" s="433">
        <f t="shared" si="1619"/>
        <v>0</v>
      </c>
      <c r="BA330" s="657">
        <v>0</v>
      </c>
      <c r="BB330" s="327">
        <v>0</v>
      </c>
      <c r="BC330" s="207">
        <f>-0.187149</f>
        <v>-0.18714900000000001</v>
      </c>
      <c r="BD330" s="389">
        <v>0</v>
      </c>
      <c r="BE330" s="389">
        <v>-0.18714900000000001</v>
      </c>
      <c r="BF330" s="516">
        <v>-0.18714900000000001</v>
      </c>
      <c r="BG330" s="207">
        <v>-0.18714900000000001</v>
      </c>
      <c r="BH330" s="207">
        <v>0</v>
      </c>
      <c r="BI330" s="389">
        <v>0</v>
      </c>
      <c r="BJ330" s="516">
        <v>0</v>
      </c>
      <c r="BK330" s="516">
        <v>0</v>
      </c>
      <c r="BL330" s="516">
        <v>0</v>
      </c>
      <c r="BM330" s="516">
        <v>0</v>
      </c>
      <c r="BN330" s="409">
        <v>0</v>
      </c>
      <c r="BO330" s="207">
        <v>0</v>
      </c>
      <c r="BP330" s="389">
        <v>0</v>
      </c>
      <c r="BQ330" s="389">
        <v>0</v>
      </c>
      <c r="BR330" s="389">
        <v>0</v>
      </c>
      <c r="BS330" s="296">
        <v>0</v>
      </c>
      <c r="BT330" s="296">
        <v>0</v>
      </c>
      <c r="BU330" s="296">
        <v>0</v>
      </c>
      <c r="BV330" s="409">
        <v>0</v>
      </c>
      <c r="BW330" s="296">
        <f t="shared" ref="BW330:BW345" si="1650">-BV330</f>
        <v>0</v>
      </c>
      <c r="BX330" s="442" t="s">
        <v>1354</v>
      </c>
    </row>
    <row r="331" spans="1:76" ht="87" hidden="1" customHeight="1" outlineLevel="1" x14ac:dyDescent="0.25">
      <c r="A331" s="678">
        <v>15</v>
      </c>
      <c r="B331" s="702" t="s">
        <v>210</v>
      </c>
      <c r="C331" s="692" t="s">
        <v>210</v>
      </c>
      <c r="D331" s="63">
        <v>44354</v>
      </c>
      <c r="E331" s="463" t="s">
        <v>1469</v>
      </c>
      <c r="F331" s="558" t="s">
        <v>1470</v>
      </c>
      <c r="G331" s="71" t="s">
        <v>211</v>
      </c>
      <c r="H331" s="311" t="s">
        <v>127</v>
      </c>
      <c r="I331" s="335"/>
      <c r="J331" s="294">
        <f t="shared" si="1633"/>
        <v>0</v>
      </c>
      <c r="K331" s="52">
        <f t="shared" si="1634"/>
        <v>0</v>
      </c>
      <c r="L331" s="52">
        <f t="shared" si="1635"/>
        <v>5.9055460333006857E-6</v>
      </c>
      <c r="M331" s="52">
        <f t="shared" si="1588"/>
        <v>6.1518252014809787E-6</v>
      </c>
      <c r="N331" s="52">
        <f t="shared" si="1589"/>
        <v>6.0248462683184171E-7</v>
      </c>
      <c r="O331" s="52">
        <f t="shared" si="1590"/>
        <v>0</v>
      </c>
      <c r="P331" s="52">
        <f t="shared" si="1591"/>
        <v>0</v>
      </c>
      <c r="Q331" s="52">
        <f t="shared" si="1592"/>
        <v>0</v>
      </c>
      <c r="R331" s="52">
        <f t="shared" si="1593"/>
        <v>0</v>
      </c>
      <c r="S331" s="527">
        <f t="shared" si="1636"/>
        <v>0</v>
      </c>
      <c r="T331" s="533">
        <f t="shared" si="1624"/>
        <v>0</v>
      </c>
      <c r="U331" s="375">
        <f t="shared" si="1637"/>
        <v>0</v>
      </c>
      <c r="V331" s="375">
        <f t="shared" si="1638"/>
        <v>-5.9055460333006857E-6</v>
      </c>
      <c r="W331" s="386">
        <f t="shared" si="1639"/>
        <v>0</v>
      </c>
      <c r="X331" s="386">
        <f t="shared" si="1640"/>
        <v>-6.1518252014809787E-6</v>
      </c>
      <c r="Y331" s="386">
        <f t="shared" si="1628"/>
        <v>-6.1518252014809787E-6</v>
      </c>
      <c r="Z331" s="375">
        <f t="shared" si="1598"/>
        <v>-6.0248462683184171E-7</v>
      </c>
      <c r="AA331" s="375">
        <f t="shared" si="1641"/>
        <v>0</v>
      </c>
      <c r="AB331" s="386">
        <f t="shared" si="1642"/>
        <v>0</v>
      </c>
      <c r="AC331" s="386">
        <f t="shared" si="1601"/>
        <v>0</v>
      </c>
      <c r="AD331" s="386">
        <f t="shared" si="1602"/>
        <v>0</v>
      </c>
      <c r="AE331" s="386">
        <f t="shared" si="1603"/>
        <v>0</v>
      </c>
      <c r="AF331" s="386">
        <f t="shared" si="1604"/>
        <v>0</v>
      </c>
      <c r="AG331" s="375">
        <f t="shared" si="1605"/>
        <v>0</v>
      </c>
      <c r="AH331" s="375">
        <f t="shared" si="1606"/>
        <v>0</v>
      </c>
      <c r="AI331" s="386">
        <f t="shared" si="1607"/>
        <v>0</v>
      </c>
      <c r="AJ331" s="386">
        <f t="shared" si="1608"/>
        <v>0</v>
      </c>
      <c r="AK331" s="386">
        <f t="shared" si="1609"/>
        <v>0</v>
      </c>
      <c r="AL331" s="377">
        <f t="shared" si="1610"/>
        <v>0</v>
      </c>
      <c r="AM331" s="377">
        <f t="shared" si="1611"/>
        <v>0</v>
      </c>
      <c r="AN331" s="377">
        <f t="shared" si="1612"/>
        <v>0</v>
      </c>
      <c r="AO331" s="283"/>
      <c r="AP331" s="295">
        <f t="shared" si="1643"/>
        <v>2.0236000000000001E-2</v>
      </c>
      <c r="AQ331" s="20">
        <f t="shared" si="1647"/>
        <v>0</v>
      </c>
      <c r="AR331" s="95">
        <f t="shared" si="1648"/>
        <v>0</v>
      </c>
      <c r="AS331" s="94">
        <f t="shared" ref="AS331:AS334" si="1651">-BC331</f>
        <v>0.19294600000000001</v>
      </c>
      <c r="AT331" s="94">
        <f t="shared" si="1613"/>
        <v>0.19294600000000001</v>
      </c>
      <c r="AU331" s="94">
        <f t="shared" si="1614"/>
        <v>2.0236000000000001E-2</v>
      </c>
      <c r="AV331" s="94">
        <f t="shared" si="1615"/>
        <v>0</v>
      </c>
      <c r="AW331" s="94">
        <f t="shared" si="1616"/>
        <v>0</v>
      </c>
      <c r="AX331" s="94">
        <f t="shared" si="1617"/>
        <v>0</v>
      </c>
      <c r="AY331" s="94">
        <f t="shared" si="1618"/>
        <v>0</v>
      </c>
      <c r="AZ331" s="433">
        <f t="shared" si="1619"/>
        <v>0</v>
      </c>
      <c r="BA331" s="657">
        <v>0</v>
      </c>
      <c r="BB331" s="327">
        <v>0</v>
      </c>
      <c r="BC331" s="207">
        <v>-0.19294600000000001</v>
      </c>
      <c r="BD331" s="389">
        <v>0</v>
      </c>
      <c r="BE331" s="389">
        <v>-0.19294600000000001</v>
      </c>
      <c r="BF331" s="516">
        <v>-0.19294600000000001</v>
      </c>
      <c r="BG331" s="207">
        <f>-0.020236</f>
        <v>-2.0236000000000001E-2</v>
      </c>
      <c r="BH331" s="207">
        <v>0</v>
      </c>
      <c r="BI331" s="389">
        <v>0</v>
      </c>
      <c r="BJ331" s="516">
        <v>0</v>
      </c>
      <c r="BK331" s="516">
        <v>0</v>
      </c>
      <c r="BL331" s="516">
        <v>0</v>
      </c>
      <c r="BM331" s="516">
        <v>0</v>
      </c>
      <c r="BN331" s="409">
        <v>0</v>
      </c>
      <c r="BO331" s="207">
        <v>0</v>
      </c>
      <c r="BP331" s="389">
        <v>0</v>
      </c>
      <c r="BQ331" s="389">
        <v>0</v>
      </c>
      <c r="BR331" s="389">
        <v>0</v>
      </c>
      <c r="BS331" s="296">
        <v>0</v>
      </c>
      <c r="BT331" s="296">
        <v>0</v>
      </c>
      <c r="BU331" s="296">
        <v>0</v>
      </c>
      <c r="BV331" s="409">
        <v>0</v>
      </c>
      <c r="BW331" s="296">
        <f t="shared" si="1650"/>
        <v>0</v>
      </c>
      <c r="BX331" s="442" t="s">
        <v>1471</v>
      </c>
    </row>
    <row r="332" spans="1:76" ht="87" hidden="1" customHeight="1" outlineLevel="1" x14ac:dyDescent="0.25">
      <c r="A332" s="678">
        <v>16</v>
      </c>
      <c r="B332" s="702" t="s">
        <v>210</v>
      </c>
      <c r="C332" s="692" t="s">
        <v>210</v>
      </c>
      <c r="D332" s="63">
        <v>44369</v>
      </c>
      <c r="E332" s="463" t="s">
        <v>1478</v>
      </c>
      <c r="F332" s="558" t="s">
        <v>1479</v>
      </c>
      <c r="G332" s="71" t="s">
        <v>211</v>
      </c>
      <c r="H332" s="311" t="s">
        <v>127</v>
      </c>
      <c r="I332" s="335"/>
      <c r="J332" s="294">
        <f t="shared" si="1633"/>
        <v>0</v>
      </c>
      <c r="K332" s="52">
        <f t="shared" si="1634"/>
        <v>0</v>
      </c>
      <c r="L332" s="52">
        <f t="shared" si="1635"/>
        <v>1.0988785504407444E-4</v>
      </c>
      <c r="M332" s="52">
        <f t="shared" si="1588"/>
        <v>1.1447051164869078E-4</v>
      </c>
      <c r="N332" s="52">
        <f t="shared" si="1589"/>
        <v>1.0007741254587002E-4</v>
      </c>
      <c r="O332" s="52">
        <f t="shared" si="1590"/>
        <v>0</v>
      </c>
      <c r="P332" s="52">
        <f t="shared" si="1591"/>
        <v>0</v>
      </c>
      <c r="Q332" s="52">
        <f t="shared" si="1592"/>
        <v>0</v>
      </c>
      <c r="R332" s="52">
        <f t="shared" si="1593"/>
        <v>0</v>
      </c>
      <c r="S332" s="527">
        <f t="shared" si="1636"/>
        <v>0</v>
      </c>
      <c r="T332" s="533">
        <f t="shared" si="1624"/>
        <v>0</v>
      </c>
      <c r="U332" s="375">
        <f t="shared" si="1637"/>
        <v>0</v>
      </c>
      <c r="V332" s="375">
        <f t="shared" si="1638"/>
        <v>-1.0988785504407444E-4</v>
      </c>
      <c r="W332" s="386">
        <f t="shared" si="1639"/>
        <v>0</v>
      </c>
      <c r="X332" s="386">
        <f t="shared" si="1640"/>
        <v>-1.1447051164869078E-4</v>
      </c>
      <c r="Y332" s="386">
        <f t="shared" si="1628"/>
        <v>-1.1447051164869078E-4</v>
      </c>
      <c r="Z332" s="375">
        <f t="shared" si="1598"/>
        <v>-1.0007741254587002E-4</v>
      </c>
      <c r="AA332" s="375">
        <f t="shared" si="1641"/>
        <v>0</v>
      </c>
      <c r="AB332" s="386">
        <f t="shared" si="1642"/>
        <v>0</v>
      </c>
      <c r="AC332" s="386">
        <f t="shared" si="1601"/>
        <v>0</v>
      </c>
      <c r="AD332" s="386">
        <f t="shared" si="1602"/>
        <v>0</v>
      </c>
      <c r="AE332" s="386">
        <f t="shared" si="1603"/>
        <v>0</v>
      </c>
      <c r="AF332" s="386">
        <f t="shared" si="1604"/>
        <v>0</v>
      </c>
      <c r="AG332" s="375">
        <f t="shared" si="1605"/>
        <v>0</v>
      </c>
      <c r="AH332" s="375">
        <f t="shared" si="1606"/>
        <v>0</v>
      </c>
      <c r="AI332" s="386">
        <f t="shared" si="1607"/>
        <v>0</v>
      </c>
      <c r="AJ332" s="386">
        <f t="shared" si="1608"/>
        <v>0</v>
      </c>
      <c r="AK332" s="386">
        <f t="shared" si="1609"/>
        <v>0</v>
      </c>
      <c r="AL332" s="377">
        <f t="shared" si="1610"/>
        <v>0</v>
      </c>
      <c r="AM332" s="377">
        <f t="shared" si="1611"/>
        <v>0</v>
      </c>
      <c r="AN332" s="377">
        <f t="shared" si="1612"/>
        <v>0</v>
      </c>
      <c r="AO332" s="283"/>
      <c r="AP332" s="295">
        <f t="shared" si="1643"/>
        <v>3.3613580000000001</v>
      </c>
      <c r="AQ332" s="20">
        <f t="shared" si="1647"/>
        <v>0</v>
      </c>
      <c r="AR332" s="95">
        <f t="shared" si="1648"/>
        <v>0</v>
      </c>
      <c r="AS332" s="94">
        <f t="shared" si="1651"/>
        <v>3.5902560000000001</v>
      </c>
      <c r="AT332" s="94">
        <f t="shared" si="1613"/>
        <v>3.5902560000000001</v>
      </c>
      <c r="AU332" s="94">
        <f t="shared" si="1614"/>
        <v>3.3613580000000001</v>
      </c>
      <c r="AV332" s="94">
        <f t="shared" si="1615"/>
        <v>0</v>
      </c>
      <c r="AW332" s="94">
        <f t="shared" si="1616"/>
        <v>0</v>
      </c>
      <c r="AX332" s="94">
        <f t="shared" si="1617"/>
        <v>0</v>
      </c>
      <c r="AY332" s="94">
        <f t="shared" si="1618"/>
        <v>0</v>
      </c>
      <c r="AZ332" s="433">
        <f t="shared" si="1619"/>
        <v>0</v>
      </c>
      <c r="BA332" s="657">
        <v>0</v>
      </c>
      <c r="BB332" s="327">
        <v>0</v>
      </c>
      <c r="BC332" s="207">
        <v>-3.5902560000000001</v>
      </c>
      <c r="BD332" s="389">
        <v>0</v>
      </c>
      <c r="BE332" s="389">
        <v>-3.5902560000000001</v>
      </c>
      <c r="BF332" s="516">
        <v>-3.5902560000000001</v>
      </c>
      <c r="BG332" s="207">
        <f>-0.082-0.910448-0.058588-0.631998-0.849694-0.82863</f>
        <v>-3.3613580000000001</v>
      </c>
      <c r="BH332" s="207">
        <v>0</v>
      </c>
      <c r="BI332" s="389">
        <v>0</v>
      </c>
      <c r="BJ332" s="516">
        <v>0</v>
      </c>
      <c r="BK332" s="516">
        <v>0</v>
      </c>
      <c r="BL332" s="516">
        <v>0</v>
      </c>
      <c r="BM332" s="516">
        <v>0</v>
      </c>
      <c r="BN332" s="409">
        <v>0</v>
      </c>
      <c r="BO332" s="207">
        <v>0</v>
      </c>
      <c r="BP332" s="389">
        <v>0</v>
      </c>
      <c r="BQ332" s="389">
        <v>0</v>
      </c>
      <c r="BR332" s="389">
        <v>0</v>
      </c>
      <c r="BS332" s="296">
        <v>0</v>
      </c>
      <c r="BT332" s="296">
        <v>0</v>
      </c>
      <c r="BU332" s="296">
        <v>0</v>
      </c>
      <c r="BV332" s="409">
        <v>0</v>
      </c>
      <c r="BW332" s="296">
        <f t="shared" si="1650"/>
        <v>0</v>
      </c>
      <c r="BX332" s="442" t="s">
        <v>1580</v>
      </c>
    </row>
    <row r="333" spans="1:76" ht="72.599999999999994" hidden="1" customHeight="1" outlineLevel="1" x14ac:dyDescent="0.25">
      <c r="A333" s="678">
        <v>17</v>
      </c>
      <c r="B333" s="702" t="s">
        <v>210</v>
      </c>
      <c r="C333" s="692" t="s">
        <v>210</v>
      </c>
      <c r="D333" s="63">
        <v>44375</v>
      </c>
      <c r="E333" s="463" t="s">
        <v>1499</v>
      </c>
      <c r="F333" s="558" t="s">
        <v>1485</v>
      </c>
      <c r="G333" s="71" t="s">
        <v>211</v>
      </c>
      <c r="H333" s="311" t="s">
        <v>127</v>
      </c>
      <c r="I333" s="335"/>
      <c r="J333" s="294">
        <f t="shared" si="1633"/>
        <v>0</v>
      </c>
      <c r="K333" s="52">
        <f t="shared" si="1634"/>
        <v>0</v>
      </c>
      <c r="L333" s="52">
        <f t="shared" si="1635"/>
        <v>3.060724779627816E-5</v>
      </c>
      <c r="M333" s="52">
        <f t="shared" si="1588"/>
        <v>3.1883662794154731E-5</v>
      </c>
      <c r="N333" s="52">
        <f t="shared" si="1589"/>
        <v>2.3990952131441211E-5</v>
      </c>
      <c r="O333" s="52">
        <f t="shared" si="1590"/>
        <v>0</v>
      </c>
      <c r="P333" s="52">
        <f t="shared" si="1591"/>
        <v>0</v>
      </c>
      <c r="Q333" s="52">
        <f t="shared" si="1592"/>
        <v>0</v>
      </c>
      <c r="R333" s="52">
        <f t="shared" si="1593"/>
        <v>0</v>
      </c>
      <c r="S333" s="527">
        <f t="shared" si="1636"/>
        <v>0</v>
      </c>
      <c r="T333" s="533">
        <f t="shared" si="1624"/>
        <v>0</v>
      </c>
      <c r="U333" s="375">
        <f t="shared" si="1637"/>
        <v>0</v>
      </c>
      <c r="V333" s="375">
        <f t="shared" si="1638"/>
        <v>-3.060724779627816E-5</v>
      </c>
      <c r="W333" s="386">
        <f t="shared" si="1639"/>
        <v>0</v>
      </c>
      <c r="X333" s="386">
        <f t="shared" si="1640"/>
        <v>-3.1883662794154731E-5</v>
      </c>
      <c r="Y333" s="386">
        <f t="shared" si="1628"/>
        <v>-3.1883662794154731E-5</v>
      </c>
      <c r="Z333" s="375">
        <f t="shared" si="1598"/>
        <v>-2.3990952131441211E-5</v>
      </c>
      <c r="AA333" s="375">
        <f t="shared" si="1641"/>
        <v>0</v>
      </c>
      <c r="AB333" s="386">
        <f t="shared" si="1642"/>
        <v>0</v>
      </c>
      <c r="AC333" s="386">
        <f t="shared" si="1601"/>
        <v>0</v>
      </c>
      <c r="AD333" s="386">
        <f t="shared" si="1602"/>
        <v>0</v>
      </c>
      <c r="AE333" s="386">
        <f t="shared" si="1603"/>
        <v>0</v>
      </c>
      <c r="AF333" s="386">
        <f t="shared" si="1604"/>
        <v>0</v>
      </c>
      <c r="AG333" s="375">
        <f t="shared" si="1605"/>
        <v>0</v>
      </c>
      <c r="AH333" s="375">
        <f t="shared" si="1606"/>
        <v>0</v>
      </c>
      <c r="AI333" s="386">
        <f t="shared" si="1607"/>
        <v>0</v>
      </c>
      <c r="AJ333" s="386">
        <f t="shared" si="1608"/>
        <v>0</v>
      </c>
      <c r="AK333" s="386">
        <f t="shared" si="1609"/>
        <v>0</v>
      </c>
      <c r="AL333" s="377">
        <f t="shared" si="1610"/>
        <v>0</v>
      </c>
      <c r="AM333" s="377">
        <f t="shared" si="1611"/>
        <v>0</v>
      </c>
      <c r="AN333" s="377">
        <f t="shared" si="1612"/>
        <v>0</v>
      </c>
      <c r="AO333" s="283"/>
      <c r="AP333" s="295">
        <f t="shared" si="1643"/>
        <v>0.80579800000000001</v>
      </c>
      <c r="AQ333" s="20">
        <f t="shared" si="1647"/>
        <v>0</v>
      </c>
      <c r="AR333" s="95">
        <f t="shared" si="1648"/>
        <v>0</v>
      </c>
      <c r="AS333" s="94">
        <f t="shared" si="1651"/>
        <v>1</v>
      </c>
      <c r="AT333" s="94">
        <f t="shared" si="1613"/>
        <v>1</v>
      </c>
      <c r="AU333" s="94">
        <f t="shared" si="1614"/>
        <v>0.80579800000000001</v>
      </c>
      <c r="AV333" s="94">
        <f t="shared" si="1615"/>
        <v>0</v>
      </c>
      <c r="AW333" s="94">
        <f t="shared" si="1616"/>
        <v>0</v>
      </c>
      <c r="AX333" s="94">
        <f t="shared" si="1617"/>
        <v>0</v>
      </c>
      <c r="AY333" s="94">
        <f t="shared" si="1618"/>
        <v>0</v>
      </c>
      <c r="AZ333" s="433">
        <f t="shared" si="1619"/>
        <v>0</v>
      </c>
      <c r="BA333" s="657">
        <v>0</v>
      </c>
      <c r="BB333" s="327">
        <v>0</v>
      </c>
      <c r="BC333" s="207">
        <v>-1</v>
      </c>
      <c r="BD333" s="389">
        <v>0</v>
      </c>
      <c r="BE333" s="389">
        <v>-1</v>
      </c>
      <c r="BF333" s="516">
        <v>-1</v>
      </c>
      <c r="BG333" s="207">
        <f>-0.63974-0.166058</f>
        <v>-0.80579800000000001</v>
      </c>
      <c r="BH333" s="207">
        <v>0</v>
      </c>
      <c r="BI333" s="389">
        <v>0</v>
      </c>
      <c r="BJ333" s="516">
        <v>0</v>
      </c>
      <c r="BK333" s="516">
        <v>0</v>
      </c>
      <c r="BL333" s="516">
        <v>0</v>
      </c>
      <c r="BM333" s="516">
        <v>0</v>
      </c>
      <c r="BN333" s="409">
        <v>0</v>
      </c>
      <c r="BO333" s="207">
        <v>0</v>
      </c>
      <c r="BP333" s="389">
        <v>0</v>
      </c>
      <c r="BQ333" s="389">
        <v>0</v>
      </c>
      <c r="BR333" s="389">
        <v>0</v>
      </c>
      <c r="BS333" s="296">
        <v>0</v>
      </c>
      <c r="BT333" s="296">
        <v>0</v>
      </c>
      <c r="BU333" s="296">
        <v>0</v>
      </c>
      <c r="BV333" s="409">
        <v>0</v>
      </c>
      <c r="BW333" s="296">
        <f t="shared" si="1650"/>
        <v>0</v>
      </c>
      <c r="BX333" s="442" t="s">
        <v>1486</v>
      </c>
    </row>
    <row r="334" spans="1:76" ht="43.5" hidden="1" customHeight="1" outlineLevel="1" x14ac:dyDescent="0.25">
      <c r="A334" s="678">
        <v>18</v>
      </c>
      <c r="B334" s="702" t="s">
        <v>210</v>
      </c>
      <c r="C334" s="692" t="s">
        <v>210</v>
      </c>
      <c r="D334" s="63">
        <v>44383</v>
      </c>
      <c r="E334" s="463" t="s">
        <v>1484</v>
      </c>
      <c r="F334" s="558" t="s">
        <v>1485</v>
      </c>
      <c r="G334" s="71" t="s">
        <v>211</v>
      </c>
      <c r="H334" s="311" t="s">
        <v>127</v>
      </c>
      <c r="I334" s="335"/>
      <c r="J334" s="294">
        <f t="shared" si="1633"/>
        <v>0</v>
      </c>
      <c r="K334" s="52">
        <f t="shared" si="1634"/>
        <v>0</v>
      </c>
      <c r="L334" s="52">
        <f t="shared" si="1635"/>
        <v>1.9580680705190987E-5</v>
      </c>
      <c r="M334" s="52">
        <f t="shared" si="1588"/>
        <v>2.0397254435932546E-5</v>
      </c>
      <c r="N334" s="52">
        <f t="shared" si="1589"/>
        <v>1.8972817302491497E-5</v>
      </c>
      <c r="O334" s="52">
        <f t="shared" si="1590"/>
        <v>0</v>
      </c>
      <c r="P334" s="52">
        <f t="shared" si="1591"/>
        <v>0</v>
      </c>
      <c r="Q334" s="52">
        <f t="shared" si="1592"/>
        <v>0</v>
      </c>
      <c r="R334" s="52">
        <f t="shared" si="1593"/>
        <v>0</v>
      </c>
      <c r="S334" s="527">
        <f t="shared" si="1636"/>
        <v>0</v>
      </c>
      <c r="T334" s="533">
        <f t="shared" si="1624"/>
        <v>0</v>
      </c>
      <c r="U334" s="375">
        <f t="shared" si="1637"/>
        <v>0</v>
      </c>
      <c r="V334" s="375">
        <f t="shared" si="1638"/>
        <v>-1.9580680705190987E-5</v>
      </c>
      <c r="W334" s="386">
        <f t="shared" si="1639"/>
        <v>0</v>
      </c>
      <c r="X334" s="386">
        <f t="shared" si="1640"/>
        <v>-2.0397254435932546E-5</v>
      </c>
      <c r="Y334" s="386">
        <f t="shared" si="1628"/>
        <v>-2.0397254435932546E-5</v>
      </c>
      <c r="Z334" s="375">
        <f t="shared" si="1598"/>
        <v>-1.8972817302491497E-5</v>
      </c>
      <c r="AA334" s="375">
        <f t="shared" si="1641"/>
        <v>0</v>
      </c>
      <c r="AB334" s="386">
        <f t="shared" si="1642"/>
        <v>0</v>
      </c>
      <c r="AC334" s="386">
        <f t="shared" si="1601"/>
        <v>0</v>
      </c>
      <c r="AD334" s="386">
        <f t="shared" si="1602"/>
        <v>0</v>
      </c>
      <c r="AE334" s="386">
        <f t="shared" si="1603"/>
        <v>0</v>
      </c>
      <c r="AF334" s="386">
        <f t="shared" si="1604"/>
        <v>0</v>
      </c>
      <c r="AG334" s="375">
        <f t="shared" si="1605"/>
        <v>0</v>
      </c>
      <c r="AH334" s="375">
        <f t="shared" si="1606"/>
        <v>0</v>
      </c>
      <c r="AI334" s="386">
        <f t="shared" si="1607"/>
        <v>0</v>
      </c>
      <c r="AJ334" s="386">
        <f t="shared" si="1608"/>
        <v>0</v>
      </c>
      <c r="AK334" s="386">
        <f t="shared" si="1609"/>
        <v>0</v>
      </c>
      <c r="AL334" s="377">
        <f t="shared" si="1610"/>
        <v>0</v>
      </c>
      <c r="AM334" s="377">
        <f t="shared" si="1611"/>
        <v>0</v>
      </c>
      <c r="AN334" s="377">
        <f t="shared" si="1612"/>
        <v>0</v>
      </c>
      <c r="AO334" s="283"/>
      <c r="AP334" s="295">
        <f t="shared" si="1643"/>
        <v>0.63725100000000001</v>
      </c>
      <c r="AQ334" s="20">
        <f t="shared" si="1647"/>
        <v>0</v>
      </c>
      <c r="AR334" s="95">
        <f t="shared" si="1648"/>
        <v>0</v>
      </c>
      <c r="AS334" s="94">
        <f t="shared" si="1651"/>
        <v>0.63973999999999998</v>
      </c>
      <c r="AT334" s="94">
        <f t="shared" si="1613"/>
        <v>0.63973999999999998</v>
      </c>
      <c r="AU334" s="94">
        <f t="shared" si="1614"/>
        <v>0.63725100000000001</v>
      </c>
      <c r="AV334" s="94">
        <f t="shared" si="1615"/>
        <v>0</v>
      </c>
      <c r="AW334" s="94">
        <f t="shared" si="1616"/>
        <v>0</v>
      </c>
      <c r="AX334" s="94">
        <f t="shared" si="1617"/>
        <v>0</v>
      </c>
      <c r="AY334" s="94">
        <f t="shared" si="1618"/>
        <v>0</v>
      </c>
      <c r="AZ334" s="433">
        <f t="shared" si="1619"/>
        <v>0</v>
      </c>
      <c r="BA334" s="657">
        <v>0</v>
      </c>
      <c r="BB334" s="327">
        <v>0</v>
      </c>
      <c r="BC334" s="207">
        <f>-0.63974</f>
        <v>-0.63973999999999998</v>
      </c>
      <c r="BD334" s="389">
        <v>0</v>
      </c>
      <c r="BE334" s="389">
        <v>-0.63973999999999998</v>
      </c>
      <c r="BF334" s="516">
        <v>-0.63973999999999998</v>
      </c>
      <c r="BG334" s="207">
        <f>-0.584251-0.053</f>
        <v>-0.63725100000000001</v>
      </c>
      <c r="BH334" s="207">
        <v>0</v>
      </c>
      <c r="BI334" s="389">
        <v>0</v>
      </c>
      <c r="BJ334" s="516">
        <v>0</v>
      </c>
      <c r="BK334" s="516">
        <v>0</v>
      </c>
      <c r="BL334" s="516">
        <v>0</v>
      </c>
      <c r="BM334" s="516">
        <v>0</v>
      </c>
      <c r="BN334" s="409">
        <v>0</v>
      </c>
      <c r="BO334" s="207">
        <v>0</v>
      </c>
      <c r="BP334" s="389">
        <v>0</v>
      </c>
      <c r="BQ334" s="389">
        <v>0</v>
      </c>
      <c r="BR334" s="389">
        <v>0</v>
      </c>
      <c r="BS334" s="296">
        <v>0</v>
      </c>
      <c r="BT334" s="296">
        <v>0</v>
      </c>
      <c r="BU334" s="296">
        <v>0</v>
      </c>
      <c r="BV334" s="409">
        <v>0</v>
      </c>
      <c r="BW334" s="296">
        <f t="shared" si="1650"/>
        <v>0</v>
      </c>
      <c r="BX334" s="442" t="s">
        <v>1500</v>
      </c>
    </row>
    <row r="335" spans="1:76" ht="72.599999999999994" hidden="1" customHeight="1" outlineLevel="1" x14ac:dyDescent="0.25">
      <c r="A335" s="678">
        <v>19</v>
      </c>
      <c r="B335" s="702" t="s">
        <v>210</v>
      </c>
      <c r="C335" s="692" t="s">
        <v>210</v>
      </c>
      <c r="D335" s="63">
        <v>44368</v>
      </c>
      <c r="E335" s="463" t="s">
        <v>1512</v>
      </c>
      <c r="F335" s="558" t="s">
        <v>1513</v>
      </c>
      <c r="G335" s="71" t="s">
        <v>211</v>
      </c>
      <c r="H335" s="311" t="s">
        <v>171</v>
      </c>
      <c r="I335" s="335"/>
      <c r="J335" s="294">
        <f t="shared" si="1633"/>
        <v>0</v>
      </c>
      <c r="K335" s="52">
        <f t="shared" si="1634"/>
        <v>0</v>
      </c>
      <c r="L335" s="52">
        <f t="shared" si="1635"/>
        <v>5.8418707149853081E-5</v>
      </c>
      <c r="M335" s="52">
        <f t="shared" si="1588"/>
        <v>6.0854944294040182E-5</v>
      </c>
      <c r="N335" s="52">
        <f t="shared" si="1589"/>
        <v>5.6826245202132613E-5</v>
      </c>
      <c r="O335" s="52">
        <f t="shared" si="1590"/>
        <v>0</v>
      </c>
      <c r="P335" s="52">
        <f t="shared" si="1591"/>
        <v>0</v>
      </c>
      <c r="Q335" s="52">
        <f t="shared" si="1592"/>
        <v>0</v>
      </c>
      <c r="R335" s="52">
        <f t="shared" si="1593"/>
        <v>0</v>
      </c>
      <c r="S335" s="527">
        <f t="shared" si="1636"/>
        <v>0</v>
      </c>
      <c r="T335" s="533">
        <f t="shared" si="1624"/>
        <v>0</v>
      </c>
      <c r="U335" s="375">
        <f t="shared" si="1637"/>
        <v>0</v>
      </c>
      <c r="V335" s="375">
        <f t="shared" si="1638"/>
        <v>-5.8418707149853081E-5</v>
      </c>
      <c r="W335" s="386">
        <f t="shared" si="1639"/>
        <v>0</v>
      </c>
      <c r="X335" s="386">
        <f t="shared" si="1640"/>
        <v>-6.0854944294040182E-5</v>
      </c>
      <c r="Y335" s="386">
        <f t="shared" si="1628"/>
        <v>-6.0854944294040182E-5</v>
      </c>
      <c r="Z335" s="375">
        <f t="shared" si="1598"/>
        <v>-5.6826245202132613E-5</v>
      </c>
      <c r="AA335" s="375">
        <f t="shared" si="1641"/>
        <v>0</v>
      </c>
      <c r="AB335" s="386">
        <f t="shared" si="1642"/>
        <v>0</v>
      </c>
      <c r="AC335" s="386">
        <f t="shared" si="1601"/>
        <v>0</v>
      </c>
      <c r="AD335" s="386">
        <f t="shared" si="1602"/>
        <v>0</v>
      </c>
      <c r="AE335" s="386">
        <f t="shared" si="1603"/>
        <v>0</v>
      </c>
      <c r="AF335" s="386">
        <f t="shared" si="1604"/>
        <v>0</v>
      </c>
      <c r="AG335" s="375">
        <f t="shared" si="1605"/>
        <v>0</v>
      </c>
      <c r="AH335" s="375">
        <f t="shared" si="1606"/>
        <v>0</v>
      </c>
      <c r="AI335" s="386">
        <f t="shared" si="1607"/>
        <v>0</v>
      </c>
      <c r="AJ335" s="386">
        <f t="shared" si="1608"/>
        <v>0</v>
      </c>
      <c r="AK335" s="386">
        <f t="shared" si="1609"/>
        <v>0</v>
      </c>
      <c r="AL335" s="377">
        <f t="shared" si="1610"/>
        <v>0</v>
      </c>
      <c r="AM335" s="377">
        <f t="shared" si="1611"/>
        <v>0</v>
      </c>
      <c r="AN335" s="377">
        <f t="shared" si="1612"/>
        <v>0</v>
      </c>
      <c r="AO335" s="283"/>
      <c r="AP335" s="295">
        <f t="shared" si="1643"/>
        <v>1.9086559999999999</v>
      </c>
      <c r="AQ335" s="20">
        <f t="shared" si="1647"/>
        <v>0</v>
      </c>
      <c r="AR335" s="95">
        <f t="shared" si="1648"/>
        <v>0</v>
      </c>
      <c r="AS335" s="94">
        <f t="shared" ref="AS335:AS345" si="1652">-BC335</f>
        <v>1.9086559999999999</v>
      </c>
      <c r="AT335" s="94">
        <f t="shared" si="1613"/>
        <v>1.9086559999999999</v>
      </c>
      <c r="AU335" s="94">
        <f t="shared" si="1614"/>
        <v>1.9086559999999999</v>
      </c>
      <c r="AV335" s="94">
        <f t="shared" si="1615"/>
        <v>0</v>
      </c>
      <c r="AW335" s="94">
        <f t="shared" ref="AW335:AW345" si="1653">-BH335</f>
        <v>0</v>
      </c>
      <c r="AX335" s="94">
        <f t="shared" si="1617"/>
        <v>0</v>
      </c>
      <c r="AY335" s="94">
        <f t="shared" ref="AY335:AY345" si="1654">-BO335</f>
        <v>0</v>
      </c>
      <c r="AZ335" s="433">
        <f t="shared" ref="AZ335:AZ345" si="1655">-BU335</f>
        <v>0</v>
      </c>
      <c r="BA335" s="657">
        <v>0</v>
      </c>
      <c r="BB335" s="327">
        <v>0</v>
      </c>
      <c r="BC335" s="207">
        <v>-1.9086559999999999</v>
      </c>
      <c r="BD335" s="389">
        <v>0</v>
      </c>
      <c r="BE335" s="389">
        <v>-1.9086559999999999</v>
      </c>
      <c r="BF335" s="516">
        <v>-1.9086559999999999</v>
      </c>
      <c r="BG335" s="207">
        <f>-1.908656</f>
        <v>-1.9086559999999999</v>
      </c>
      <c r="BH335" s="207">
        <v>0</v>
      </c>
      <c r="BI335" s="389">
        <v>0</v>
      </c>
      <c r="BJ335" s="516">
        <v>0</v>
      </c>
      <c r="BK335" s="516">
        <v>0</v>
      </c>
      <c r="BL335" s="516">
        <v>0</v>
      </c>
      <c r="BM335" s="516">
        <v>0</v>
      </c>
      <c r="BN335" s="409">
        <v>0</v>
      </c>
      <c r="BO335" s="207">
        <v>0</v>
      </c>
      <c r="BP335" s="389">
        <v>0</v>
      </c>
      <c r="BQ335" s="389">
        <v>0</v>
      </c>
      <c r="BR335" s="389">
        <v>0</v>
      </c>
      <c r="BS335" s="296">
        <v>0</v>
      </c>
      <c r="BT335" s="296">
        <v>0</v>
      </c>
      <c r="BU335" s="296">
        <v>0</v>
      </c>
      <c r="BV335" s="409">
        <v>0</v>
      </c>
      <c r="BW335" s="296">
        <f t="shared" si="1650"/>
        <v>0</v>
      </c>
      <c r="BX335" s="442" t="s">
        <v>1514</v>
      </c>
    </row>
    <row r="336" spans="1:76" ht="57.95" hidden="1" customHeight="1" outlineLevel="1" x14ac:dyDescent="0.25">
      <c r="A336" s="678">
        <v>20</v>
      </c>
      <c r="B336" s="702" t="s">
        <v>210</v>
      </c>
      <c r="C336" s="692" t="s">
        <v>210</v>
      </c>
      <c r="D336" s="63">
        <v>44417</v>
      </c>
      <c r="E336" s="463">
        <v>260</v>
      </c>
      <c r="F336" s="558" t="s">
        <v>1632</v>
      </c>
      <c r="G336" s="71" t="s">
        <v>211</v>
      </c>
      <c r="H336" s="311" t="s">
        <v>127</v>
      </c>
      <c r="I336" s="335"/>
      <c r="J336" s="294">
        <f t="shared" si="1633"/>
        <v>0</v>
      </c>
      <c r="K336" s="52">
        <f t="shared" si="1634"/>
        <v>0</v>
      </c>
      <c r="L336" s="52">
        <f t="shared" si="1635"/>
        <v>6.32697110675808E-5</v>
      </c>
      <c r="M336" s="52">
        <f t="shared" si="1588"/>
        <v>6.5908249777611361E-5</v>
      </c>
      <c r="N336" s="52">
        <f t="shared" si="1589"/>
        <v>6.1390819505031903E-5</v>
      </c>
      <c r="O336" s="52">
        <f t="shared" si="1590"/>
        <v>0</v>
      </c>
      <c r="P336" s="52">
        <f t="shared" si="1591"/>
        <v>0</v>
      </c>
      <c r="Q336" s="52">
        <f t="shared" si="1592"/>
        <v>0</v>
      </c>
      <c r="R336" s="52">
        <f t="shared" si="1593"/>
        <v>0</v>
      </c>
      <c r="S336" s="527">
        <f t="shared" si="1636"/>
        <v>0</v>
      </c>
      <c r="T336" s="533">
        <f t="shared" si="1624"/>
        <v>0</v>
      </c>
      <c r="U336" s="375">
        <f t="shared" si="1637"/>
        <v>0</v>
      </c>
      <c r="V336" s="375">
        <f t="shared" si="1638"/>
        <v>-6.32697110675808E-5</v>
      </c>
      <c r="W336" s="386">
        <f t="shared" si="1639"/>
        <v>0</v>
      </c>
      <c r="X336" s="386">
        <f t="shared" si="1640"/>
        <v>0</v>
      </c>
      <c r="Y336" s="386">
        <f t="shared" si="1628"/>
        <v>0</v>
      </c>
      <c r="Z336" s="375">
        <f t="shared" si="1598"/>
        <v>-6.1390819505031903E-5</v>
      </c>
      <c r="AA336" s="375">
        <f t="shared" si="1641"/>
        <v>0</v>
      </c>
      <c r="AB336" s="386">
        <f t="shared" si="1642"/>
        <v>0</v>
      </c>
      <c r="AC336" s="386">
        <f t="shared" si="1601"/>
        <v>0</v>
      </c>
      <c r="AD336" s="386">
        <f t="shared" si="1602"/>
        <v>0</v>
      </c>
      <c r="AE336" s="386">
        <f t="shared" si="1603"/>
        <v>0</v>
      </c>
      <c r="AF336" s="386">
        <f t="shared" si="1604"/>
        <v>0</v>
      </c>
      <c r="AG336" s="375">
        <f t="shared" si="1605"/>
        <v>0</v>
      </c>
      <c r="AH336" s="375">
        <f t="shared" si="1606"/>
        <v>0</v>
      </c>
      <c r="AI336" s="386">
        <f t="shared" si="1607"/>
        <v>0</v>
      </c>
      <c r="AJ336" s="386">
        <f t="shared" si="1608"/>
        <v>0</v>
      </c>
      <c r="AK336" s="386">
        <f t="shared" si="1609"/>
        <v>0</v>
      </c>
      <c r="AL336" s="377">
        <f t="shared" si="1610"/>
        <v>0</v>
      </c>
      <c r="AM336" s="377">
        <f t="shared" si="1611"/>
        <v>0</v>
      </c>
      <c r="AN336" s="377">
        <f t="shared" si="1612"/>
        <v>0</v>
      </c>
      <c r="AO336" s="283"/>
      <c r="AP336" s="295">
        <f t="shared" si="1643"/>
        <v>2.0619689999999999</v>
      </c>
      <c r="AQ336" s="20">
        <f t="shared" ref="AQ336:AQ344" si="1656">-BA336</f>
        <v>0</v>
      </c>
      <c r="AR336" s="95">
        <f t="shared" ref="AR336:AR344" si="1657">-BB336</f>
        <v>0</v>
      </c>
      <c r="AS336" s="94">
        <f t="shared" ref="AS336:AS344" si="1658">-BC336</f>
        <v>2.067148</v>
      </c>
      <c r="AT336" s="94">
        <f t="shared" si="1613"/>
        <v>2.067148</v>
      </c>
      <c r="AU336" s="94">
        <f t="shared" si="1614"/>
        <v>2.0619689999999999</v>
      </c>
      <c r="AV336" s="94">
        <f t="shared" si="1615"/>
        <v>0</v>
      </c>
      <c r="AW336" s="94">
        <f t="shared" ref="AW336:AW344" si="1659">-BH336</f>
        <v>0</v>
      </c>
      <c r="AX336" s="94">
        <f t="shared" si="1617"/>
        <v>0</v>
      </c>
      <c r="AY336" s="94">
        <f t="shared" ref="AY336:AY344" si="1660">-BO336</f>
        <v>0</v>
      </c>
      <c r="AZ336" s="433">
        <f t="shared" ref="AZ336:AZ344" si="1661">-BU336</f>
        <v>0</v>
      </c>
      <c r="BA336" s="657">
        <v>0</v>
      </c>
      <c r="BB336" s="327">
        <v>0</v>
      </c>
      <c r="BC336" s="207">
        <f>-2.067148</f>
        <v>-2.067148</v>
      </c>
      <c r="BD336" s="389">
        <v>0</v>
      </c>
      <c r="BE336" s="389">
        <v>0</v>
      </c>
      <c r="BF336" s="516">
        <v>0</v>
      </c>
      <c r="BG336" s="207">
        <f>-2.061969</f>
        <v>-2.0619689999999999</v>
      </c>
      <c r="BH336" s="207">
        <v>0</v>
      </c>
      <c r="BI336" s="389">
        <v>0</v>
      </c>
      <c r="BJ336" s="516">
        <v>0</v>
      </c>
      <c r="BK336" s="516">
        <v>0</v>
      </c>
      <c r="BL336" s="516">
        <v>0</v>
      </c>
      <c r="BM336" s="516">
        <v>0</v>
      </c>
      <c r="BN336" s="409">
        <v>0</v>
      </c>
      <c r="BO336" s="207">
        <v>0</v>
      </c>
      <c r="BP336" s="389">
        <v>0</v>
      </c>
      <c r="BQ336" s="389">
        <v>0</v>
      </c>
      <c r="BR336" s="389">
        <v>0</v>
      </c>
      <c r="BS336" s="296">
        <v>0</v>
      </c>
      <c r="BT336" s="296">
        <v>0</v>
      </c>
      <c r="BU336" s="296">
        <v>0</v>
      </c>
      <c r="BV336" s="409">
        <v>0</v>
      </c>
      <c r="BW336" s="296">
        <f t="shared" ref="BW336:BW344" si="1662">-BV336</f>
        <v>0</v>
      </c>
      <c r="BX336" s="442" t="s">
        <v>1565</v>
      </c>
    </row>
    <row r="337" spans="1:76" ht="43.5" hidden="1" customHeight="1" outlineLevel="1" x14ac:dyDescent="0.25">
      <c r="A337" s="678">
        <v>21</v>
      </c>
      <c r="B337" s="702" t="s">
        <v>210</v>
      </c>
      <c r="C337" s="692" t="s">
        <v>210</v>
      </c>
      <c r="D337" s="63">
        <v>44425</v>
      </c>
      <c r="E337" s="463" t="s">
        <v>1631</v>
      </c>
      <c r="F337" s="558" t="s">
        <v>1633</v>
      </c>
      <c r="G337" s="71" t="s">
        <v>211</v>
      </c>
      <c r="H337" s="311" t="s">
        <v>127</v>
      </c>
      <c r="I337" s="335"/>
      <c r="J337" s="294">
        <f t="shared" ref="J337:J340" si="1663">AQ337/T$8</f>
        <v>0</v>
      </c>
      <c r="K337" s="52">
        <f t="shared" ref="K337:K344" si="1664">AR337/U$8</f>
        <v>0</v>
      </c>
      <c r="L337" s="52">
        <f t="shared" ref="L337:L344" si="1665">AS337/V$8</f>
        <v>6.6429970617042105E-8</v>
      </c>
      <c r="M337" s="52">
        <f t="shared" si="1588"/>
        <v>6.920030172843341E-8</v>
      </c>
      <c r="N337" s="52">
        <f t="shared" si="1589"/>
        <v>6.4619126016793297E-7</v>
      </c>
      <c r="O337" s="52">
        <f t="shared" si="1590"/>
        <v>0</v>
      </c>
      <c r="P337" s="52">
        <f t="shared" si="1591"/>
        <v>0</v>
      </c>
      <c r="Q337" s="52">
        <f t="shared" si="1592"/>
        <v>0</v>
      </c>
      <c r="R337" s="52">
        <f t="shared" si="1593"/>
        <v>0</v>
      </c>
      <c r="S337" s="527">
        <f t="shared" ref="S337:S344" si="1666">AZ337/AN$8</f>
        <v>0</v>
      </c>
      <c r="T337" s="533">
        <f t="shared" ref="T337:T344" si="1667">BA337/T$8</f>
        <v>0</v>
      </c>
      <c r="U337" s="375">
        <f t="shared" ref="U337:U344" si="1668">BB337/U$8</f>
        <v>0</v>
      </c>
      <c r="V337" s="375">
        <f t="shared" ref="V337:V344" si="1669">BC337/V$8</f>
        <v>-6.6429970617042105E-8</v>
      </c>
      <c r="W337" s="386">
        <f t="shared" ref="W337:W344" si="1670">BD337/W$8</f>
        <v>0</v>
      </c>
      <c r="X337" s="386">
        <f t="shared" ref="X337:X339" si="1671">BE337/X$8</f>
        <v>0</v>
      </c>
      <c r="Y337" s="386">
        <f t="shared" si="1628"/>
        <v>0</v>
      </c>
      <c r="Z337" s="375">
        <f t="shared" si="1598"/>
        <v>-6.4619126016793297E-7</v>
      </c>
      <c r="AA337" s="375">
        <f t="shared" ref="AA337:AA344" si="1672">BH337/AA$8</f>
        <v>0</v>
      </c>
      <c r="AB337" s="386">
        <f t="shared" ref="AB337:AB344" si="1673">BI337/AB$8</f>
        <v>0</v>
      </c>
      <c r="AC337" s="386">
        <f t="shared" si="1601"/>
        <v>0</v>
      </c>
      <c r="AD337" s="386">
        <f t="shared" si="1602"/>
        <v>0</v>
      </c>
      <c r="AE337" s="386">
        <f t="shared" si="1603"/>
        <v>0</v>
      </c>
      <c r="AF337" s="386">
        <f t="shared" si="1604"/>
        <v>0</v>
      </c>
      <c r="AG337" s="375">
        <f t="shared" si="1605"/>
        <v>0</v>
      </c>
      <c r="AH337" s="375">
        <f t="shared" si="1606"/>
        <v>0</v>
      </c>
      <c r="AI337" s="386">
        <f t="shared" si="1607"/>
        <v>0</v>
      </c>
      <c r="AJ337" s="386">
        <f t="shared" si="1608"/>
        <v>0</v>
      </c>
      <c r="AK337" s="386">
        <f t="shared" si="1609"/>
        <v>0</v>
      </c>
      <c r="AL337" s="377">
        <f t="shared" si="1610"/>
        <v>0</v>
      </c>
      <c r="AM337" s="377">
        <f t="shared" si="1611"/>
        <v>0</v>
      </c>
      <c r="AN337" s="377">
        <f t="shared" si="1612"/>
        <v>0</v>
      </c>
      <c r="AO337" s="283"/>
      <c r="AP337" s="295">
        <f t="shared" si="1643"/>
        <v>2.1704000000000001E-2</v>
      </c>
      <c r="AQ337" s="20">
        <f t="shared" si="1656"/>
        <v>0</v>
      </c>
      <c r="AR337" s="95">
        <f t="shared" si="1657"/>
        <v>0</v>
      </c>
      <c r="AS337" s="94">
        <f t="shared" si="1658"/>
        <v>2.1703999999999998E-3</v>
      </c>
      <c r="AT337" s="94">
        <f t="shared" si="1613"/>
        <v>2.1703999999999998E-3</v>
      </c>
      <c r="AU337" s="94">
        <f t="shared" si="1614"/>
        <v>2.1704000000000001E-2</v>
      </c>
      <c r="AV337" s="94">
        <f t="shared" si="1615"/>
        <v>0</v>
      </c>
      <c r="AW337" s="94">
        <f t="shared" si="1659"/>
        <v>0</v>
      </c>
      <c r="AX337" s="94">
        <f t="shared" si="1617"/>
        <v>0</v>
      </c>
      <c r="AY337" s="94">
        <f t="shared" si="1660"/>
        <v>0</v>
      </c>
      <c r="AZ337" s="433">
        <f t="shared" si="1661"/>
        <v>0</v>
      </c>
      <c r="BA337" s="657">
        <v>0</v>
      </c>
      <c r="BB337" s="327">
        <v>0</v>
      </c>
      <c r="BC337" s="207">
        <f>-0.0021704</f>
        <v>-2.1703999999999998E-3</v>
      </c>
      <c r="BD337" s="389">
        <v>0</v>
      </c>
      <c r="BE337" s="389">
        <v>0</v>
      </c>
      <c r="BF337" s="516">
        <v>0</v>
      </c>
      <c r="BG337" s="207">
        <f>-0.021704</f>
        <v>-2.1704000000000001E-2</v>
      </c>
      <c r="BH337" s="207">
        <v>0</v>
      </c>
      <c r="BI337" s="389">
        <v>0</v>
      </c>
      <c r="BJ337" s="516">
        <v>0</v>
      </c>
      <c r="BK337" s="516">
        <v>0</v>
      </c>
      <c r="BL337" s="516">
        <v>0</v>
      </c>
      <c r="BM337" s="516">
        <v>0</v>
      </c>
      <c r="BN337" s="409">
        <v>0</v>
      </c>
      <c r="BO337" s="207">
        <v>0</v>
      </c>
      <c r="BP337" s="389">
        <v>0</v>
      </c>
      <c r="BQ337" s="389">
        <v>0</v>
      </c>
      <c r="BR337" s="389">
        <v>0</v>
      </c>
      <c r="BS337" s="296">
        <v>0</v>
      </c>
      <c r="BT337" s="296">
        <v>0</v>
      </c>
      <c r="BU337" s="296">
        <v>0</v>
      </c>
      <c r="BV337" s="409">
        <v>0</v>
      </c>
      <c r="BW337" s="296">
        <f t="shared" si="1662"/>
        <v>0</v>
      </c>
      <c r="BX337" s="442" t="s">
        <v>1630</v>
      </c>
    </row>
    <row r="338" spans="1:76" ht="43.5" hidden="1" customHeight="1" outlineLevel="1" x14ac:dyDescent="0.25">
      <c r="A338" s="678">
        <v>22</v>
      </c>
      <c r="B338" s="702" t="s">
        <v>210</v>
      </c>
      <c r="C338" s="692" t="s">
        <v>210</v>
      </c>
      <c r="D338" s="275">
        <v>44516</v>
      </c>
      <c r="E338" s="463" t="s">
        <v>1819</v>
      </c>
      <c r="F338" s="558" t="s">
        <v>1800</v>
      </c>
      <c r="G338" s="71" t="s">
        <v>211</v>
      </c>
      <c r="H338" s="311" t="s">
        <v>127</v>
      </c>
      <c r="I338" s="335"/>
      <c r="J338" s="294">
        <f t="shared" si="1663"/>
        <v>0</v>
      </c>
      <c r="K338" s="52">
        <f t="shared" si="1664"/>
        <v>0</v>
      </c>
      <c r="L338" s="52">
        <f t="shared" si="1665"/>
        <v>2.2350024485798237E-5</v>
      </c>
      <c r="M338" s="52">
        <f t="shared" si="1588"/>
        <v>2.3282088245547664E-5</v>
      </c>
      <c r="N338" s="52">
        <f t="shared" si="1589"/>
        <v>2.1740775064496313E-5</v>
      </c>
      <c r="O338" s="52">
        <f t="shared" si="1590"/>
        <v>0</v>
      </c>
      <c r="P338" s="52">
        <f t="shared" si="1591"/>
        <v>0</v>
      </c>
      <c r="Q338" s="52">
        <f t="shared" si="1592"/>
        <v>0</v>
      </c>
      <c r="R338" s="52">
        <f t="shared" si="1593"/>
        <v>0</v>
      </c>
      <c r="S338" s="527">
        <f t="shared" si="1666"/>
        <v>0</v>
      </c>
      <c r="T338" s="533">
        <f t="shared" si="1667"/>
        <v>0</v>
      </c>
      <c r="U338" s="375">
        <f t="shared" si="1668"/>
        <v>0</v>
      </c>
      <c r="V338" s="375">
        <f t="shared" si="1669"/>
        <v>-2.2350024485798237E-5</v>
      </c>
      <c r="W338" s="386">
        <f t="shared" si="1670"/>
        <v>0</v>
      </c>
      <c r="X338" s="386">
        <f t="shared" si="1671"/>
        <v>0</v>
      </c>
      <c r="Y338" s="386">
        <f t="shared" si="1628"/>
        <v>0</v>
      </c>
      <c r="Z338" s="375">
        <f t="shared" si="1598"/>
        <v>-2.1740775064496313E-5</v>
      </c>
      <c r="AA338" s="375">
        <f t="shared" si="1672"/>
        <v>0</v>
      </c>
      <c r="AB338" s="386">
        <f t="shared" si="1673"/>
        <v>0</v>
      </c>
      <c r="AC338" s="386">
        <f t="shared" si="1601"/>
        <v>0</v>
      </c>
      <c r="AD338" s="386">
        <f t="shared" si="1602"/>
        <v>0</v>
      </c>
      <c r="AE338" s="386">
        <f t="shared" si="1603"/>
        <v>0</v>
      </c>
      <c r="AF338" s="386">
        <f t="shared" si="1604"/>
        <v>0</v>
      </c>
      <c r="AG338" s="375">
        <f t="shared" si="1605"/>
        <v>0</v>
      </c>
      <c r="AH338" s="375">
        <f t="shared" si="1606"/>
        <v>0</v>
      </c>
      <c r="AI338" s="386">
        <f t="shared" si="1607"/>
        <v>0</v>
      </c>
      <c r="AJ338" s="386">
        <f t="shared" si="1608"/>
        <v>0</v>
      </c>
      <c r="AK338" s="386">
        <f t="shared" si="1609"/>
        <v>0</v>
      </c>
      <c r="AL338" s="377">
        <f t="shared" si="1610"/>
        <v>0</v>
      </c>
      <c r="AM338" s="377">
        <f t="shared" si="1611"/>
        <v>0</v>
      </c>
      <c r="AN338" s="377">
        <f t="shared" si="1612"/>
        <v>0</v>
      </c>
      <c r="AO338" s="283"/>
      <c r="AP338" s="295">
        <f t="shared" si="1643"/>
        <v>0.73021999999999998</v>
      </c>
      <c r="AQ338" s="20">
        <f t="shared" si="1656"/>
        <v>0</v>
      </c>
      <c r="AR338" s="95">
        <f t="shared" si="1657"/>
        <v>0</v>
      </c>
      <c r="AS338" s="94">
        <f t="shared" si="1658"/>
        <v>0.73021999999999998</v>
      </c>
      <c r="AT338" s="94">
        <f t="shared" si="1613"/>
        <v>0.73021999999999998</v>
      </c>
      <c r="AU338" s="94">
        <f t="shared" si="1614"/>
        <v>0.73021999999999998</v>
      </c>
      <c r="AV338" s="94">
        <f t="shared" si="1615"/>
        <v>0</v>
      </c>
      <c r="AW338" s="94">
        <f t="shared" si="1659"/>
        <v>0</v>
      </c>
      <c r="AX338" s="94">
        <f t="shared" si="1617"/>
        <v>0</v>
      </c>
      <c r="AY338" s="94">
        <f t="shared" si="1660"/>
        <v>0</v>
      </c>
      <c r="AZ338" s="433">
        <f t="shared" si="1661"/>
        <v>0</v>
      </c>
      <c r="BA338" s="657">
        <v>0</v>
      </c>
      <c r="BB338" s="327">
        <v>0</v>
      </c>
      <c r="BC338" s="207">
        <f>-0.73022</f>
        <v>-0.73021999999999998</v>
      </c>
      <c r="BD338" s="389">
        <v>0</v>
      </c>
      <c r="BE338" s="389">
        <v>0</v>
      </c>
      <c r="BF338" s="516">
        <v>0</v>
      </c>
      <c r="BG338" s="207">
        <f>-0.73022</f>
        <v>-0.73021999999999998</v>
      </c>
      <c r="BH338" s="207">
        <v>0</v>
      </c>
      <c r="BI338" s="389">
        <v>0</v>
      </c>
      <c r="BJ338" s="516">
        <v>0</v>
      </c>
      <c r="BK338" s="516">
        <v>0</v>
      </c>
      <c r="BL338" s="516">
        <v>0</v>
      </c>
      <c r="BM338" s="516">
        <v>0</v>
      </c>
      <c r="BN338" s="409">
        <v>0</v>
      </c>
      <c r="BO338" s="207">
        <v>0</v>
      </c>
      <c r="BP338" s="389">
        <v>0</v>
      </c>
      <c r="BQ338" s="389">
        <v>0</v>
      </c>
      <c r="BR338" s="389">
        <v>0</v>
      </c>
      <c r="BS338" s="296">
        <v>0</v>
      </c>
      <c r="BT338" s="296">
        <v>0</v>
      </c>
      <c r="BU338" s="296">
        <v>0</v>
      </c>
      <c r="BV338" s="409">
        <v>0</v>
      </c>
      <c r="BW338" s="296">
        <f t="shared" si="1662"/>
        <v>0</v>
      </c>
      <c r="BX338" s="442" t="s">
        <v>1801</v>
      </c>
    </row>
    <row r="339" spans="1:76" ht="72.599999999999994" hidden="1" customHeight="1" outlineLevel="1" x14ac:dyDescent="0.25">
      <c r="A339" s="678">
        <v>23</v>
      </c>
      <c r="B339" s="702" t="s">
        <v>210</v>
      </c>
      <c r="C339" s="692" t="s">
        <v>210</v>
      </c>
      <c r="D339" s="275">
        <v>44544</v>
      </c>
      <c r="E339" s="463" t="s">
        <v>1883</v>
      </c>
      <c r="F339" s="558" t="s">
        <v>1882</v>
      </c>
      <c r="G339" s="71" t="s">
        <v>211</v>
      </c>
      <c r="H339" s="311" t="s">
        <v>127</v>
      </c>
      <c r="I339" s="335"/>
      <c r="J339" s="294">
        <f t="shared" si="1663"/>
        <v>0</v>
      </c>
      <c r="K339" s="52">
        <f t="shared" si="1664"/>
        <v>0</v>
      </c>
      <c r="L339" s="52">
        <f t="shared" si="1665"/>
        <v>3.5435541136141041E-6</v>
      </c>
      <c r="M339" s="52">
        <f t="shared" si="1588"/>
        <v>3.6913310599932637E-6</v>
      </c>
      <c r="N339" s="52">
        <f t="shared" si="1589"/>
        <v>3.4469289971748192E-6</v>
      </c>
      <c r="O339" s="52">
        <f t="shared" si="1590"/>
        <v>0</v>
      </c>
      <c r="P339" s="52">
        <f t="shared" si="1591"/>
        <v>0</v>
      </c>
      <c r="Q339" s="52">
        <f t="shared" si="1592"/>
        <v>0</v>
      </c>
      <c r="R339" s="52">
        <f t="shared" si="1593"/>
        <v>0</v>
      </c>
      <c r="S339" s="527">
        <f t="shared" si="1666"/>
        <v>0</v>
      </c>
      <c r="T339" s="533">
        <f t="shared" si="1667"/>
        <v>0</v>
      </c>
      <c r="U339" s="375">
        <f t="shared" si="1668"/>
        <v>0</v>
      </c>
      <c r="V339" s="375">
        <f t="shared" si="1669"/>
        <v>-3.5435541136141041E-6</v>
      </c>
      <c r="W339" s="386">
        <f t="shared" si="1670"/>
        <v>0</v>
      </c>
      <c r="X339" s="386">
        <f t="shared" si="1671"/>
        <v>0</v>
      </c>
      <c r="Y339" s="386">
        <f t="shared" si="1628"/>
        <v>0</v>
      </c>
      <c r="Z339" s="375">
        <f t="shared" si="1598"/>
        <v>-3.4469289971748192E-6</v>
      </c>
      <c r="AA339" s="375">
        <f t="shared" si="1672"/>
        <v>0</v>
      </c>
      <c r="AB339" s="386">
        <f t="shared" si="1673"/>
        <v>0</v>
      </c>
      <c r="AC339" s="386">
        <f t="shared" si="1601"/>
        <v>0</v>
      </c>
      <c r="AD339" s="386">
        <f t="shared" si="1602"/>
        <v>0</v>
      </c>
      <c r="AE339" s="386">
        <f t="shared" si="1603"/>
        <v>0</v>
      </c>
      <c r="AF339" s="386">
        <f t="shared" si="1604"/>
        <v>0</v>
      </c>
      <c r="AG339" s="375">
        <f t="shared" si="1605"/>
        <v>0</v>
      </c>
      <c r="AH339" s="375">
        <f t="shared" si="1606"/>
        <v>0</v>
      </c>
      <c r="AI339" s="386">
        <f t="shared" si="1607"/>
        <v>0</v>
      </c>
      <c r="AJ339" s="386">
        <f t="shared" si="1608"/>
        <v>0</v>
      </c>
      <c r="AK339" s="386">
        <f t="shared" si="1609"/>
        <v>0</v>
      </c>
      <c r="AL339" s="377">
        <f t="shared" si="1610"/>
        <v>0</v>
      </c>
      <c r="AM339" s="377">
        <f t="shared" si="1611"/>
        <v>0</v>
      </c>
      <c r="AN339" s="377">
        <f t="shared" si="1612"/>
        <v>0</v>
      </c>
      <c r="AO339" s="283"/>
      <c r="AP339" s="295">
        <f t="shared" si="1643"/>
        <v>0.115774</v>
      </c>
      <c r="AQ339" s="20">
        <f t="shared" si="1656"/>
        <v>0</v>
      </c>
      <c r="AR339" s="95">
        <f t="shared" si="1657"/>
        <v>0</v>
      </c>
      <c r="AS339" s="94">
        <f t="shared" si="1658"/>
        <v>0.115775</v>
      </c>
      <c r="AT339" s="94">
        <f t="shared" si="1613"/>
        <v>0.115775</v>
      </c>
      <c r="AU339" s="94">
        <f t="shared" si="1614"/>
        <v>0.115774</v>
      </c>
      <c r="AV339" s="94">
        <f t="shared" si="1615"/>
        <v>0</v>
      </c>
      <c r="AW339" s="94">
        <f t="shared" si="1659"/>
        <v>0</v>
      </c>
      <c r="AX339" s="94">
        <f t="shared" si="1617"/>
        <v>0</v>
      </c>
      <c r="AY339" s="94">
        <f t="shared" si="1660"/>
        <v>0</v>
      </c>
      <c r="AZ339" s="433">
        <f t="shared" si="1661"/>
        <v>0</v>
      </c>
      <c r="BA339" s="657">
        <v>0</v>
      </c>
      <c r="BB339" s="327">
        <v>0</v>
      </c>
      <c r="BC339" s="207">
        <f>-0.115775</f>
        <v>-0.115775</v>
      </c>
      <c r="BD339" s="389">
        <v>0</v>
      </c>
      <c r="BE339" s="389">
        <v>0</v>
      </c>
      <c r="BF339" s="516">
        <v>0</v>
      </c>
      <c r="BG339" s="207">
        <f>-0.115774</f>
        <v>-0.115774</v>
      </c>
      <c r="BH339" s="207">
        <v>0</v>
      </c>
      <c r="BI339" s="389">
        <v>0</v>
      </c>
      <c r="BJ339" s="516">
        <v>0</v>
      </c>
      <c r="BK339" s="516">
        <v>0</v>
      </c>
      <c r="BL339" s="516">
        <v>0</v>
      </c>
      <c r="BM339" s="516">
        <v>0</v>
      </c>
      <c r="BN339" s="409">
        <v>0</v>
      </c>
      <c r="BO339" s="207">
        <v>0</v>
      </c>
      <c r="BP339" s="389">
        <v>0</v>
      </c>
      <c r="BQ339" s="389">
        <v>0</v>
      </c>
      <c r="BR339" s="389">
        <v>0</v>
      </c>
      <c r="BS339" s="296">
        <v>0</v>
      </c>
      <c r="BT339" s="296">
        <v>0</v>
      </c>
      <c r="BU339" s="296">
        <v>0</v>
      </c>
      <c r="BV339" s="409">
        <v>0</v>
      </c>
      <c r="BW339" s="296">
        <f t="shared" si="1662"/>
        <v>0</v>
      </c>
      <c r="BX339" s="442" t="s">
        <v>1884</v>
      </c>
    </row>
    <row r="340" spans="1:76" ht="43.5" hidden="1" customHeight="1" outlineLevel="1" x14ac:dyDescent="0.25">
      <c r="A340" s="678">
        <v>24</v>
      </c>
      <c r="B340" s="702" t="s">
        <v>210</v>
      </c>
      <c r="C340" s="692" t="s">
        <v>210</v>
      </c>
      <c r="D340" s="275">
        <v>44495</v>
      </c>
      <c r="E340" s="463" t="s">
        <v>1890</v>
      </c>
      <c r="F340" s="558" t="s">
        <v>1889</v>
      </c>
      <c r="G340" s="71" t="s">
        <v>211</v>
      </c>
      <c r="H340" s="311" t="s">
        <v>127</v>
      </c>
      <c r="I340" s="335"/>
      <c r="J340" s="294">
        <f t="shared" si="1663"/>
        <v>0</v>
      </c>
      <c r="K340" s="52">
        <f t="shared" si="1664"/>
        <v>0</v>
      </c>
      <c r="L340" s="52">
        <f t="shared" si="1665"/>
        <v>0</v>
      </c>
      <c r="M340" s="52">
        <f t="shared" ref="M340:M344" si="1674">AT340/Y$8</f>
        <v>0</v>
      </c>
      <c r="N340" s="52">
        <f t="shared" si="1589"/>
        <v>0</v>
      </c>
      <c r="O340" s="52">
        <f t="shared" si="1590"/>
        <v>1.3480420430537523E-5</v>
      </c>
      <c r="P340" s="52">
        <f t="shared" si="1591"/>
        <v>1.3858446517460412E-5</v>
      </c>
      <c r="Q340" s="52">
        <f t="shared" si="1592"/>
        <v>0</v>
      </c>
      <c r="R340" s="52">
        <f t="shared" si="1593"/>
        <v>0</v>
      </c>
      <c r="S340" s="527">
        <f t="shared" si="1666"/>
        <v>0</v>
      </c>
      <c r="T340" s="533">
        <f t="shared" si="1667"/>
        <v>0</v>
      </c>
      <c r="U340" s="375">
        <f t="shared" si="1668"/>
        <v>0</v>
      </c>
      <c r="V340" s="375">
        <f t="shared" si="1669"/>
        <v>0</v>
      </c>
      <c r="W340" s="386">
        <f t="shared" si="1670"/>
        <v>0</v>
      </c>
      <c r="X340" s="386">
        <f t="shared" ref="X340:X345" si="1675">BE340/X$8</f>
        <v>0</v>
      </c>
      <c r="Y340" s="386">
        <f t="shared" si="1628"/>
        <v>0</v>
      </c>
      <c r="Z340" s="375">
        <f t="shared" ref="Z340" si="1676">BG340/Z$8</f>
        <v>0</v>
      </c>
      <c r="AA340" s="375">
        <f t="shared" si="1672"/>
        <v>-1.3480420430537523E-5</v>
      </c>
      <c r="AB340" s="386">
        <f t="shared" si="1673"/>
        <v>0</v>
      </c>
      <c r="AC340" s="386">
        <f t="shared" si="1601"/>
        <v>0</v>
      </c>
      <c r="AD340" s="386">
        <f t="shared" si="1602"/>
        <v>-2.2899573176944942E-5</v>
      </c>
      <c r="AE340" s="386">
        <f t="shared" si="1603"/>
        <v>-1.3858446517460412E-5</v>
      </c>
      <c r="AF340" s="386">
        <f t="shared" si="1604"/>
        <v>-1.3480420430537523E-5</v>
      </c>
      <c r="AG340" s="375">
        <f t="shared" si="1605"/>
        <v>0</v>
      </c>
      <c r="AH340" s="375">
        <f t="shared" si="1606"/>
        <v>0</v>
      </c>
      <c r="AI340" s="386">
        <f t="shared" si="1607"/>
        <v>0</v>
      </c>
      <c r="AJ340" s="386">
        <f t="shared" si="1608"/>
        <v>0</v>
      </c>
      <c r="AK340" s="386">
        <f t="shared" si="1609"/>
        <v>0</v>
      </c>
      <c r="AL340" s="377">
        <f t="shared" si="1610"/>
        <v>0</v>
      </c>
      <c r="AM340" s="377">
        <f t="shared" si="1611"/>
        <v>0</v>
      </c>
      <c r="AN340" s="377">
        <f t="shared" si="1612"/>
        <v>0</v>
      </c>
      <c r="AO340" s="283"/>
      <c r="AP340" s="295">
        <f t="shared" ref="AP340:AP344" si="1677">AR340+AU340+AZ340+AW340+AY340</f>
        <v>0.53165200000000012</v>
      </c>
      <c r="AQ340" s="20">
        <f t="shared" si="1656"/>
        <v>0</v>
      </c>
      <c r="AR340" s="95">
        <f t="shared" si="1657"/>
        <v>0</v>
      </c>
      <c r="AS340" s="94">
        <f t="shared" si="1658"/>
        <v>0</v>
      </c>
      <c r="AT340" s="94">
        <f t="shared" ref="AT340:AT344" si="1678">-BC340</f>
        <v>0</v>
      </c>
      <c r="AU340" s="94">
        <f t="shared" ref="AU340:AU341" si="1679">-BG340</f>
        <v>0</v>
      </c>
      <c r="AV340" s="94">
        <f t="shared" si="1615"/>
        <v>0.53165200000000012</v>
      </c>
      <c r="AW340" s="94">
        <f t="shared" si="1659"/>
        <v>0.53165200000000012</v>
      </c>
      <c r="AX340" s="94">
        <f t="shared" si="1617"/>
        <v>0</v>
      </c>
      <c r="AY340" s="94">
        <f t="shared" si="1660"/>
        <v>0</v>
      </c>
      <c r="AZ340" s="433">
        <f t="shared" si="1661"/>
        <v>0</v>
      </c>
      <c r="BA340" s="657">
        <v>0</v>
      </c>
      <c r="BB340" s="327">
        <v>0</v>
      </c>
      <c r="BC340" s="207">
        <f>0</f>
        <v>0</v>
      </c>
      <c r="BD340" s="389">
        <v>0</v>
      </c>
      <c r="BE340" s="389">
        <v>0</v>
      </c>
      <c r="BF340" s="516">
        <v>0</v>
      </c>
      <c r="BG340" s="207">
        <f>0</f>
        <v>0</v>
      </c>
      <c r="BH340" s="207">
        <f>-1.799128+1.020044+0.247432</f>
        <v>-0.53165200000000012</v>
      </c>
      <c r="BI340" s="389">
        <v>0</v>
      </c>
      <c r="BJ340" s="516">
        <v>0</v>
      </c>
      <c r="BK340" s="516">
        <v>-0.77908400000000011</v>
      </c>
      <c r="BL340" s="516">
        <v>-0.53165200000000012</v>
      </c>
      <c r="BM340" s="516">
        <v>-0.53165200000000012</v>
      </c>
      <c r="BN340" s="409">
        <f>0</f>
        <v>0</v>
      </c>
      <c r="BO340" s="207">
        <v>0</v>
      </c>
      <c r="BP340" s="389">
        <v>0</v>
      </c>
      <c r="BQ340" s="389">
        <v>0</v>
      </c>
      <c r="BR340" s="389">
        <v>0</v>
      </c>
      <c r="BS340" s="296">
        <v>0</v>
      </c>
      <c r="BT340" s="296">
        <v>0</v>
      </c>
      <c r="BU340" s="296">
        <v>0</v>
      </c>
      <c r="BV340" s="409">
        <f>0</f>
        <v>0</v>
      </c>
      <c r="BW340" s="296">
        <f t="shared" si="1662"/>
        <v>0</v>
      </c>
      <c r="BX340" s="442" t="s">
        <v>1891</v>
      </c>
    </row>
    <row r="341" spans="1:76" ht="87" hidden="1" customHeight="1" outlineLevel="1" x14ac:dyDescent="0.25">
      <c r="A341" s="678">
        <v>25</v>
      </c>
      <c r="B341" s="702" t="s">
        <v>210</v>
      </c>
      <c r="C341" s="692" t="s">
        <v>210</v>
      </c>
      <c r="D341" s="275">
        <v>44607</v>
      </c>
      <c r="E341" s="463" t="s">
        <v>1981</v>
      </c>
      <c r="F341" s="667" t="s">
        <v>1980</v>
      </c>
      <c r="G341" s="71" t="s">
        <v>211</v>
      </c>
      <c r="H341" s="311" t="s">
        <v>127</v>
      </c>
      <c r="I341" s="335"/>
      <c r="J341" s="294"/>
      <c r="K341" s="52">
        <f t="shared" si="1664"/>
        <v>0</v>
      </c>
      <c r="L341" s="52">
        <f t="shared" si="1665"/>
        <v>0</v>
      </c>
      <c r="M341" s="52">
        <f t="shared" si="1674"/>
        <v>0</v>
      </c>
      <c r="N341" s="52">
        <f t="shared" si="1589"/>
        <v>0</v>
      </c>
      <c r="O341" s="52">
        <f t="shared" si="1590"/>
        <v>2.5863952317770296E-5</v>
      </c>
      <c r="P341" s="52">
        <f t="shared" si="1591"/>
        <v>2.658924488096797E-5</v>
      </c>
      <c r="Q341" s="52">
        <f t="shared" si="1592"/>
        <v>2.5863952317770296E-5</v>
      </c>
      <c r="R341" s="52">
        <f t="shared" si="1593"/>
        <v>0</v>
      </c>
      <c r="S341" s="527">
        <f t="shared" si="1666"/>
        <v>0</v>
      </c>
      <c r="T341" s="533">
        <f t="shared" si="1667"/>
        <v>0</v>
      </c>
      <c r="U341" s="375">
        <f t="shared" si="1668"/>
        <v>0</v>
      </c>
      <c r="V341" s="375">
        <f t="shared" si="1669"/>
        <v>0</v>
      </c>
      <c r="W341" s="386">
        <f t="shared" si="1670"/>
        <v>0</v>
      </c>
      <c r="X341" s="386">
        <f t="shared" si="1675"/>
        <v>0</v>
      </c>
      <c r="Y341" s="386">
        <f t="shared" ref="Y341:Y344" si="1680">BF341/Y$8</f>
        <v>0</v>
      </c>
      <c r="Z341" s="375">
        <f>BG341/Z$8</f>
        <v>0</v>
      </c>
      <c r="AA341" s="375">
        <f t="shared" si="1672"/>
        <v>-2.5863952317770296E-5</v>
      </c>
      <c r="AB341" s="386">
        <f t="shared" si="1673"/>
        <v>0</v>
      </c>
      <c r="AC341" s="386">
        <f t="shared" si="1601"/>
        <v>0</v>
      </c>
      <c r="AD341" s="386">
        <f t="shared" si="1602"/>
        <v>-2.9982097208649671E-5</v>
      </c>
      <c r="AE341" s="386">
        <f t="shared" si="1603"/>
        <v>-2.658924488096797E-5</v>
      </c>
      <c r="AF341" s="386">
        <f t="shared" si="1604"/>
        <v>-2.5863952317770296E-5</v>
      </c>
      <c r="AG341" s="375">
        <f t="shared" si="1605"/>
        <v>-2.6100943398374845E-5</v>
      </c>
      <c r="AH341" s="375">
        <f t="shared" si="1606"/>
        <v>0</v>
      </c>
      <c r="AI341" s="386">
        <f t="shared" si="1607"/>
        <v>0</v>
      </c>
      <c r="AJ341" s="386">
        <f t="shared" si="1608"/>
        <v>0</v>
      </c>
      <c r="AK341" s="386">
        <f t="shared" si="1609"/>
        <v>0</v>
      </c>
      <c r="AL341" s="377">
        <f t="shared" si="1610"/>
        <v>0</v>
      </c>
      <c r="AM341" s="377">
        <f t="shared" si="1611"/>
        <v>0</v>
      </c>
      <c r="AN341" s="377">
        <f t="shared" si="1612"/>
        <v>0</v>
      </c>
      <c r="AO341" s="283"/>
      <c r="AP341" s="295">
        <f t="shared" si="1677"/>
        <v>1.020044</v>
      </c>
      <c r="AQ341" s="20">
        <f t="shared" si="1656"/>
        <v>0</v>
      </c>
      <c r="AR341" s="95">
        <f t="shared" si="1657"/>
        <v>0</v>
      </c>
      <c r="AS341" s="94">
        <f t="shared" si="1658"/>
        <v>0</v>
      </c>
      <c r="AT341" s="94">
        <f t="shared" si="1678"/>
        <v>0</v>
      </c>
      <c r="AU341" s="94">
        <f t="shared" si="1679"/>
        <v>0</v>
      </c>
      <c r="AV341" s="94">
        <f t="shared" si="1615"/>
        <v>1.020044</v>
      </c>
      <c r="AW341" s="94">
        <f t="shared" si="1659"/>
        <v>1.020044</v>
      </c>
      <c r="AX341" s="94">
        <f t="shared" si="1617"/>
        <v>1.020044</v>
      </c>
      <c r="AY341" s="94">
        <f t="shared" si="1660"/>
        <v>0</v>
      </c>
      <c r="AZ341" s="433">
        <f t="shared" si="1661"/>
        <v>0</v>
      </c>
      <c r="BA341" s="657">
        <v>0</v>
      </c>
      <c r="BB341" s="327">
        <v>0</v>
      </c>
      <c r="BC341" s="207">
        <f>0</f>
        <v>0</v>
      </c>
      <c r="BD341" s="389">
        <v>0</v>
      </c>
      <c r="BE341" s="389">
        <v>0</v>
      </c>
      <c r="BF341" s="516">
        <v>0</v>
      </c>
      <c r="BG341" s="207">
        <f>0</f>
        <v>0</v>
      </c>
      <c r="BH341" s="207">
        <f>-1.020044</f>
        <v>-1.020044</v>
      </c>
      <c r="BI341" s="389">
        <v>0</v>
      </c>
      <c r="BJ341" s="516">
        <v>0</v>
      </c>
      <c r="BK341" s="516">
        <v>-1.020044</v>
      </c>
      <c r="BL341" s="516">
        <v>-1.020044</v>
      </c>
      <c r="BM341" s="516">
        <v>-1.020044</v>
      </c>
      <c r="BN341" s="713">
        <f>-1.020044</f>
        <v>-1.020044</v>
      </c>
      <c r="BO341" s="207">
        <v>0</v>
      </c>
      <c r="BP341" s="389">
        <v>0</v>
      </c>
      <c r="BQ341" s="389">
        <v>0</v>
      </c>
      <c r="BR341" s="389">
        <v>0</v>
      </c>
      <c r="BS341" s="296">
        <v>0</v>
      </c>
      <c r="BT341" s="296">
        <v>0</v>
      </c>
      <c r="BU341" s="296">
        <v>0</v>
      </c>
      <c r="BV341" s="713">
        <v>0</v>
      </c>
      <c r="BW341" s="296">
        <f t="shared" si="1662"/>
        <v>0</v>
      </c>
      <c r="BX341" s="442" t="s">
        <v>1979</v>
      </c>
    </row>
    <row r="342" spans="1:76" ht="72.599999999999994" hidden="1" customHeight="1" outlineLevel="1" x14ac:dyDescent="0.25">
      <c r="A342" s="678">
        <v>26</v>
      </c>
      <c r="B342" s="702" t="s">
        <v>210</v>
      </c>
      <c r="C342" s="692" t="s">
        <v>210</v>
      </c>
      <c r="D342" s="275">
        <v>44664</v>
      </c>
      <c r="E342" s="463" t="s">
        <v>2069</v>
      </c>
      <c r="F342" s="667" t="s">
        <v>2067</v>
      </c>
      <c r="G342" s="71" t="s">
        <v>211</v>
      </c>
      <c r="H342" s="311" t="s">
        <v>127</v>
      </c>
      <c r="I342" s="335"/>
      <c r="J342" s="294"/>
      <c r="K342" s="52">
        <f t="shared" si="1664"/>
        <v>0</v>
      </c>
      <c r="L342" s="52">
        <f t="shared" si="1665"/>
        <v>0</v>
      </c>
      <c r="M342" s="52">
        <f t="shared" si="1674"/>
        <v>0</v>
      </c>
      <c r="N342" s="52">
        <f t="shared" si="1589"/>
        <v>0</v>
      </c>
      <c r="O342" s="52">
        <f t="shared" si="1590"/>
        <v>6.2738170607253613E-6</v>
      </c>
      <c r="P342" s="52">
        <f t="shared" si="1591"/>
        <v>6.4497512258173843E-6</v>
      </c>
      <c r="Q342" s="52">
        <f t="shared" si="1592"/>
        <v>6.2737917050031398E-6</v>
      </c>
      <c r="R342" s="52">
        <f t="shared" si="1593"/>
        <v>0</v>
      </c>
      <c r="S342" s="527">
        <f t="shared" si="1666"/>
        <v>0</v>
      </c>
      <c r="T342" s="533">
        <f t="shared" si="1667"/>
        <v>0</v>
      </c>
      <c r="U342" s="375">
        <f t="shared" si="1668"/>
        <v>0</v>
      </c>
      <c r="V342" s="375">
        <f t="shared" si="1669"/>
        <v>0</v>
      </c>
      <c r="W342" s="386">
        <f t="shared" si="1670"/>
        <v>0</v>
      </c>
      <c r="X342" s="386">
        <f t="shared" si="1675"/>
        <v>0</v>
      </c>
      <c r="Y342" s="386">
        <f t="shared" si="1680"/>
        <v>0</v>
      </c>
      <c r="Z342" s="375">
        <f>BG342/Z$8</f>
        <v>0</v>
      </c>
      <c r="AA342" s="375">
        <f t="shared" si="1672"/>
        <v>-6.2738170607253613E-6</v>
      </c>
      <c r="AB342" s="386">
        <f t="shared" si="1673"/>
        <v>0</v>
      </c>
      <c r="AC342" s="386">
        <f t="shared" si="1601"/>
        <v>0</v>
      </c>
      <c r="AD342" s="386">
        <f t="shared" si="1602"/>
        <v>0</v>
      </c>
      <c r="AE342" s="386">
        <f t="shared" si="1603"/>
        <v>-6.4497512258173843E-6</v>
      </c>
      <c r="AF342" s="386">
        <f t="shared" si="1604"/>
        <v>-6.2738170607253613E-6</v>
      </c>
      <c r="AG342" s="375">
        <f t="shared" si="1605"/>
        <v>-6.3312783821122297E-6</v>
      </c>
      <c r="AH342" s="375">
        <f t="shared" si="1606"/>
        <v>0</v>
      </c>
      <c r="AI342" s="386">
        <f t="shared" si="1607"/>
        <v>0</v>
      </c>
      <c r="AJ342" s="386">
        <f t="shared" si="1608"/>
        <v>0</v>
      </c>
      <c r="AK342" s="386">
        <f t="shared" si="1609"/>
        <v>0</v>
      </c>
      <c r="AL342" s="377">
        <f t="shared" si="1610"/>
        <v>0</v>
      </c>
      <c r="AM342" s="377">
        <f t="shared" si="1611"/>
        <v>0</v>
      </c>
      <c r="AN342" s="377">
        <f t="shared" si="1612"/>
        <v>0</v>
      </c>
      <c r="AO342" s="283"/>
      <c r="AP342" s="295">
        <f t="shared" si="1677"/>
        <v>0.24743200000000001</v>
      </c>
      <c r="AQ342" s="20">
        <f t="shared" si="1656"/>
        <v>0</v>
      </c>
      <c r="AR342" s="95">
        <f t="shared" si="1657"/>
        <v>0</v>
      </c>
      <c r="AS342" s="94">
        <f t="shared" si="1658"/>
        <v>0</v>
      </c>
      <c r="AT342" s="94">
        <f t="shared" si="1678"/>
        <v>0</v>
      </c>
      <c r="AU342" s="94">
        <f>-BG342</f>
        <v>0</v>
      </c>
      <c r="AV342" s="94">
        <f t="shared" si="1615"/>
        <v>0.24743200000000001</v>
      </c>
      <c r="AW342" s="94">
        <f t="shared" si="1659"/>
        <v>0.24743200000000001</v>
      </c>
      <c r="AX342" s="94">
        <f t="shared" si="1617"/>
        <v>0.24743100000000001</v>
      </c>
      <c r="AY342" s="94">
        <f t="shared" si="1660"/>
        <v>0</v>
      </c>
      <c r="AZ342" s="433">
        <f t="shared" si="1661"/>
        <v>0</v>
      </c>
      <c r="BA342" s="657">
        <v>0</v>
      </c>
      <c r="BB342" s="327">
        <v>0</v>
      </c>
      <c r="BC342" s="207">
        <f>0</f>
        <v>0</v>
      </c>
      <c r="BD342" s="389">
        <v>0</v>
      </c>
      <c r="BE342" s="389">
        <v>0</v>
      </c>
      <c r="BF342" s="516">
        <v>0</v>
      </c>
      <c r="BG342" s="207">
        <f>0</f>
        <v>0</v>
      </c>
      <c r="BH342" s="207">
        <f>-0.247432</f>
        <v>-0.24743200000000001</v>
      </c>
      <c r="BI342" s="389">
        <v>0</v>
      </c>
      <c r="BJ342" s="516">
        <v>0</v>
      </c>
      <c r="BK342" s="516">
        <v>0</v>
      </c>
      <c r="BL342" s="516">
        <v>-0.24743200000000001</v>
      </c>
      <c r="BM342" s="516">
        <v>-0.24743200000000001</v>
      </c>
      <c r="BN342" s="713">
        <f>-0.247431</f>
        <v>-0.24743100000000001</v>
      </c>
      <c r="BO342" s="207">
        <v>0</v>
      </c>
      <c r="BP342" s="389">
        <v>0</v>
      </c>
      <c r="BQ342" s="389">
        <v>0</v>
      </c>
      <c r="BR342" s="389">
        <v>0</v>
      </c>
      <c r="BS342" s="296">
        <v>0</v>
      </c>
      <c r="BT342" s="296">
        <v>0</v>
      </c>
      <c r="BU342" s="296">
        <v>0</v>
      </c>
      <c r="BV342" s="713">
        <v>0</v>
      </c>
      <c r="BW342" s="296">
        <f t="shared" si="1662"/>
        <v>0</v>
      </c>
      <c r="BX342" s="442" t="s">
        <v>2068</v>
      </c>
    </row>
    <row r="343" spans="1:76" ht="109.5" hidden="1" customHeight="1" outlineLevel="1" x14ac:dyDescent="0.25">
      <c r="A343" s="678">
        <v>27</v>
      </c>
      <c r="B343" s="702" t="s">
        <v>210</v>
      </c>
      <c r="C343" s="692" t="s">
        <v>210</v>
      </c>
      <c r="D343" s="275">
        <v>44593</v>
      </c>
      <c r="E343" s="463" t="s">
        <v>2099</v>
      </c>
      <c r="F343" s="667" t="s">
        <v>2098</v>
      </c>
      <c r="G343" s="71" t="s">
        <v>211</v>
      </c>
      <c r="H343" s="311" t="s">
        <v>127</v>
      </c>
      <c r="I343" s="335"/>
      <c r="J343" s="294"/>
      <c r="K343" s="52">
        <f t="shared" si="1664"/>
        <v>0</v>
      </c>
      <c r="L343" s="52">
        <f t="shared" si="1665"/>
        <v>0</v>
      </c>
      <c r="M343" s="52">
        <f t="shared" si="1674"/>
        <v>0</v>
      </c>
      <c r="N343" s="52">
        <f t="shared" ref="N343:N344" si="1681">AU343/Z$8</f>
        <v>0</v>
      </c>
      <c r="O343" s="52">
        <f t="shared" si="1590"/>
        <v>7.6131037728960073E-5</v>
      </c>
      <c r="P343" s="52">
        <f t="shared" si="1591"/>
        <v>7.8265950244066996E-5</v>
      </c>
      <c r="Q343" s="52">
        <f t="shared" si="1592"/>
        <v>7.6131037728960073E-5</v>
      </c>
      <c r="R343" s="52">
        <f t="shared" si="1593"/>
        <v>0</v>
      </c>
      <c r="S343" s="527">
        <f t="shared" si="1666"/>
        <v>0</v>
      </c>
      <c r="T343" s="533">
        <f t="shared" si="1667"/>
        <v>0</v>
      </c>
      <c r="U343" s="375">
        <f t="shared" si="1668"/>
        <v>0</v>
      </c>
      <c r="V343" s="375">
        <f t="shared" si="1669"/>
        <v>0</v>
      </c>
      <c r="W343" s="386">
        <f t="shared" si="1670"/>
        <v>0</v>
      </c>
      <c r="X343" s="386">
        <f t="shared" si="1675"/>
        <v>0</v>
      </c>
      <c r="Y343" s="386">
        <f t="shared" si="1680"/>
        <v>0</v>
      </c>
      <c r="Z343" s="375">
        <f>BG343/Z$8</f>
        <v>0</v>
      </c>
      <c r="AA343" s="375">
        <f t="shared" si="1672"/>
        <v>-7.6131037728960073E-5</v>
      </c>
      <c r="AB343" s="386">
        <f t="shared" si="1673"/>
        <v>0</v>
      </c>
      <c r="AC343" s="386">
        <f t="shared" si="1601"/>
        <v>0</v>
      </c>
      <c r="AD343" s="386">
        <f t="shared" si="1602"/>
        <v>0</v>
      </c>
      <c r="AE343" s="386">
        <f t="shared" si="1603"/>
        <v>-7.8265950244066996E-5</v>
      </c>
      <c r="AF343" s="386">
        <f t="shared" si="1604"/>
        <v>-7.6131037728960073E-5</v>
      </c>
      <c r="AG343" s="375">
        <f t="shared" si="1605"/>
        <v>-7.6828625501983288E-5</v>
      </c>
      <c r="AH343" s="375">
        <f t="shared" si="1606"/>
        <v>0</v>
      </c>
      <c r="AI343" s="386">
        <f t="shared" si="1607"/>
        <v>0</v>
      </c>
      <c r="AJ343" s="386">
        <f t="shared" si="1608"/>
        <v>0</v>
      </c>
      <c r="AK343" s="386">
        <f t="shared" si="1609"/>
        <v>0</v>
      </c>
      <c r="AL343" s="377">
        <f t="shared" si="1610"/>
        <v>0</v>
      </c>
      <c r="AM343" s="377">
        <f t="shared" si="1611"/>
        <v>0</v>
      </c>
      <c r="AN343" s="377">
        <f t="shared" si="1612"/>
        <v>0</v>
      </c>
      <c r="AO343" s="283"/>
      <c r="AP343" s="295">
        <f t="shared" si="1677"/>
        <v>3.0025189999999999</v>
      </c>
      <c r="AQ343" s="20">
        <f t="shared" si="1656"/>
        <v>0</v>
      </c>
      <c r="AR343" s="95">
        <f t="shared" si="1657"/>
        <v>0</v>
      </c>
      <c r="AS343" s="94">
        <f t="shared" si="1658"/>
        <v>0</v>
      </c>
      <c r="AT343" s="94">
        <f t="shared" si="1678"/>
        <v>0</v>
      </c>
      <c r="AU343" s="94">
        <f>-BG343</f>
        <v>0</v>
      </c>
      <c r="AV343" s="94">
        <f t="shared" si="1615"/>
        <v>3.0025189999999999</v>
      </c>
      <c r="AW343" s="94">
        <f t="shared" si="1659"/>
        <v>3.0025189999999999</v>
      </c>
      <c r="AX343" s="94">
        <f t="shared" si="1617"/>
        <v>3.0025189999999999</v>
      </c>
      <c r="AY343" s="94">
        <f t="shared" si="1660"/>
        <v>0</v>
      </c>
      <c r="AZ343" s="433">
        <f t="shared" si="1661"/>
        <v>0</v>
      </c>
      <c r="BA343" s="657">
        <v>0</v>
      </c>
      <c r="BB343" s="327">
        <v>0</v>
      </c>
      <c r="BC343" s="207">
        <f>0</f>
        <v>0</v>
      </c>
      <c r="BD343" s="389">
        <v>0</v>
      </c>
      <c r="BE343" s="389">
        <v>0</v>
      </c>
      <c r="BF343" s="516">
        <v>0</v>
      </c>
      <c r="BG343" s="207">
        <f>0</f>
        <v>0</v>
      </c>
      <c r="BH343" s="207">
        <f>-3.002519</f>
        <v>-3.0025189999999999</v>
      </c>
      <c r="BI343" s="389">
        <v>0</v>
      </c>
      <c r="BJ343" s="516">
        <v>0</v>
      </c>
      <c r="BK343" s="516">
        <v>0</v>
      </c>
      <c r="BL343" s="516">
        <v>-3.0025189999999999</v>
      </c>
      <c r="BM343" s="516">
        <v>-3.0025189999999999</v>
      </c>
      <c r="BN343" s="713">
        <f>-3.002519</f>
        <v>-3.0025189999999999</v>
      </c>
      <c r="BO343" s="207">
        <v>0</v>
      </c>
      <c r="BP343" s="389">
        <v>0</v>
      </c>
      <c r="BQ343" s="389">
        <v>0</v>
      </c>
      <c r="BR343" s="389">
        <v>0</v>
      </c>
      <c r="BS343" s="296">
        <v>0</v>
      </c>
      <c r="BT343" s="296">
        <v>0</v>
      </c>
      <c r="BU343" s="296">
        <v>0</v>
      </c>
      <c r="BV343" s="713">
        <v>0</v>
      </c>
      <c r="BW343" s="296">
        <f t="shared" si="1662"/>
        <v>0</v>
      </c>
      <c r="BX343" s="442" t="s">
        <v>2097</v>
      </c>
    </row>
    <row r="344" spans="1:76" ht="114.95" hidden="1" customHeight="1" outlineLevel="1" x14ac:dyDescent="0.25">
      <c r="A344" s="678">
        <v>28</v>
      </c>
      <c r="B344" s="702" t="s">
        <v>210</v>
      </c>
      <c r="C344" s="692" t="s">
        <v>210</v>
      </c>
      <c r="D344" s="275" t="s">
        <v>2329</v>
      </c>
      <c r="E344" s="463" t="s">
        <v>2126</v>
      </c>
      <c r="F344" s="667" t="s">
        <v>2125</v>
      </c>
      <c r="G344" s="71" t="s">
        <v>211</v>
      </c>
      <c r="H344" s="311" t="s">
        <v>127</v>
      </c>
      <c r="I344" s="335"/>
      <c r="J344" s="294">
        <f t="shared" ref="J344" si="1682">AQ344/T$8</f>
        <v>0</v>
      </c>
      <c r="K344" s="52">
        <f t="shared" si="1664"/>
        <v>0</v>
      </c>
      <c r="L344" s="52">
        <f t="shared" si="1665"/>
        <v>0</v>
      </c>
      <c r="M344" s="52">
        <f t="shared" si="1674"/>
        <v>0</v>
      </c>
      <c r="N344" s="52">
        <f t="shared" si="1681"/>
        <v>0</v>
      </c>
      <c r="O344" s="52">
        <f t="shared" ref="O344" si="1683">AV344/AA$8</f>
        <v>3.7891565932179016E-5</v>
      </c>
      <c r="P344" s="52">
        <f t="shared" si="1591"/>
        <v>3.8954144096601384E-5</v>
      </c>
      <c r="Q344" s="52">
        <f t="shared" si="1592"/>
        <v>1.2808164167277264E-5</v>
      </c>
      <c r="R344" s="52">
        <f t="shared" ref="R344" si="1684">AY344/AH$8</f>
        <v>0</v>
      </c>
      <c r="S344" s="527">
        <f t="shared" si="1666"/>
        <v>0</v>
      </c>
      <c r="T344" s="533">
        <f t="shared" si="1667"/>
        <v>0</v>
      </c>
      <c r="U344" s="375">
        <f t="shared" si="1668"/>
        <v>0</v>
      </c>
      <c r="V344" s="375">
        <f t="shared" si="1669"/>
        <v>0</v>
      </c>
      <c r="W344" s="386">
        <f t="shared" si="1670"/>
        <v>0</v>
      </c>
      <c r="X344" s="386">
        <f t="shared" si="1675"/>
        <v>0</v>
      </c>
      <c r="Y344" s="386">
        <f t="shared" si="1680"/>
        <v>0</v>
      </c>
      <c r="Z344" s="375">
        <f>BG344/Z$8</f>
        <v>0</v>
      </c>
      <c r="AA344" s="375">
        <f t="shared" si="1672"/>
        <v>-3.7891565932179016E-5</v>
      </c>
      <c r="AB344" s="386">
        <f t="shared" si="1673"/>
        <v>0</v>
      </c>
      <c r="AC344" s="386">
        <f t="shared" ref="AC344" si="1685">BJ344/AC$8</f>
        <v>0</v>
      </c>
      <c r="AD344" s="386">
        <f t="shared" ref="AD344" si="1686">BK344/AD$8</f>
        <v>0</v>
      </c>
      <c r="AE344" s="386">
        <f t="shared" ref="AE344" si="1687">BL344/AE$8</f>
        <v>-4.4637141497903671E-5</v>
      </c>
      <c r="AF344" s="386">
        <f t="shared" si="1604"/>
        <v>-4.3419544423757153E-5</v>
      </c>
      <c r="AG344" s="375">
        <f t="shared" si="1605"/>
        <v>-1.2925525219805882E-5</v>
      </c>
      <c r="AH344" s="375">
        <f t="shared" ref="AH344" si="1688">BO344/AH$8</f>
        <v>0</v>
      </c>
      <c r="AI344" s="386">
        <f t="shared" si="1607"/>
        <v>0</v>
      </c>
      <c r="AJ344" s="386">
        <f t="shared" si="1608"/>
        <v>0</v>
      </c>
      <c r="AK344" s="386">
        <f t="shared" si="1609"/>
        <v>0</v>
      </c>
      <c r="AL344" s="377">
        <f t="shared" si="1610"/>
        <v>0</v>
      </c>
      <c r="AM344" s="377">
        <f t="shared" si="1611"/>
        <v>0</v>
      </c>
      <c r="AN344" s="377">
        <f t="shared" si="1612"/>
        <v>0</v>
      </c>
      <c r="AO344" s="283"/>
      <c r="AP344" s="295">
        <f t="shared" si="1677"/>
        <v>1.494399</v>
      </c>
      <c r="AQ344" s="20">
        <f t="shared" si="1656"/>
        <v>0</v>
      </c>
      <c r="AR344" s="95">
        <f t="shared" si="1657"/>
        <v>0</v>
      </c>
      <c r="AS344" s="94">
        <f t="shared" si="1658"/>
        <v>0</v>
      </c>
      <c r="AT344" s="94">
        <f t="shared" si="1678"/>
        <v>0</v>
      </c>
      <c r="AU344" s="94">
        <f>-BG344</f>
        <v>0</v>
      </c>
      <c r="AV344" s="94">
        <f t="shared" ref="AV344" si="1689">-BH344</f>
        <v>1.494399</v>
      </c>
      <c r="AW344" s="94">
        <f t="shared" si="1659"/>
        <v>1.494399</v>
      </c>
      <c r="AX344" s="94">
        <f t="shared" si="1617"/>
        <v>0.505139</v>
      </c>
      <c r="AY344" s="94">
        <f t="shared" si="1660"/>
        <v>0</v>
      </c>
      <c r="AZ344" s="433">
        <f t="shared" si="1661"/>
        <v>0</v>
      </c>
      <c r="BA344" s="657">
        <v>0</v>
      </c>
      <c r="BB344" s="327">
        <v>0</v>
      </c>
      <c r="BC344" s="207">
        <f>0</f>
        <v>0</v>
      </c>
      <c r="BD344" s="389">
        <v>0</v>
      </c>
      <c r="BE344" s="389">
        <v>0</v>
      </c>
      <c r="BF344" s="516">
        <v>0</v>
      </c>
      <c r="BG344" s="207">
        <f>0</f>
        <v>0</v>
      </c>
      <c r="BH344" s="207">
        <f>-1.494399</f>
        <v>-1.494399</v>
      </c>
      <c r="BI344" s="389">
        <v>0</v>
      </c>
      <c r="BJ344" s="516">
        <v>0</v>
      </c>
      <c r="BK344" s="516">
        <v>0</v>
      </c>
      <c r="BL344" s="516">
        <v>-1.7124159999999999</v>
      </c>
      <c r="BM344" s="516">
        <v>-1.7124159999999999</v>
      </c>
      <c r="BN344" s="713">
        <f>-0.505139</f>
        <v>-0.505139</v>
      </c>
      <c r="BO344" s="207">
        <v>0</v>
      </c>
      <c r="BP344" s="389">
        <v>0</v>
      </c>
      <c r="BQ344" s="389">
        <v>0</v>
      </c>
      <c r="BR344" s="389">
        <v>0</v>
      </c>
      <c r="BS344" s="296">
        <v>0</v>
      </c>
      <c r="BT344" s="296">
        <v>0</v>
      </c>
      <c r="BU344" s="296">
        <v>0</v>
      </c>
      <c r="BV344" s="713">
        <v>0</v>
      </c>
      <c r="BW344" s="296">
        <f t="shared" si="1662"/>
        <v>0</v>
      </c>
      <c r="BX344" s="442" t="s">
        <v>2330</v>
      </c>
    </row>
    <row r="345" spans="1:76" ht="114.95" hidden="1" customHeight="1" outlineLevel="1" x14ac:dyDescent="0.25">
      <c r="A345" s="678">
        <v>29</v>
      </c>
      <c r="B345" s="702" t="s">
        <v>210</v>
      </c>
      <c r="C345" s="692" t="s">
        <v>210</v>
      </c>
      <c r="D345" s="275">
        <v>44860</v>
      </c>
      <c r="E345" s="463" t="s">
        <v>2331</v>
      </c>
      <c r="F345" s="667" t="s">
        <v>2125</v>
      </c>
      <c r="G345" s="71" t="s">
        <v>211</v>
      </c>
      <c r="H345" s="311" t="s">
        <v>127</v>
      </c>
      <c r="I345" s="335"/>
      <c r="J345" s="294">
        <f t="shared" si="1633"/>
        <v>0</v>
      </c>
      <c r="K345" s="52">
        <f t="shared" si="1634"/>
        <v>0</v>
      </c>
      <c r="L345" s="52">
        <f t="shared" si="1635"/>
        <v>0</v>
      </c>
      <c r="M345" s="52">
        <f t="shared" si="1588"/>
        <v>0</v>
      </c>
      <c r="N345" s="52">
        <f t="shared" si="1589"/>
        <v>0</v>
      </c>
      <c r="O345" s="52">
        <f t="shared" si="1590"/>
        <v>3.9534642087858412E-7</v>
      </c>
      <c r="P345" s="52">
        <f t="shared" si="1591"/>
        <v>4.064329638565127E-7</v>
      </c>
      <c r="Q345" s="52">
        <f t="shared" si="1592"/>
        <v>3.9534642087858412E-7</v>
      </c>
      <c r="R345" s="52">
        <f t="shared" si="1593"/>
        <v>0</v>
      </c>
      <c r="S345" s="527">
        <f t="shared" si="1636"/>
        <v>0</v>
      </c>
      <c r="T345" s="533">
        <f t="shared" si="1624"/>
        <v>0</v>
      </c>
      <c r="U345" s="375">
        <f t="shared" si="1637"/>
        <v>0</v>
      </c>
      <c r="V345" s="375">
        <f t="shared" si="1638"/>
        <v>0</v>
      </c>
      <c r="W345" s="386">
        <f t="shared" si="1639"/>
        <v>0</v>
      </c>
      <c r="X345" s="386">
        <f t="shared" si="1675"/>
        <v>0</v>
      </c>
      <c r="Y345" s="386">
        <f t="shared" si="1628"/>
        <v>0</v>
      </c>
      <c r="Z345" s="375">
        <f>BG345/Z$8</f>
        <v>0</v>
      </c>
      <c r="AA345" s="375">
        <f t="shared" si="1641"/>
        <v>-3.9534642087858412E-7</v>
      </c>
      <c r="AB345" s="386">
        <f t="shared" si="1642"/>
        <v>0</v>
      </c>
      <c r="AC345" s="386">
        <f>BJ345/AC$8</f>
        <v>0</v>
      </c>
      <c r="AD345" s="386">
        <f>BK345/AD$8</f>
        <v>0</v>
      </c>
      <c r="AE345" s="386">
        <f t="shared" si="1603"/>
        <v>0</v>
      </c>
      <c r="AF345" s="386">
        <f t="shared" si="1604"/>
        <v>0</v>
      </c>
      <c r="AG345" s="375">
        <f t="shared" si="1605"/>
        <v>-3.9896897532602575E-7</v>
      </c>
      <c r="AH345" s="375">
        <f t="shared" si="1606"/>
        <v>0</v>
      </c>
      <c r="AI345" s="386">
        <f t="shared" si="1607"/>
        <v>0</v>
      </c>
      <c r="AJ345" s="386">
        <f t="shared" si="1608"/>
        <v>0</v>
      </c>
      <c r="AK345" s="386">
        <f t="shared" si="1609"/>
        <v>0</v>
      </c>
      <c r="AL345" s="377">
        <f t="shared" si="1610"/>
        <v>0</v>
      </c>
      <c r="AM345" s="377">
        <f t="shared" si="1611"/>
        <v>0</v>
      </c>
      <c r="AN345" s="377">
        <f t="shared" si="1612"/>
        <v>0</v>
      </c>
      <c r="AO345" s="283"/>
      <c r="AP345" s="295">
        <f t="shared" si="1643"/>
        <v>1.5592E-2</v>
      </c>
      <c r="AQ345" s="20">
        <f t="shared" si="1647"/>
        <v>0</v>
      </c>
      <c r="AR345" s="95">
        <f t="shared" si="1648"/>
        <v>0</v>
      </c>
      <c r="AS345" s="94">
        <f t="shared" si="1652"/>
        <v>0</v>
      </c>
      <c r="AT345" s="94">
        <f t="shared" si="1613"/>
        <v>0</v>
      </c>
      <c r="AU345" s="94">
        <f>-BG345</f>
        <v>0</v>
      </c>
      <c r="AV345" s="94">
        <f t="shared" si="1615"/>
        <v>1.5592E-2</v>
      </c>
      <c r="AW345" s="94">
        <f t="shared" si="1653"/>
        <v>1.5592E-2</v>
      </c>
      <c r="AX345" s="94">
        <f t="shared" si="1617"/>
        <v>1.5592E-2</v>
      </c>
      <c r="AY345" s="94">
        <f t="shared" si="1654"/>
        <v>0</v>
      </c>
      <c r="AZ345" s="433">
        <f t="shared" si="1655"/>
        <v>0</v>
      </c>
      <c r="BA345" s="657">
        <v>0</v>
      </c>
      <c r="BB345" s="327">
        <v>0</v>
      </c>
      <c r="BC345" s="207">
        <f>0</f>
        <v>0</v>
      </c>
      <c r="BD345" s="389">
        <v>0</v>
      </c>
      <c r="BE345" s="389">
        <v>0</v>
      </c>
      <c r="BF345" s="516">
        <v>0</v>
      </c>
      <c r="BG345" s="207">
        <f>0</f>
        <v>0</v>
      </c>
      <c r="BH345" s="207">
        <f>-0.015592</f>
        <v>-1.5592E-2</v>
      </c>
      <c r="BI345" s="389">
        <v>0</v>
      </c>
      <c r="BJ345" s="516">
        <v>0</v>
      </c>
      <c r="BK345" s="516">
        <v>0</v>
      </c>
      <c r="BL345" s="516">
        <v>0</v>
      </c>
      <c r="BM345" s="516">
        <v>0</v>
      </c>
      <c r="BN345" s="1014">
        <f>-0.015592</f>
        <v>-1.5592E-2</v>
      </c>
      <c r="BO345" s="207">
        <v>0</v>
      </c>
      <c r="BP345" s="389">
        <v>0</v>
      </c>
      <c r="BQ345" s="389">
        <v>0</v>
      </c>
      <c r="BR345" s="389">
        <v>0</v>
      </c>
      <c r="BS345" s="296">
        <v>0</v>
      </c>
      <c r="BT345" s="296">
        <v>0</v>
      </c>
      <c r="BU345" s="296">
        <v>0</v>
      </c>
      <c r="BV345" s="1014">
        <v>0</v>
      </c>
      <c r="BW345" s="296">
        <f t="shared" si="1650"/>
        <v>0</v>
      </c>
      <c r="BX345" s="442" t="s">
        <v>2332</v>
      </c>
    </row>
    <row r="346" spans="1:76" ht="18.75" collapsed="1" x14ac:dyDescent="0.25">
      <c r="A346" s="467">
        <v>5</v>
      </c>
      <c r="B346" s="708" t="s">
        <v>1728</v>
      </c>
      <c r="C346" s="689"/>
      <c r="D346" s="348"/>
      <c r="E346" s="460"/>
      <c r="F346" s="540"/>
      <c r="G346" s="400" t="s">
        <v>1730</v>
      </c>
      <c r="H346" s="401" t="s">
        <v>1730</v>
      </c>
      <c r="I346" s="349"/>
      <c r="J346" s="425">
        <f>SUM(J347:J350)</f>
        <v>1.6138185429524013E-3</v>
      </c>
      <c r="K346" s="426">
        <f t="shared" ref="K346:AN346" si="1690">SUM(K347:K350)</f>
        <v>1.2392128551997597E-3</v>
      </c>
      <c r="L346" s="426">
        <f t="shared" si="1690"/>
        <v>4.177889324191969E-3</v>
      </c>
      <c r="M346" s="426">
        <f t="shared" si="1690"/>
        <v>4.35211997140212E-3</v>
      </c>
      <c r="N346" s="426">
        <f>SUM(N347:N350)</f>
        <v>7.1891466187545101E-4</v>
      </c>
      <c r="O346" s="426">
        <f t="shared" ref="O346:P346" si="1691">SUM(O347:O350)</f>
        <v>6.7845320177120494E-6</v>
      </c>
      <c r="P346" s="426">
        <f t="shared" si="1691"/>
        <v>6.9747879599116554E-6</v>
      </c>
      <c r="Q346" s="426">
        <f t="shared" ref="Q346" si="1692">SUM(Q347:Q350)</f>
        <v>5.5129932597451923E-6</v>
      </c>
      <c r="R346" s="426">
        <f t="shared" si="1690"/>
        <v>0</v>
      </c>
      <c r="S346" s="428">
        <f t="shared" si="1690"/>
        <v>0</v>
      </c>
      <c r="T346" s="425">
        <f t="shared" si="1690"/>
        <v>-1.6138185429524013E-3</v>
      </c>
      <c r="U346" s="426">
        <f t="shared" si="1690"/>
        <v>-1.2392128551997597E-3</v>
      </c>
      <c r="V346" s="426">
        <f t="shared" si="1690"/>
        <v>-4.177889324191969E-3</v>
      </c>
      <c r="W346" s="427">
        <f t="shared" si="1690"/>
        <v>-4.456575582424507E-3</v>
      </c>
      <c r="X346" s="427">
        <f t="shared" si="1690"/>
        <v>-4.35211997140212E-3</v>
      </c>
      <c r="Y346" s="427">
        <f t="shared" si="1690"/>
        <v>-4.35211997140212E-3</v>
      </c>
      <c r="Z346" s="426">
        <f t="shared" ref="Z346" si="1693">SUM(Z347:Z350)</f>
        <v>-7.1891466187545101E-4</v>
      </c>
      <c r="AA346" s="426">
        <f t="shared" si="1690"/>
        <v>-6.7845320177120494E-6</v>
      </c>
      <c r="AB346" s="427">
        <f t="shared" si="1690"/>
        <v>0</v>
      </c>
      <c r="AC346" s="427">
        <f t="shared" ref="AC346:AD346" si="1694">SUM(AC347:AC350)</f>
        <v>0</v>
      </c>
      <c r="AD346" s="427">
        <f t="shared" si="1694"/>
        <v>-1.4739974067975145E-6</v>
      </c>
      <c r="AE346" s="427">
        <f t="shared" si="1690"/>
        <v>-6.9747879599116554E-6</v>
      </c>
      <c r="AF346" s="427">
        <f t="shared" ref="AF346:AG346" si="1695">SUM(AF347:AF350)</f>
        <v>-6.7845320177120494E-6</v>
      </c>
      <c r="AG346" s="426">
        <f t="shared" si="1695"/>
        <v>-5.5635087499510313E-6</v>
      </c>
      <c r="AH346" s="426">
        <f t="shared" ref="AH346:AI346" si="1696">SUM(AH347:AH350)</f>
        <v>0</v>
      </c>
      <c r="AI346" s="427">
        <f t="shared" si="1696"/>
        <v>0</v>
      </c>
      <c r="AJ346" s="427">
        <f t="shared" ref="AJ346:AM346" si="1697">SUM(AJ347:AJ350)</f>
        <v>0</v>
      </c>
      <c r="AK346" s="427">
        <f t="shared" si="1697"/>
        <v>0</v>
      </c>
      <c r="AL346" s="428">
        <f t="shared" si="1697"/>
        <v>0</v>
      </c>
      <c r="AM346" s="428">
        <f t="shared" si="1697"/>
        <v>0</v>
      </c>
      <c r="AN346" s="428">
        <f t="shared" si="1690"/>
        <v>0</v>
      </c>
      <c r="AO346" s="337"/>
      <c r="AP346" s="350">
        <f t="shared" ref="AP346:BW346" si="1698">SUM(AP347:AP350)</f>
        <v>61.954947000000004</v>
      </c>
      <c r="AQ346" s="382">
        <f t="shared" si="1698"/>
        <v>45.5</v>
      </c>
      <c r="AR346" s="382">
        <f t="shared" si="1698"/>
        <v>37.540770000000002</v>
      </c>
      <c r="AS346" s="382">
        <f t="shared" si="1698"/>
        <v>136.5</v>
      </c>
      <c r="AT346" s="382">
        <f t="shared" si="1698"/>
        <v>136.5</v>
      </c>
      <c r="AU346" s="382">
        <f>SUM(AU347:AU350)</f>
        <v>24.146602999999999</v>
      </c>
      <c r="AV346" s="382">
        <f t="shared" ref="AV346" si="1699">SUM(AV347:AV350)</f>
        <v>0.26757399999999998</v>
      </c>
      <c r="AW346" s="382">
        <f t="shared" si="1698"/>
        <v>0.26757399999999998</v>
      </c>
      <c r="AX346" s="382">
        <f t="shared" ref="AX346" si="1700">SUM(AX347:AX350)</f>
        <v>0.21742600000000001</v>
      </c>
      <c r="AY346" s="382">
        <f t="shared" si="1698"/>
        <v>0</v>
      </c>
      <c r="AZ346" s="383">
        <f t="shared" si="1698"/>
        <v>0</v>
      </c>
      <c r="BA346" s="656">
        <f t="shared" si="1698"/>
        <v>-45.5</v>
      </c>
      <c r="BB346" s="350">
        <f t="shared" si="1698"/>
        <v>-37.540770000000002</v>
      </c>
      <c r="BC346" s="382">
        <f t="shared" si="1698"/>
        <v>-136.5</v>
      </c>
      <c r="BD346" s="387">
        <f t="shared" si="1698"/>
        <v>-136.5</v>
      </c>
      <c r="BE346" s="387">
        <f t="shared" si="1698"/>
        <v>-136.5</v>
      </c>
      <c r="BF346" s="651">
        <f t="shared" si="1698"/>
        <v>-136.5</v>
      </c>
      <c r="BG346" s="360">
        <f t="shared" ref="BG346" si="1701">SUM(BG347:BG350)</f>
        <v>-24.146602999999999</v>
      </c>
      <c r="BH346" s="382">
        <f t="shared" si="1698"/>
        <v>-0.26757399999999998</v>
      </c>
      <c r="BI346" s="387">
        <f t="shared" si="1698"/>
        <v>0</v>
      </c>
      <c r="BJ346" s="515">
        <f t="shared" ref="BJ346" si="1702">SUM(BJ347:BJ350)</f>
        <v>0</v>
      </c>
      <c r="BK346" s="515">
        <f t="shared" si="1698"/>
        <v>-5.0147999999999998E-2</v>
      </c>
      <c r="BL346" s="515">
        <f t="shared" ref="BL346:BN346" si="1703">SUM(BL347:BL350)</f>
        <v>-0.26757399999999998</v>
      </c>
      <c r="BM346" s="515">
        <f t="shared" si="1703"/>
        <v>-0.26757399999999998</v>
      </c>
      <c r="BN346" s="350">
        <f t="shared" si="1703"/>
        <v>-0.21742600000000001</v>
      </c>
      <c r="BO346" s="382">
        <f>SUM(BO347:BO350)</f>
        <v>0</v>
      </c>
      <c r="BP346" s="387">
        <f>SUM(BP347:BP350)</f>
        <v>0</v>
      </c>
      <c r="BQ346" s="387">
        <f>SUM(BQ347:BQ350)</f>
        <v>0</v>
      </c>
      <c r="BR346" s="387">
        <f>SUM(BR347:BR350)</f>
        <v>0</v>
      </c>
      <c r="BS346" s="383">
        <f t="shared" ref="BS346:BT346" si="1704">SUM(BS347:BS350)</f>
        <v>0</v>
      </c>
      <c r="BT346" s="383">
        <f t="shared" si="1704"/>
        <v>0</v>
      </c>
      <c r="BU346" s="383">
        <f t="shared" si="1698"/>
        <v>0</v>
      </c>
      <c r="BV346" s="350">
        <f t="shared" si="1698"/>
        <v>0</v>
      </c>
      <c r="BW346" s="383">
        <f t="shared" si="1698"/>
        <v>0</v>
      </c>
      <c r="BX346" s="351"/>
    </row>
    <row r="347" spans="1:76" ht="188.45" hidden="1" customHeight="1" outlineLevel="1" x14ac:dyDescent="0.25">
      <c r="A347" s="678">
        <v>1</v>
      </c>
      <c r="B347" s="710" t="s">
        <v>41</v>
      </c>
      <c r="C347" s="694" t="s">
        <v>41</v>
      </c>
      <c r="D347" s="63">
        <v>43938</v>
      </c>
      <c r="E347" s="475" t="s">
        <v>150</v>
      </c>
      <c r="F347" s="542" t="s">
        <v>43</v>
      </c>
      <c r="G347" s="71" t="s">
        <v>40</v>
      </c>
      <c r="H347" s="311" t="s">
        <v>131</v>
      </c>
      <c r="I347" s="335"/>
      <c r="J347" s="294">
        <f t="shared" ref="J347:J350" si="1705">AQ347/T$8</f>
        <v>1.6138185429524013E-3</v>
      </c>
      <c r="K347" s="52">
        <f t="shared" ref="K347:K350" si="1706">AR347/U$8</f>
        <v>1.2392128551997597E-3</v>
      </c>
      <c r="L347" s="52">
        <f t="shared" ref="L347:L350" si="1707">AS347/V$8</f>
        <v>0</v>
      </c>
      <c r="M347" s="52">
        <f>AT347/Y$8</f>
        <v>0</v>
      </c>
      <c r="N347" s="52">
        <f>AU347/Z$8</f>
        <v>0</v>
      </c>
      <c r="O347" s="52">
        <f>AV347/AA$8</f>
        <v>0</v>
      </c>
      <c r="P347" s="52">
        <f t="shared" ref="P347:Q350" si="1708">AW347/AE$8</f>
        <v>0</v>
      </c>
      <c r="Q347" s="52">
        <f t="shared" si="1708"/>
        <v>0</v>
      </c>
      <c r="R347" s="52">
        <f>AY347/AH$8</f>
        <v>0</v>
      </c>
      <c r="S347" s="527">
        <f t="shared" ref="S347:S350" si="1709">AZ347/AN$8</f>
        <v>0</v>
      </c>
      <c r="T347" s="533">
        <f>BA347/T$8</f>
        <v>-1.6138185429524013E-3</v>
      </c>
      <c r="U347" s="375">
        <f t="shared" ref="U347:U350" si="1710">BB347/U$8</f>
        <v>-1.2392128551997597E-3</v>
      </c>
      <c r="V347" s="375">
        <f t="shared" ref="V347:V350" si="1711">BC347/V$8</f>
        <v>0</v>
      </c>
      <c r="W347" s="386">
        <f t="shared" ref="W347:W350" si="1712">BD347/W$8</f>
        <v>0</v>
      </c>
      <c r="X347" s="386">
        <f t="shared" ref="X347:X350" si="1713">BE347/X$8</f>
        <v>0</v>
      </c>
      <c r="Y347" s="386">
        <f>BF347/Y$8</f>
        <v>0</v>
      </c>
      <c r="Z347" s="375">
        <f>BG347/Z$8</f>
        <v>0</v>
      </c>
      <c r="AA347" s="375">
        <f t="shared" ref="AA347" si="1714">BH347/AA$8</f>
        <v>0</v>
      </c>
      <c r="AB347" s="386">
        <f t="shared" ref="AB347:AB350" si="1715">BI347/AB$8</f>
        <v>0</v>
      </c>
      <c r="AC347" s="386">
        <f t="shared" ref="AC347:AF350" si="1716">BJ347/AC$8</f>
        <v>0</v>
      </c>
      <c r="AD347" s="386">
        <f t="shared" si="1716"/>
        <v>0</v>
      </c>
      <c r="AE347" s="386">
        <f t="shared" si="1716"/>
        <v>0</v>
      </c>
      <c r="AF347" s="386">
        <f t="shared" si="1716"/>
        <v>0</v>
      </c>
      <c r="AG347" s="375">
        <f>BN347/AG$8</f>
        <v>0</v>
      </c>
      <c r="AH347" s="375">
        <f t="shared" ref="AH347:AK350" si="1717">BO347/AH$8</f>
        <v>0</v>
      </c>
      <c r="AI347" s="386">
        <f t="shared" si="1717"/>
        <v>0</v>
      </c>
      <c r="AJ347" s="386">
        <f t="shared" si="1717"/>
        <v>0</v>
      </c>
      <c r="AK347" s="386">
        <f t="shared" si="1717"/>
        <v>0</v>
      </c>
      <c r="AL347" s="377">
        <f t="shared" ref="AL347:AN350" si="1718">BS347/AL$8</f>
        <v>0</v>
      </c>
      <c r="AM347" s="377">
        <f t="shared" si="1718"/>
        <v>0</v>
      </c>
      <c r="AN347" s="377">
        <f t="shared" si="1718"/>
        <v>0</v>
      </c>
      <c r="AO347" s="283"/>
      <c r="AP347" s="295">
        <f>AR347+AU347+AZ347+AW347+AY347</f>
        <v>37.540770000000002</v>
      </c>
      <c r="AQ347" s="20">
        <f>-BA347</f>
        <v>45.5</v>
      </c>
      <c r="AR347" s="95">
        <f>-BB347</f>
        <v>37.540770000000002</v>
      </c>
      <c r="AS347" s="94">
        <f>-BC347</f>
        <v>0</v>
      </c>
      <c r="AT347" s="94">
        <f>-BC347</f>
        <v>0</v>
      </c>
      <c r="AU347" s="94">
        <f>-BG347</f>
        <v>0</v>
      </c>
      <c r="AV347" s="94">
        <f>-BH347</f>
        <v>0</v>
      </c>
      <c r="AW347" s="94">
        <f t="shared" ref="AW347:AW350" si="1719">-BH347</f>
        <v>0</v>
      </c>
      <c r="AX347" s="94">
        <f>-BN347</f>
        <v>0</v>
      </c>
      <c r="AY347" s="94">
        <f t="shared" ref="AY347:AY350" si="1720">-BO347</f>
        <v>0</v>
      </c>
      <c r="AZ347" s="433">
        <f>-BU347</f>
        <v>0</v>
      </c>
      <c r="BA347" s="657">
        <v>-45.5</v>
      </c>
      <c r="BB347" s="327">
        <v>-37.540770000000002</v>
      </c>
      <c r="BC347" s="207">
        <v>0</v>
      </c>
      <c r="BD347" s="389">
        <v>0</v>
      </c>
      <c r="BE347" s="389">
        <v>0</v>
      </c>
      <c r="BF347" s="516">
        <v>0</v>
      </c>
      <c r="BG347" s="207">
        <v>0</v>
      </c>
      <c r="BH347" s="207">
        <v>0</v>
      </c>
      <c r="BI347" s="389">
        <v>0</v>
      </c>
      <c r="BJ347" s="516">
        <v>0</v>
      </c>
      <c r="BK347" s="516">
        <v>0</v>
      </c>
      <c r="BL347" s="516">
        <v>0</v>
      </c>
      <c r="BM347" s="516">
        <v>0</v>
      </c>
      <c r="BN347" s="409">
        <v>0</v>
      </c>
      <c r="BO347" s="207">
        <v>0</v>
      </c>
      <c r="BP347" s="389">
        <v>0</v>
      </c>
      <c r="BQ347" s="389">
        <v>0</v>
      </c>
      <c r="BR347" s="389">
        <v>0</v>
      </c>
      <c r="BS347" s="296">
        <v>0</v>
      </c>
      <c r="BT347" s="296">
        <v>0</v>
      </c>
      <c r="BU347" s="296">
        <v>0</v>
      </c>
      <c r="BV347" s="409">
        <v>0</v>
      </c>
      <c r="BW347" s="296">
        <f>-BV347</f>
        <v>0</v>
      </c>
      <c r="BX347" s="439" t="s">
        <v>42</v>
      </c>
    </row>
    <row r="348" spans="1:76" ht="188.45" hidden="1" customHeight="1" outlineLevel="1" x14ac:dyDescent="0.25">
      <c r="A348" s="418">
        <v>2</v>
      </c>
      <c r="B348" s="710" t="s">
        <v>41</v>
      </c>
      <c r="C348" s="694" t="s">
        <v>41</v>
      </c>
      <c r="D348" s="63">
        <v>44243</v>
      </c>
      <c r="E348" s="475" t="s">
        <v>1195</v>
      </c>
      <c r="F348" s="542" t="s">
        <v>708</v>
      </c>
      <c r="G348" s="71" t="s">
        <v>40</v>
      </c>
      <c r="H348" s="311" t="s">
        <v>131</v>
      </c>
      <c r="I348" s="335"/>
      <c r="J348" s="294">
        <f t="shared" ref="J348" si="1721">AQ348/T$8</f>
        <v>0</v>
      </c>
      <c r="K348" s="52">
        <f t="shared" ref="K348:K349" si="1722">AR348/U$8</f>
        <v>0</v>
      </c>
      <c r="L348" s="52">
        <f t="shared" ref="L348:L349" si="1723">AS348/V$8</f>
        <v>1.3926297747306562E-3</v>
      </c>
      <c r="M348" s="52">
        <f t="shared" ref="M348" si="1724">AT348/Y$8</f>
        <v>1.4507066571340401E-3</v>
      </c>
      <c r="N348" s="52">
        <f t="shared" ref="N348" si="1725">AU348/Z$8</f>
        <v>7.1891466187545101E-4</v>
      </c>
      <c r="O348" s="52">
        <f>AV348/AA$8</f>
        <v>0</v>
      </c>
      <c r="P348" s="52">
        <f t="shared" si="1708"/>
        <v>0</v>
      </c>
      <c r="Q348" s="52">
        <f t="shared" si="1708"/>
        <v>0</v>
      </c>
      <c r="R348" s="52">
        <f>AY348/AH$8</f>
        <v>0</v>
      </c>
      <c r="S348" s="527">
        <f t="shared" ref="S348:S349" si="1726">AZ348/AN$8</f>
        <v>0</v>
      </c>
      <c r="T348" s="533">
        <f>BA348/T$8</f>
        <v>0</v>
      </c>
      <c r="U348" s="375">
        <f t="shared" ref="U348:U349" si="1727">BB348/U$8</f>
        <v>0</v>
      </c>
      <c r="V348" s="375">
        <f t="shared" ref="V348:V349" si="1728">BC348/V$8</f>
        <v>-1.3926297747306562E-3</v>
      </c>
      <c r="W348" s="386">
        <f>BD348/W$8</f>
        <v>-1.4855251941415023E-3</v>
      </c>
      <c r="X348" s="386">
        <f>BE348/X$8</f>
        <v>-1.4507066571340401E-3</v>
      </c>
      <c r="Y348" s="386">
        <f t="shared" ref="Y348" si="1729">BF348/Y$8</f>
        <v>-1.4507066571340401E-3</v>
      </c>
      <c r="Z348" s="375">
        <f t="shared" ref="Z348" si="1730">BG348/Z$8</f>
        <v>-7.1891466187545101E-4</v>
      </c>
      <c r="AA348" s="375">
        <f t="shared" ref="AA348" si="1731">BH348/AA$8</f>
        <v>0</v>
      </c>
      <c r="AB348" s="386">
        <f t="shared" ref="AB348:AB349" si="1732">BI348/AB$8</f>
        <v>0</v>
      </c>
      <c r="AC348" s="386">
        <f t="shared" si="1716"/>
        <v>0</v>
      </c>
      <c r="AD348" s="386">
        <f t="shared" si="1716"/>
        <v>0</v>
      </c>
      <c r="AE348" s="386">
        <f t="shared" si="1716"/>
        <v>0</v>
      </c>
      <c r="AF348" s="386">
        <f t="shared" si="1716"/>
        <v>0</v>
      </c>
      <c r="AG348" s="375">
        <f>BN348/AG$8</f>
        <v>0</v>
      </c>
      <c r="AH348" s="375">
        <f t="shared" si="1717"/>
        <v>0</v>
      </c>
      <c r="AI348" s="386">
        <f t="shared" si="1717"/>
        <v>0</v>
      </c>
      <c r="AJ348" s="386">
        <f t="shared" si="1717"/>
        <v>0</v>
      </c>
      <c r="AK348" s="386">
        <f t="shared" si="1717"/>
        <v>0</v>
      </c>
      <c r="AL348" s="377">
        <f t="shared" si="1718"/>
        <v>0</v>
      </c>
      <c r="AM348" s="377">
        <f t="shared" si="1718"/>
        <v>0</v>
      </c>
      <c r="AN348" s="377">
        <f t="shared" si="1718"/>
        <v>0</v>
      </c>
      <c r="AO348" s="283"/>
      <c r="AP348" s="295">
        <f>AR348+AU348+AZ348+AW348+AY348</f>
        <v>24.146602999999999</v>
      </c>
      <c r="AQ348" s="20">
        <f t="shared" ref="AQ348:AQ349" si="1733">-BA348</f>
        <v>0</v>
      </c>
      <c r="AR348" s="95">
        <f t="shared" ref="AR348:AR349" si="1734">-BB348</f>
        <v>0</v>
      </c>
      <c r="AS348" s="94">
        <f t="shared" ref="AS348:AS349" si="1735">-BC348</f>
        <v>45.5</v>
      </c>
      <c r="AT348" s="94">
        <f>-BC348</f>
        <v>45.5</v>
      </c>
      <c r="AU348" s="94">
        <f>-BG348</f>
        <v>24.146602999999999</v>
      </c>
      <c r="AV348" s="94">
        <f>-BH348</f>
        <v>0</v>
      </c>
      <c r="AW348" s="94">
        <f t="shared" si="1719"/>
        <v>0</v>
      </c>
      <c r="AX348" s="94">
        <f>-BN348</f>
        <v>0</v>
      </c>
      <c r="AY348" s="94">
        <f t="shared" si="1720"/>
        <v>0</v>
      </c>
      <c r="AZ348" s="433">
        <f>-BU348</f>
        <v>0</v>
      </c>
      <c r="BA348" s="657">
        <v>0</v>
      </c>
      <c r="BB348" s="327">
        <v>0</v>
      </c>
      <c r="BC348" s="207">
        <v>-45.5</v>
      </c>
      <c r="BD348" s="389">
        <v>-45.5</v>
      </c>
      <c r="BE348" s="389">
        <v>-45.5</v>
      </c>
      <c r="BF348" s="516">
        <v>-45.5</v>
      </c>
      <c r="BG348" s="207">
        <v>-24.146602999999999</v>
      </c>
      <c r="BH348" s="207">
        <v>0</v>
      </c>
      <c r="BI348" s="389">
        <v>0</v>
      </c>
      <c r="BJ348" s="516">
        <v>0</v>
      </c>
      <c r="BK348" s="516">
        <v>0</v>
      </c>
      <c r="BL348" s="516">
        <v>0</v>
      </c>
      <c r="BM348" s="516">
        <v>0</v>
      </c>
      <c r="BN348" s="409">
        <v>0</v>
      </c>
      <c r="BO348" s="207">
        <v>0</v>
      </c>
      <c r="BP348" s="389">
        <v>0</v>
      </c>
      <c r="BQ348" s="389">
        <v>0</v>
      </c>
      <c r="BR348" s="389">
        <v>0</v>
      </c>
      <c r="BS348" s="296">
        <v>0</v>
      </c>
      <c r="BT348" s="296">
        <v>0</v>
      </c>
      <c r="BU348" s="296">
        <v>0</v>
      </c>
      <c r="BV348" s="409">
        <v>0</v>
      </c>
      <c r="BW348" s="296">
        <f>-BV348</f>
        <v>0</v>
      </c>
      <c r="BX348" s="439" t="s">
        <v>707</v>
      </c>
    </row>
    <row r="349" spans="1:76" ht="188.45" hidden="1" customHeight="1" outlineLevel="1" x14ac:dyDescent="0.25">
      <c r="A349" s="210">
        <v>3</v>
      </c>
      <c r="B349" s="313" t="s">
        <v>41</v>
      </c>
      <c r="C349" s="690" t="s">
        <v>41</v>
      </c>
      <c r="D349" s="63" t="s">
        <v>2129</v>
      </c>
      <c r="E349" s="475" t="s">
        <v>1999</v>
      </c>
      <c r="F349" s="542" t="s">
        <v>2001</v>
      </c>
      <c r="G349" s="71" t="s">
        <v>40</v>
      </c>
      <c r="H349" s="311" t="s">
        <v>131</v>
      </c>
      <c r="I349" s="335"/>
      <c r="J349" s="294"/>
      <c r="K349" s="52">
        <f t="shared" si="1722"/>
        <v>0</v>
      </c>
      <c r="L349" s="52">
        <f t="shared" si="1723"/>
        <v>1.3926297747306562E-3</v>
      </c>
      <c r="M349" s="52">
        <f>AT349/Y$8</f>
        <v>1.4507066571340401E-3</v>
      </c>
      <c r="N349" s="52">
        <f>AU349/Z$8</f>
        <v>0</v>
      </c>
      <c r="O349" s="52">
        <f>AV349/AA$8</f>
        <v>1.2715387579668571E-6</v>
      </c>
      <c r="P349" s="52">
        <f t="shared" si="1708"/>
        <v>1.3071960153589275E-6</v>
      </c>
      <c r="Q349" s="52">
        <f t="shared" si="1708"/>
        <v>0</v>
      </c>
      <c r="R349" s="52">
        <f>AY349/AH$8</f>
        <v>0</v>
      </c>
      <c r="S349" s="527">
        <f t="shared" si="1726"/>
        <v>0</v>
      </c>
      <c r="T349" s="533">
        <f>BA349/T$8</f>
        <v>0</v>
      </c>
      <c r="U349" s="375">
        <f t="shared" si="1727"/>
        <v>0</v>
      </c>
      <c r="V349" s="375">
        <f t="shared" si="1728"/>
        <v>-1.3926297747306562E-3</v>
      </c>
      <c r="W349" s="386">
        <f t="shared" ref="W349" si="1736">BD349/W$8</f>
        <v>-1.4855251941415023E-3</v>
      </c>
      <c r="X349" s="386">
        <f t="shared" ref="X349" si="1737">BE349/X$8</f>
        <v>-1.4507066571340401E-3</v>
      </c>
      <c r="Y349" s="386">
        <f t="shared" ref="Y349:AA350" si="1738">BF349/Y$8</f>
        <v>-1.4507066571340401E-3</v>
      </c>
      <c r="Z349" s="375">
        <f t="shared" si="1738"/>
        <v>0</v>
      </c>
      <c r="AA349" s="375">
        <f t="shared" si="1738"/>
        <v>-1.2715387579668571E-6</v>
      </c>
      <c r="AB349" s="386">
        <f t="shared" si="1732"/>
        <v>0</v>
      </c>
      <c r="AC349" s="386">
        <f t="shared" si="1716"/>
        <v>0</v>
      </c>
      <c r="AD349" s="386">
        <f t="shared" si="1716"/>
        <v>-1.4739974067975145E-6</v>
      </c>
      <c r="AE349" s="386">
        <f t="shared" si="1716"/>
        <v>-1.3071960153589275E-6</v>
      </c>
      <c r="AF349" s="386">
        <f t="shared" si="1716"/>
        <v>-1.2715387579668571E-6</v>
      </c>
      <c r="AG349" s="375">
        <f>BN349/AG$8</f>
        <v>0</v>
      </c>
      <c r="AH349" s="375">
        <f t="shared" si="1717"/>
        <v>0</v>
      </c>
      <c r="AI349" s="386">
        <f t="shared" si="1717"/>
        <v>0</v>
      </c>
      <c r="AJ349" s="386">
        <f t="shared" si="1717"/>
        <v>0</v>
      </c>
      <c r="AK349" s="386">
        <f t="shared" si="1717"/>
        <v>0</v>
      </c>
      <c r="AL349" s="377">
        <f t="shared" si="1718"/>
        <v>0</v>
      </c>
      <c r="AM349" s="377">
        <f t="shared" si="1718"/>
        <v>0</v>
      </c>
      <c r="AN349" s="377">
        <f t="shared" si="1718"/>
        <v>0</v>
      </c>
      <c r="AO349" s="283"/>
      <c r="AP349" s="295">
        <f>AR349+AU349+AZ349+AW349+AY349</f>
        <v>5.0147999999999998E-2</v>
      </c>
      <c r="AQ349" s="20">
        <f t="shared" si="1733"/>
        <v>0</v>
      </c>
      <c r="AR349" s="95">
        <f t="shared" si="1734"/>
        <v>0</v>
      </c>
      <c r="AS349" s="94">
        <f t="shared" si="1735"/>
        <v>45.5</v>
      </c>
      <c r="AT349" s="94">
        <f>-BC349</f>
        <v>45.5</v>
      </c>
      <c r="AU349" s="94">
        <f t="shared" ref="AU349" si="1739">-BG349</f>
        <v>0</v>
      </c>
      <c r="AV349" s="94">
        <f>-BH349</f>
        <v>5.0147999999999998E-2</v>
      </c>
      <c r="AW349" s="94">
        <f t="shared" ref="AW349" si="1740">-BH349</f>
        <v>5.0147999999999998E-2</v>
      </c>
      <c r="AX349" s="94">
        <f>-BN349</f>
        <v>0</v>
      </c>
      <c r="AY349" s="94">
        <f t="shared" ref="AY349" si="1741">-BO349</f>
        <v>0</v>
      </c>
      <c r="AZ349" s="433">
        <f t="shared" ref="AZ349" si="1742">-BU349</f>
        <v>0</v>
      </c>
      <c r="BA349" s="657">
        <v>0</v>
      </c>
      <c r="BB349" s="327">
        <v>0</v>
      </c>
      <c r="BC349" s="207">
        <v>-45.5</v>
      </c>
      <c r="BD349" s="389">
        <v>-45.5</v>
      </c>
      <c r="BE349" s="389">
        <v>-45.5</v>
      </c>
      <c r="BF349" s="516">
        <v>-45.5</v>
      </c>
      <c r="BG349" s="207">
        <v>0</v>
      </c>
      <c r="BH349" s="207">
        <f>-0.050148</f>
        <v>-5.0147999999999998E-2</v>
      </c>
      <c r="BI349" s="389">
        <v>0</v>
      </c>
      <c r="BJ349" s="516">
        <v>0</v>
      </c>
      <c r="BK349" s="516">
        <v>-5.0147999999999998E-2</v>
      </c>
      <c r="BL349" s="516">
        <v>-5.0147999999999998E-2</v>
      </c>
      <c r="BM349" s="516">
        <v>-5.0147999999999998E-2</v>
      </c>
      <c r="BN349" s="409">
        <v>0</v>
      </c>
      <c r="BO349" s="207">
        <v>0</v>
      </c>
      <c r="BP349" s="389">
        <v>0</v>
      </c>
      <c r="BQ349" s="389">
        <v>0</v>
      </c>
      <c r="BR349" s="389">
        <v>0</v>
      </c>
      <c r="BS349" s="296">
        <v>0</v>
      </c>
      <c r="BT349" s="296">
        <v>0</v>
      </c>
      <c r="BU349" s="296">
        <v>0</v>
      </c>
      <c r="BV349" s="409">
        <v>0</v>
      </c>
      <c r="BW349" s="296">
        <f>-BV349</f>
        <v>0</v>
      </c>
      <c r="BX349" s="439" t="s">
        <v>2000</v>
      </c>
    </row>
    <row r="350" spans="1:76" ht="101.45" hidden="1" customHeight="1" outlineLevel="1" x14ac:dyDescent="0.25">
      <c r="A350" s="418"/>
      <c r="B350" s="313" t="s">
        <v>41</v>
      </c>
      <c r="C350" s="690" t="s">
        <v>41</v>
      </c>
      <c r="D350" s="63">
        <v>44782</v>
      </c>
      <c r="E350" s="475" t="s">
        <v>2131</v>
      </c>
      <c r="F350" s="542" t="s">
        <v>2130</v>
      </c>
      <c r="G350" s="71" t="s">
        <v>40</v>
      </c>
      <c r="H350" s="311" t="s">
        <v>130</v>
      </c>
      <c r="I350" s="335"/>
      <c r="J350" s="294">
        <f t="shared" si="1705"/>
        <v>0</v>
      </c>
      <c r="K350" s="52">
        <f t="shared" si="1706"/>
        <v>0</v>
      </c>
      <c r="L350" s="52">
        <f t="shared" si="1707"/>
        <v>1.3926297747306562E-3</v>
      </c>
      <c r="M350" s="52">
        <f>AT350/Y$8</f>
        <v>1.4507066571340401E-3</v>
      </c>
      <c r="N350" s="52">
        <f>AU350/Z$8</f>
        <v>0</v>
      </c>
      <c r="O350" s="52">
        <f>AV350/AA$8</f>
        <v>5.5129932597451923E-6</v>
      </c>
      <c r="P350" s="52">
        <f t="shared" si="1708"/>
        <v>5.6675919445527281E-6</v>
      </c>
      <c r="Q350" s="52">
        <f t="shared" si="1708"/>
        <v>5.5129932597451923E-6</v>
      </c>
      <c r="R350" s="52">
        <f>AY350/AH$8</f>
        <v>0</v>
      </c>
      <c r="S350" s="527">
        <f t="shared" si="1709"/>
        <v>0</v>
      </c>
      <c r="T350" s="533">
        <f>BA350/T$8</f>
        <v>0</v>
      </c>
      <c r="U350" s="375">
        <f t="shared" si="1710"/>
        <v>0</v>
      </c>
      <c r="V350" s="375">
        <f t="shared" si="1711"/>
        <v>-1.3926297747306562E-3</v>
      </c>
      <c r="W350" s="386">
        <f t="shared" si="1712"/>
        <v>-1.4855251941415023E-3</v>
      </c>
      <c r="X350" s="386">
        <f t="shared" si="1713"/>
        <v>-1.4507066571340401E-3</v>
      </c>
      <c r="Y350" s="386">
        <f t="shared" si="1738"/>
        <v>-1.4507066571340401E-3</v>
      </c>
      <c r="Z350" s="375">
        <f t="shared" si="1738"/>
        <v>0</v>
      </c>
      <c r="AA350" s="375">
        <f t="shared" si="1738"/>
        <v>-5.5129932597451923E-6</v>
      </c>
      <c r="AB350" s="386">
        <f t="shared" si="1715"/>
        <v>0</v>
      </c>
      <c r="AC350" s="386">
        <f t="shared" si="1716"/>
        <v>0</v>
      </c>
      <c r="AD350" s="386">
        <f t="shared" si="1716"/>
        <v>0</v>
      </c>
      <c r="AE350" s="386">
        <f t="shared" si="1716"/>
        <v>-5.6675919445527281E-6</v>
      </c>
      <c r="AF350" s="386">
        <f t="shared" si="1716"/>
        <v>-5.5129932597451923E-6</v>
      </c>
      <c r="AG350" s="375">
        <f>BN350/AG$8</f>
        <v>-5.5635087499510313E-6</v>
      </c>
      <c r="AH350" s="375">
        <f t="shared" si="1717"/>
        <v>0</v>
      </c>
      <c r="AI350" s="386">
        <f t="shared" si="1717"/>
        <v>0</v>
      </c>
      <c r="AJ350" s="386">
        <f t="shared" si="1717"/>
        <v>0</v>
      </c>
      <c r="AK350" s="386">
        <f t="shared" si="1717"/>
        <v>0</v>
      </c>
      <c r="AL350" s="377">
        <f t="shared" si="1718"/>
        <v>0</v>
      </c>
      <c r="AM350" s="377">
        <f t="shared" si="1718"/>
        <v>0</v>
      </c>
      <c r="AN350" s="377">
        <f t="shared" si="1718"/>
        <v>0</v>
      </c>
      <c r="AO350" s="283"/>
      <c r="AP350" s="295">
        <f>AR350+AU350+AZ350+AW350+AY350</f>
        <v>0.21742600000000001</v>
      </c>
      <c r="AQ350" s="20">
        <f t="shared" ref="AQ350" si="1743">-BA350</f>
        <v>0</v>
      </c>
      <c r="AR350" s="95">
        <f t="shared" ref="AR350" si="1744">-BB350</f>
        <v>0</v>
      </c>
      <c r="AS350" s="94">
        <f t="shared" ref="AS350" si="1745">-BC350</f>
        <v>45.5</v>
      </c>
      <c r="AT350" s="94">
        <f>-BC350</f>
        <v>45.5</v>
      </c>
      <c r="AU350" s="94">
        <f>-BG350</f>
        <v>0</v>
      </c>
      <c r="AV350" s="94">
        <f>-BH350</f>
        <v>0.21742600000000001</v>
      </c>
      <c r="AW350" s="94">
        <f t="shared" si="1719"/>
        <v>0.21742600000000001</v>
      </c>
      <c r="AX350" s="94">
        <f>-BN350</f>
        <v>0.21742600000000001</v>
      </c>
      <c r="AY350" s="94">
        <f t="shared" si="1720"/>
        <v>0</v>
      </c>
      <c r="AZ350" s="433">
        <f>-BU350</f>
        <v>0</v>
      </c>
      <c r="BA350" s="657">
        <v>0</v>
      </c>
      <c r="BB350" s="327">
        <v>0</v>
      </c>
      <c r="BC350" s="207">
        <v>-45.5</v>
      </c>
      <c r="BD350" s="389">
        <v>-45.5</v>
      </c>
      <c r="BE350" s="389">
        <v>-45.5</v>
      </c>
      <c r="BF350" s="516">
        <v>-45.5</v>
      </c>
      <c r="BG350" s="207">
        <v>0</v>
      </c>
      <c r="BH350" s="207">
        <f>-0.217426</f>
        <v>-0.21742600000000001</v>
      </c>
      <c r="BI350" s="389">
        <v>0</v>
      </c>
      <c r="BJ350" s="516">
        <v>0</v>
      </c>
      <c r="BK350" s="516">
        <v>0</v>
      </c>
      <c r="BL350" s="516">
        <v>-0.21742600000000001</v>
      </c>
      <c r="BM350" s="516">
        <v>-0.21742600000000001</v>
      </c>
      <c r="BN350" s="713">
        <v>-0.21742600000000001</v>
      </c>
      <c r="BO350" s="207">
        <v>0</v>
      </c>
      <c r="BP350" s="389">
        <v>0</v>
      </c>
      <c r="BQ350" s="389">
        <v>0</v>
      </c>
      <c r="BR350" s="389">
        <v>0</v>
      </c>
      <c r="BS350" s="296">
        <v>0</v>
      </c>
      <c r="BT350" s="296">
        <v>0</v>
      </c>
      <c r="BU350" s="296">
        <v>0</v>
      </c>
      <c r="BV350" s="713">
        <v>0</v>
      </c>
      <c r="BW350" s="296">
        <f>-BV350</f>
        <v>0</v>
      </c>
      <c r="BX350" s="439" t="s">
        <v>2128</v>
      </c>
    </row>
    <row r="351" spans="1:76" ht="37.5" collapsed="1" x14ac:dyDescent="0.25">
      <c r="A351" s="461">
        <v>6</v>
      </c>
      <c r="B351" s="708" t="s">
        <v>1203</v>
      </c>
      <c r="C351" s="689"/>
      <c r="D351" s="348"/>
      <c r="E351" s="460"/>
      <c r="F351" s="540"/>
      <c r="G351" s="400" t="s">
        <v>1730</v>
      </c>
      <c r="H351" s="401" t="s">
        <v>1730</v>
      </c>
      <c r="I351" s="349"/>
      <c r="J351" s="425">
        <f>SUM(J352:J385)</f>
        <v>0</v>
      </c>
      <c r="K351" s="426">
        <f t="shared" ref="K351:AN351" si="1746">SUM(K352:K385)</f>
        <v>0</v>
      </c>
      <c r="L351" s="426">
        <f t="shared" si="1746"/>
        <v>1.7162441234084233E-3</v>
      </c>
      <c r="M351" s="426">
        <f t="shared" si="1746"/>
        <v>1.7878167049654755E-3</v>
      </c>
      <c r="N351" s="426">
        <f>SUM(N352:N385)</f>
        <v>1.5634225378375736E-3</v>
      </c>
      <c r="O351" s="426">
        <f t="shared" ref="O351:P351" si="1747">SUM(O352:O385)</f>
        <v>2.3604662117635775E-3</v>
      </c>
      <c r="P351" s="426">
        <f t="shared" si="1747"/>
        <v>2.4266598301261977E-3</v>
      </c>
      <c r="Q351" s="426">
        <f t="shared" ref="Q351" si="1748">SUM(Q352:Q385)</f>
        <v>1.3187443427655709E-3</v>
      </c>
      <c r="R351" s="426">
        <f t="shared" si="1746"/>
        <v>0</v>
      </c>
      <c r="S351" s="428">
        <f t="shared" si="1746"/>
        <v>0</v>
      </c>
      <c r="T351" s="425">
        <f t="shared" si="1746"/>
        <v>0</v>
      </c>
      <c r="U351" s="426">
        <f t="shared" si="1746"/>
        <v>0</v>
      </c>
      <c r="V351" s="426">
        <f t="shared" si="1746"/>
        <v>-1.7162441234084233E-3</v>
      </c>
      <c r="W351" s="427">
        <f t="shared" si="1746"/>
        <v>-3.9429442112200687E-3</v>
      </c>
      <c r="X351" s="427">
        <f t="shared" si="1746"/>
        <v>-1.225068781302133E-3</v>
      </c>
      <c r="Y351" s="427">
        <f t="shared" si="1746"/>
        <v>-1.225068781302133E-3</v>
      </c>
      <c r="Z351" s="426">
        <f t="shared" ref="Z351" si="1749">SUM(Z352:Z385)</f>
        <v>-1.5429771523574232E-3</v>
      </c>
      <c r="AA351" s="426">
        <f t="shared" si="1746"/>
        <v>-2.0363945992711908E-3</v>
      </c>
      <c r="AB351" s="427">
        <f t="shared" si="1746"/>
        <v>-2.873345345380432E-3</v>
      </c>
      <c r="AC351" s="427">
        <f t="shared" ref="AC351:AD351" si="1750">SUM(AC352:AC385)</f>
        <v>-2.7224804983357262E-3</v>
      </c>
      <c r="AD351" s="427">
        <f t="shared" si="1750"/>
        <v>-2.3606361502827556E-3</v>
      </c>
      <c r="AE351" s="427">
        <f t="shared" si="1746"/>
        <v>-1.8068962197502303E-3</v>
      </c>
      <c r="AF351" s="427">
        <f t="shared" ref="AF351:AG351" si="1751">SUM(AF352:AF385)</f>
        <v>-1.7576083066665128E-3</v>
      </c>
      <c r="AG351" s="426">
        <f t="shared" si="1751"/>
        <v>-1.3308279811435472E-3</v>
      </c>
      <c r="AH351" s="426">
        <f t="shared" ref="AH351:AI351" si="1752">SUM(AH352:AH385)</f>
        <v>-3.0618357017125756E-4</v>
      </c>
      <c r="AI351" s="427">
        <f t="shared" si="1752"/>
        <v>-3.2584472987632316E-4</v>
      </c>
      <c r="AJ351" s="427">
        <f t="shared" ref="AJ351:AM351" si="1753">SUM(AJ352:AJ385)</f>
        <v>-3.1602095115991583E-4</v>
      </c>
      <c r="AK351" s="427">
        <f t="shared" si="1753"/>
        <v>-3.0862934840772302E-4</v>
      </c>
      <c r="AL351" s="428">
        <f t="shared" si="1753"/>
        <v>0</v>
      </c>
      <c r="AM351" s="428">
        <f t="shared" si="1753"/>
        <v>0</v>
      </c>
      <c r="AN351" s="428">
        <f t="shared" si="1746"/>
        <v>0</v>
      </c>
      <c r="AO351" s="337"/>
      <c r="AP351" s="350">
        <f t="shared" ref="AP351:BW351" si="1754">SUM(AP352:AP385)</f>
        <v>145.60560194999999</v>
      </c>
      <c r="AQ351" s="382">
        <f t="shared" si="1754"/>
        <v>0</v>
      </c>
      <c r="AR351" s="382">
        <f t="shared" si="1754"/>
        <v>0</v>
      </c>
      <c r="AS351" s="382">
        <f t="shared" si="1754"/>
        <v>56.073127999999983</v>
      </c>
      <c r="AT351" s="382">
        <f t="shared" si="1754"/>
        <v>56.073127999999983</v>
      </c>
      <c r="AU351" s="382">
        <f>SUM(AU352:AU385)</f>
        <v>52.511577999999993</v>
      </c>
      <c r="AV351" s="382">
        <f t="shared" ref="AV351" si="1755">SUM(AV352:AV385)</f>
        <v>93.094023950000008</v>
      </c>
      <c r="AW351" s="382">
        <f t="shared" si="1754"/>
        <v>93.094023950000008</v>
      </c>
      <c r="AX351" s="382">
        <f t="shared" ref="AX351" si="1756">SUM(AX352:AX385)</f>
        <v>52.009733000000004</v>
      </c>
      <c r="AY351" s="382">
        <f t="shared" si="1754"/>
        <v>0</v>
      </c>
      <c r="AZ351" s="383">
        <f t="shared" si="1754"/>
        <v>0</v>
      </c>
      <c r="BA351" s="656">
        <f t="shared" si="1754"/>
        <v>0</v>
      </c>
      <c r="BB351" s="350">
        <f t="shared" si="1754"/>
        <v>0</v>
      </c>
      <c r="BC351" s="382">
        <f t="shared" si="1754"/>
        <v>-56.073127999999983</v>
      </c>
      <c r="BD351" s="387">
        <f t="shared" si="1754"/>
        <v>-120.76803700000001</v>
      </c>
      <c r="BE351" s="387">
        <f t="shared" si="1754"/>
        <v>-38.423088</v>
      </c>
      <c r="BF351" s="651">
        <f t="shared" si="1754"/>
        <v>-38.423088</v>
      </c>
      <c r="BG351" s="360">
        <f t="shared" ref="BG351" si="1757">SUM(BG352:BG385)</f>
        <v>-51.82486699999999</v>
      </c>
      <c r="BH351" s="382">
        <f t="shared" si="1754"/>
        <v>-80.31301895</v>
      </c>
      <c r="BI351" s="387">
        <f t="shared" ref="BI351:BU351" si="1758">SUM(BI352:BI385)</f>
        <v>-97.756292999999999</v>
      </c>
      <c r="BJ351" s="515">
        <f t="shared" si="1758"/>
        <v>-92.623603950000003</v>
      </c>
      <c r="BK351" s="515">
        <f t="shared" si="1758"/>
        <v>-80.31301895</v>
      </c>
      <c r="BL351" s="515">
        <f t="shared" si="1758"/>
        <v>-69.318013950000008</v>
      </c>
      <c r="BM351" s="515">
        <f t="shared" ref="BM351:BN351" si="1759">SUM(BM352:BM385)</f>
        <v>-69.318013950000008</v>
      </c>
      <c r="BN351" s="350">
        <f t="shared" si="1759"/>
        <v>-52.009733000000004</v>
      </c>
      <c r="BO351" s="382">
        <f t="shared" si="1758"/>
        <v>-13.467715999999999</v>
      </c>
      <c r="BP351" s="387">
        <f t="shared" si="1758"/>
        <v>-13.467715999999999</v>
      </c>
      <c r="BQ351" s="387">
        <f t="shared" ref="BQ351:BT351" si="1760">SUM(BQ352:BQ385)</f>
        <v>-13.467715999999999</v>
      </c>
      <c r="BR351" s="387">
        <f t="shared" si="1760"/>
        <v>-13.467715999999999</v>
      </c>
      <c r="BS351" s="383">
        <f t="shared" si="1760"/>
        <v>0</v>
      </c>
      <c r="BT351" s="383">
        <f t="shared" si="1760"/>
        <v>0</v>
      </c>
      <c r="BU351" s="383">
        <f t="shared" si="1758"/>
        <v>0</v>
      </c>
      <c r="BV351" s="350">
        <f t="shared" si="1754"/>
        <v>0</v>
      </c>
      <c r="BW351" s="383">
        <f t="shared" si="1754"/>
        <v>0</v>
      </c>
      <c r="BX351" s="351"/>
    </row>
    <row r="352" spans="1:76" ht="122.45" hidden="1" customHeight="1" outlineLevel="1" x14ac:dyDescent="0.25">
      <c r="A352" s="678">
        <v>1</v>
      </c>
      <c r="B352" s="702" t="s">
        <v>1203</v>
      </c>
      <c r="C352" s="694" t="s">
        <v>1203</v>
      </c>
      <c r="D352" s="63">
        <v>44273</v>
      </c>
      <c r="E352" s="463" t="s">
        <v>1204</v>
      </c>
      <c r="F352" s="544" t="s">
        <v>1205</v>
      </c>
      <c r="G352" s="71" t="s">
        <v>1733</v>
      </c>
      <c r="H352" s="311" t="s">
        <v>171</v>
      </c>
      <c r="I352" s="335"/>
      <c r="J352" s="294">
        <f t="shared" ref="J352:J385" si="1761">AQ352/T$8</f>
        <v>0</v>
      </c>
      <c r="K352" s="52">
        <f t="shared" ref="K352:K385" si="1762">AR352/U$8</f>
        <v>0</v>
      </c>
      <c r="L352" s="52">
        <f t="shared" ref="L352:L385" si="1763">AS352/V$8</f>
        <v>8.7384182174338835E-5</v>
      </c>
      <c r="M352" s="52">
        <f t="shared" ref="M352:M385" si="1764">AT352/Y$8</f>
        <v>9.10283674159164E-5</v>
      </c>
      <c r="N352" s="52">
        <f t="shared" ref="N352:N385" si="1765">AU352/Z$8</f>
        <v>0</v>
      </c>
      <c r="O352" s="52">
        <f t="shared" ref="O352:O385" si="1766">AV352/AA$8</f>
        <v>2.6208977772327978E-4</v>
      </c>
      <c r="P352" s="52">
        <f t="shared" ref="P352:P385" si="1767">AW352/AE$8</f>
        <v>2.6943945747590677E-4</v>
      </c>
      <c r="Q352" s="52">
        <f t="shared" ref="Q352:Q385" si="1768">AX352/AF$8</f>
        <v>5.3245799590612142E-5</v>
      </c>
      <c r="R352" s="52">
        <f t="shared" ref="R352:R385" si="1769">AY352/AH$8</f>
        <v>0</v>
      </c>
      <c r="S352" s="527">
        <f t="shared" ref="S352:S385" si="1770">AZ352/AN$8</f>
        <v>0</v>
      </c>
      <c r="T352" s="533">
        <f t="shared" ref="T352:T385" si="1771">BA352/T$8</f>
        <v>0</v>
      </c>
      <c r="U352" s="375">
        <f t="shared" ref="U352:U385" si="1772">BB352/U$8</f>
        <v>0</v>
      </c>
      <c r="V352" s="375">
        <f t="shared" ref="V352:V385" si="1773">BC352/V$8</f>
        <v>-8.7384182174338835E-5</v>
      </c>
      <c r="W352" s="386">
        <f t="shared" ref="W352:W385" si="1774">BD352/W$8</f>
        <v>-3.9429442112200687E-3</v>
      </c>
      <c r="X352" s="386">
        <f t="shared" ref="X352:X385" si="1775">BE352/X$8</f>
        <v>0</v>
      </c>
      <c r="Y352" s="386">
        <f t="shared" ref="Y352:Y380" si="1776">BF352/Y$8</f>
        <v>0</v>
      </c>
      <c r="Z352" s="375">
        <f t="shared" ref="Z352:Z380" si="1777">BG352/Z$8</f>
        <v>0</v>
      </c>
      <c r="AA352" s="375">
        <f t="shared" ref="AA352:AA385" si="1778">BH352/AA$8</f>
        <v>-2.6208977772327978E-4</v>
      </c>
      <c r="AB352" s="386">
        <f t="shared" ref="AB352:AB385" si="1779">BI352/AB$8</f>
        <v>-2.096207990449133E-3</v>
      </c>
      <c r="AC352" s="386">
        <f t="shared" ref="AC352:AC385" si="1780">BJ352/AC$8</f>
        <v>-3.5645609215803376E-4</v>
      </c>
      <c r="AD352" s="386">
        <f t="shared" ref="AD352:AD385" si="1781">BK352/AD$8</f>
        <v>-3.5645609215803376E-4</v>
      </c>
      <c r="AE352" s="386">
        <f t="shared" ref="AE352:AE385" si="1782">BL352/AE$8</f>
        <v>1.7164728630248815E-5</v>
      </c>
      <c r="AF352" s="386">
        <f t="shared" ref="AF352:AF385" si="1783">BM352/AF$8</f>
        <v>1.6696514881398175E-5</v>
      </c>
      <c r="AG352" s="375">
        <f t="shared" ref="AG352:AG385" si="1784">BN352/AG$8</f>
        <v>-5.3733690204838279E-5</v>
      </c>
      <c r="AH352" s="375">
        <f t="shared" ref="AH352:AH385" si="1785">BO352/AH$8</f>
        <v>0</v>
      </c>
      <c r="AI352" s="386">
        <f t="shared" ref="AI352:AI385" si="1786">BP352/AI$8</f>
        <v>0</v>
      </c>
      <c r="AJ352" s="386">
        <f t="shared" ref="AJ352:AJ385" si="1787">BQ352/AJ$8</f>
        <v>0</v>
      </c>
      <c r="AK352" s="386">
        <f t="shared" ref="AK352:AK385" si="1788">BR352/AK$8</f>
        <v>0</v>
      </c>
      <c r="AL352" s="377">
        <f t="shared" ref="AL352:AL385" si="1789">BS352/AL$8</f>
        <v>0</v>
      </c>
      <c r="AM352" s="377">
        <f t="shared" ref="AM352:AM385" si="1790">BT352/AM$8</f>
        <v>0</v>
      </c>
      <c r="AN352" s="377">
        <f t="shared" ref="AN352:AN385" si="1791">BU352/AN$8</f>
        <v>0</v>
      </c>
      <c r="AO352" s="283"/>
      <c r="AP352" s="295">
        <f t="shared" ref="AP352:AP385" si="1792">AR352+AU352+AZ352+AW352+AY352</f>
        <v>10.336514000000003</v>
      </c>
      <c r="AQ352" s="20">
        <f>-BA352</f>
        <v>0</v>
      </c>
      <c r="AR352" s="95">
        <f>-BB352</f>
        <v>0</v>
      </c>
      <c r="AS352" s="94">
        <f>-BC352</f>
        <v>2.8550159999999982</v>
      </c>
      <c r="AT352" s="94">
        <f t="shared" ref="AT352:AT385" si="1793">-BC352</f>
        <v>2.8550159999999982</v>
      </c>
      <c r="AU352" s="94">
        <f t="shared" ref="AU352:AU385" si="1794">-BG352</f>
        <v>0</v>
      </c>
      <c r="AV352" s="94">
        <f t="shared" ref="AV352:AV369" si="1795">-BH352</f>
        <v>10.336514000000003</v>
      </c>
      <c r="AW352" s="94">
        <f t="shared" ref="AW352:AW363" si="1796">-BH352</f>
        <v>10.336514000000003</v>
      </c>
      <c r="AX352" s="94">
        <f t="shared" ref="AX352:AX369" si="1797">-BN352</f>
        <v>2.099952</v>
      </c>
      <c r="AY352" s="94">
        <f t="shared" ref="AY352:AY363" si="1798">-BO352</f>
        <v>0</v>
      </c>
      <c r="AZ352" s="433">
        <f t="shared" ref="AZ352:AZ363" si="1799">-BU352</f>
        <v>0</v>
      </c>
      <c r="BA352" s="657">
        <v>0</v>
      </c>
      <c r="BB352" s="327">
        <v>0</v>
      </c>
      <c r="BC352" s="207">
        <f>-110.72852+55+0.539777+27.15+1.217154+0.3+2.67598+0.173594+1.576+0.530868+0.849399+1.105445+1.910236+0.394635+0.679395+1.350559+0.316613+0.402359+1.758446+3.354989+0.182284+0.125907+0.244902+1.43673+1.382553+1.197551+0.3+0.469847+0.394826+0.217391+0.636064</f>
        <v>-2.8550159999999982</v>
      </c>
      <c r="BD352" s="389">
        <f>-120.768037</f>
        <v>-120.76803700000001</v>
      </c>
      <c r="BE352" s="389">
        <v>0</v>
      </c>
      <c r="BF352" s="516">
        <v>0</v>
      </c>
      <c r="BG352" s="1010">
        <v>0</v>
      </c>
      <c r="BH352" s="207">
        <f>-92.623604+80.496337+1.790753</f>
        <v>-10.336514000000003</v>
      </c>
      <c r="BI352" s="389">
        <v>-71.316705049999996</v>
      </c>
      <c r="BJ352" s="516">
        <v>-12.127267000000003</v>
      </c>
      <c r="BK352" s="516">
        <v>-12.127267000000003</v>
      </c>
      <c r="BL352" s="516">
        <f>-12.127267+1.790753+10.995005</f>
        <v>0.65849100000000149</v>
      </c>
      <c r="BM352" s="516">
        <f>-12.127267+1.790753+10.995005</f>
        <v>0.65849100000000149</v>
      </c>
      <c r="BN352" s="713">
        <f>-0.61749-1.482462</f>
        <v>-2.099952</v>
      </c>
      <c r="BO352" s="207">
        <v>0</v>
      </c>
      <c r="BP352" s="389">
        <v>0</v>
      </c>
      <c r="BQ352" s="389">
        <v>0</v>
      </c>
      <c r="BR352" s="389">
        <v>0</v>
      </c>
      <c r="BS352" s="296">
        <v>0</v>
      </c>
      <c r="BT352" s="296">
        <v>0</v>
      </c>
      <c r="BU352" s="296">
        <v>0</v>
      </c>
      <c r="BV352" s="713">
        <v>0</v>
      </c>
      <c r="BW352" s="296">
        <f>-BV352</f>
        <v>0</v>
      </c>
      <c r="BX352" s="439" t="s">
        <v>1218</v>
      </c>
    </row>
    <row r="353" spans="1:76" ht="72.599999999999994" hidden="1" customHeight="1" outlineLevel="1" x14ac:dyDescent="0.25">
      <c r="A353" s="678">
        <v>2</v>
      </c>
      <c r="B353" s="702" t="s">
        <v>1203</v>
      </c>
      <c r="C353" s="694" t="s">
        <v>1203</v>
      </c>
      <c r="D353" s="63">
        <v>44300</v>
      </c>
      <c r="E353" s="463" t="s">
        <v>1335</v>
      </c>
      <c r="F353" s="544" t="s">
        <v>1205</v>
      </c>
      <c r="G353" s="71" t="s">
        <v>211</v>
      </c>
      <c r="H353" s="311" t="s">
        <v>171</v>
      </c>
      <c r="I353" s="335"/>
      <c r="J353" s="294">
        <f t="shared" si="1761"/>
        <v>0</v>
      </c>
      <c r="K353" s="52">
        <f t="shared" si="1762"/>
        <v>0</v>
      </c>
      <c r="L353" s="52">
        <f t="shared" si="1763"/>
        <v>1.6521088393731635E-5</v>
      </c>
      <c r="M353" s="52">
        <f t="shared" si="1764"/>
        <v>1.7210067852040456E-5</v>
      </c>
      <c r="N353" s="52">
        <f t="shared" si="1765"/>
        <v>1.6070732576468224E-5</v>
      </c>
      <c r="O353" s="52">
        <f t="shared" si="1766"/>
        <v>3.5030350169531373E-5</v>
      </c>
      <c r="P353" s="52">
        <f t="shared" si="1767"/>
        <v>3.60126923944169E-5</v>
      </c>
      <c r="Q353" s="52">
        <f t="shared" si="1768"/>
        <v>0</v>
      </c>
      <c r="R353" s="52">
        <f t="shared" si="1769"/>
        <v>0</v>
      </c>
      <c r="S353" s="527">
        <f t="shared" si="1770"/>
        <v>0</v>
      </c>
      <c r="T353" s="533">
        <f t="shared" si="1771"/>
        <v>0</v>
      </c>
      <c r="U353" s="375">
        <f t="shared" si="1772"/>
        <v>0</v>
      </c>
      <c r="V353" s="375">
        <f t="shared" si="1773"/>
        <v>-1.6521088393731635E-5</v>
      </c>
      <c r="W353" s="386">
        <f t="shared" si="1774"/>
        <v>0</v>
      </c>
      <c r="X353" s="386">
        <f t="shared" si="1775"/>
        <v>-1.7210067852040456E-5</v>
      </c>
      <c r="Y353" s="386">
        <f t="shared" si="1776"/>
        <v>-1.7210067852040456E-5</v>
      </c>
      <c r="Z353" s="375">
        <f t="shared" si="1777"/>
        <v>-1.6070732576468224E-5</v>
      </c>
      <c r="AA353" s="375">
        <f t="shared" si="1778"/>
        <v>-3.5030350169531373E-5</v>
      </c>
      <c r="AB353" s="386">
        <f t="shared" si="1779"/>
        <v>0</v>
      </c>
      <c r="AC353" s="386">
        <f t="shared" si="1780"/>
        <v>-4.0607999548248125E-5</v>
      </c>
      <c r="AD353" s="386">
        <f t="shared" si="1781"/>
        <v>-4.0607999548248125E-5</v>
      </c>
      <c r="AE353" s="386">
        <f t="shared" si="1782"/>
        <v>-3.60126923944169E-5</v>
      </c>
      <c r="AF353" s="386">
        <f t="shared" si="1783"/>
        <v>-3.5030350169531373E-5</v>
      </c>
      <c r="AG353" s="375">
        <f t="shared" si="1784"/>
        <v>0</v>
      </c>
      <c r="AH353" s="375">
        <f t="shared" si="1785"/>
        <v>0</v>
      </c>
      <c r="AI353" s="386">
        <f t="shared" si="1786"/>
        <v>0</v>
      </c>
      <c r="AJ353" s="386">
        <f t="shared" si="1787"/>
        <v>0</v>
      </c>
      <c r="AK353" s="386">
        <f t="shared" si="1788"/>
        <v>0</v>
      </c>
      <c r="AL353" s="377">
        <f t="shared" si="1789"/>
        <v>0</v>
      </c>
      <c r="AM353" s="377">
        <f t="shared" si="1790"/>
        <v>0</v>
      </c>
      <c r="AN353" s="377">
        <f t="shared" si="1791"/>
        <v>0</v>
      </c>
      <c r="AO353" s="283"/>
      <c r="AP353" s="295">
        <f t="shared" si="1792"/>
        <v>1.921333</v>
      </c>
      <c r="AQ353" s="20">
        <f t="shared" ref="AQ353:AQ385" si="1800">-BA353</f>
        <v>0</v>
      </c>
      <c r="AR353" s="95">
        <f t="shared" ref="AR353:AR385" si="1801">-BB353</f>
        <v>0</v>
      </c>
      <c r="AS353" s="94">
        <f t="shared" ref="AS353:AS385" si="1802">-BC353</f>
        <v>0.53977699999999995</v>
      </c>
      <c r="AT353" s="94">
        <f t="shared" si="1793"/>
        <v>0.53977699999999995</v>
      </c>
      <c r="AU353" s="94">
        <f t="shared" si="1794"/>
        <v>0.53977699999999995</v>
      </c>
      <c r="AV353" s="94">
        <f t="shared" si="1795"/>
        <v>1.381556</v>
      </c>
      <c r="AW353" s="94">
        <f t="shared" si="1796"/>
        <v>1.381556</v>
      </c>
      <c r="AX353" s="94">
        <f t="shared" si="1797"/>
        <v>0</v>
      </c>
      <c r="AY353" s="94">
        <f t="shared" si="1798"/>
        <v>0</v>
      </c>
      <c r="AZ353" s="433">
        <f t="shared" si="1799"/>
        <v>0</v>
      </c>
      <c r="BA353" s="657">
        <v>0</v>
      </c>
      <c r="BB353" s="327">
        <v>0</v>
      </c>
      <c r="BC353" s="207">
        <v>-0.53977699999999995</v>
      </c>
      <c r="BD353" s="389">
        <v>0</v>
      </c>
      <c r="BE353" s="389">
        <v>-0.53977699999999995</v>
      </c>
      <c r="BF353" s="516">
        <v>-0.53977699999999995</v>
      </c>
      <c r="BG353" s="207">
        <v>-0.53977699999999995</v>
      </c>
      <c r="BH353" s="207">
        <f>-1.381556</f>
        <v>-1.381556</v>
      </c>
      <c r="BI353" s="389">
        <v>0</v>
      </c>
      <c r="BJ353" s="516">
        <v>-1.381556</v>
      </c>
      <c r="BK353" s="516">
        <v>-1.381556</v>
      </c>
      <c r="BL353" s="516">
        <v>-1.381556</v>
      </c>
      <c r="BM353" s="516">
        <v>-1.381556</v>
      </c>
      <c r="BN353" s="409">
        <v>0</v>
      </c>
      <c r="BO353" s="207">
        <v>0</v>
      </c>
      <c r="BP353" s="389">
        <v>0</v>
      </c>
      <c r="BQ353" s="389">
        <v>0</v>
      </c>
      <c r="BR353" s="389">
        <v>0</v>
      </c>
      <c r="BS353" s="296">
        <v>0</v>
      </c>
      <c r="BT353" s="296">
        <v>0</v>
      </c>
      <c r="BU353" s="296">
        <v>0</v>
      </c>
      <c r="BV353" s="409">
        <v>0</v>
      </c>
      <c r="BW353" s="296">
        <f t="shared" ref="BW353:BW380" si="1803">-BV353</f>
        <v>0</v>
      </c>
      <c r="BX353" s="439" t="s">
        <v>1288</v>
      </c>
    </row>
    <row r="354" spans="1:76" ht="72.599999999999994" hidden="1" customHeight="1" outlineLevel="1" x14ac:dyDescent="0.25">
      <c r="A354" s="678">
        <v>3</v>
      </c>
      <c r="B354" s="702" t="s">
        <v>1203</v>
      </c>
      <c r="C354" s="694" t="s">
        <v>1203</v>
      </c>
      <c r="D354" s="63">
        <v>44348</v>
      </c>
      <c r="E354" s="463" t="s">
        <v>1559</v>
      </c>
      <c r="F354" s="544" t="s">
        <v>1205</v>
      </c>
      <c r="G354" s="71" t="s">
        <v>709</v>
      </c>
      <c r="H354" s="311" t="s">
        <v>171</v>
      </c>
      <c r="I354" s="335"/>
      <c r="J354" s="294">
        <f t="shared" si="1761"/>
        <v>0</v>
      </c>
      <c r="K354" s="52">
        <f t="shared" si="1762"/>
        <v>0</v>
      </c>
      <c r="L354" s="52">
        <f t="shared" si="1763"/>
        <v>8.3098677766895194E-4</v>
      </c>
      <c r="M354" s="52">
        <f t="shared" si="1764"/>
        <v>8.6564144486130079E-4</v>
      </c>
      <c r="N354" s="52">
        <f t="shared" si="1765"/>
        <v>8.08334533429754E-4</v>
      </c>
      <c r="O354" s="52">
        <f t="shared" si="1766"/>
        <v>6.0299921126921881E-4</v>
      </c>
      <c r="P354" s="52">
        <f t="shared" si="1767"/>
        <v>6.1990887914109853E-4</v>
      </c>
      <c r="Q354" s="52">
        <f t="shared" si="1768"/>
        <v>5.7476734003240751E-4</v>
      </c>
      <c r="R354" s="52">
        <f t="shared" si="1769"/>
        <v>0</v>
      </c>
      <c r="S354" s="527">
        <f t="shared" si="1770"/>
        <v>0</v>
      </c>
      <c r="T354" s="533">
        <f t="shared" si="1771"/>
        <v>0</v>
      </c>
      <c r="U354" s="375">
        <f t="shared" si="1772"/>
        <v>0</v>
      </c>
      <c r="V354" s="375">
        <f t="shared" si="1773"/>
        <v>-8.3098677766895194E-4</v>
      </c>
      <c r="W354" s="386">
        <f t="shared" si="1774"/>
        <v>0</v>
      </c>
      <c r="X354" s="386">
        <f t="shared" si="1775"/>
        <v>-8.6564144486130079E-4</v>
      </c>
      <c r="Y354" s="386">
        <f t="shared" si="1776"/>
        <v>-8.6564144486130079E-4</v>
      </c>
      <c r="Z354" s="375">
        <f t="shared" si="1777"/>
        <v>-8.08334533429754E-4</v>
      </c>
      <c r="AA354" s="375">
        <f t="shared" si="1778"/>
        <v>-6.0299921126921881E-4</v>
      </c>
      <c r="AB354" s="386">
        <f t="shared" si="1779"/>
        <v>-6.9901076010688284E-4</v>
      </c>
      <c r="AC354" s="386">
        <f t="shared" si="1780"/>
        <v>-6.9901076010688327E-4</v>
      </c>
      <c r="AD354" s="386">
        <f t="shared" si="1781"/>
        <v>-6.9901076010688327E-4</v>
      </c>
      <c r="AE354" s="386">
        <f t="shared" si="1782"/>
        <v>-6.1990887914109853E-4</v>
      </c>
      <c r="AF354" s="386">
        <f t="shared" si="1783"/>
        <v>-6.0299921126921881E-4</v>
      </c>
      <c r="AG354" s="375">
        <f t="shared" si="1784"/>
        <v>-5.8003392618045317E-4</v>
      </c>
      <c r="AH354" s="375">
        <f t="shared" si="1785"/>
        <v>0</v>
      </c>
      <c r="AI354" s="386">
        <f t="shared" si="1786"/>
        <v>0</v>
      </c>
      <c r="AJ354" s="386">
        <f t="shared" si="1787"/>
        <v>0</v>
      </c>
      <c r="AK354" s="386">
        <f t="shared" si="1788"/>
        <v>0</v>
      </c>
      <c r="AL354" s="377">
        <f t="shared" si="1789"/>
        <v>0</v>
      </c>
      <c r="AM354" s="377">
        <f t="shared" si="1790"/>
        <v>0</v>
      </c>
      <c r="AN354" s="377">
        <f t="shared" si="1791"/>
        <v>0</v>
      </c>
      <c r="AO354" s="283"/>
      <c r="AP354" s="295">
        <f t="shared" si="1792"/>
        <v>50.931582950000006</v>
      </c>
      <c r="AQ354" s="20">
        <f t="shared" si="1800"/>
        <v>0</v>
      </c>
      <c r="AR354" s="95">
        <f t="shared" si="1801"/>
        <v>0</v>
      </c>
      <c r="AS354" s="94">
        <f t="shared" si="1802"/>
        <v>27.15</v>
      </c>
      <c r="AT354" s="94">
        <f t="shared" si="1793"/>
        <v>27.15</v>
      </c>
      <c r="AU354" s="94">
        <f t="shared" si="1794"/>
        <v>27.150000000000002</v>
      </c>
      <c r="AV354" s="94">
        <f t="shared" si="1795"/>
        <v>23.781582950000001</v>
      </c>
      <c r="AW354" s="94">
        <f t="shared" si="1796"/>
        <v>23.781582950000001</v>
      </c>
      <c r="AX354" s="94">
        <f t="shared" si="1797"/>
        <v>22.668151000000002</v>
      </c>
      <c r="AY354" s="94">
        <f t="shared" si="1798"/>
        <v>0</v>
      </c>
      <c r="AZ354" s="433">
        <f t="shared" si="1799"/>
        <v>0</v>
      </c>
      <c r="BA354" s="657">
        <v>0</v>
      </c>
      <c r="BB354" s="327">
        <v>0</v>
      </c>
      <c r="BC354" s="207">
        <v>-27.15</v>
      </c>
      <c r="BD354" s="389">
        <v>0</v>
      </c>
      <c r="BE354" s="389">
        <v>-27.15</v>
      </c>
      <c r="BF354" s="516">
        <v>-27.15</v>
      </c>
      <c r="BG354" s="1010">
        <f>-10.372998-14.695385-2.081617</f>
        <v>-27.150000000000002</v>
      </c>
      <c r="BH354" s="207">
        <v>-23.781582950000001</v>
      </c>
      <c r="BI354" s="389">
        <v>-23.781582950000001</v>
      </c>
      <c r="BJ354" s="516">
        <v>-23.781582950000001</v>
      </c>
      <c r="BK354" s="516">
        <v>-23.781582950000001</v>
      </c>
      <c r="BL354" s="516">
        <v>-23.781582950000001</v>
      </c>
      <c r="BM354" s="516">
        <v>-23.781582950000001</v>
      </c>
      <c r="BN354" s="713">
        <f>-22.668151</f>
        <v>-22.668151000000002</v>
      </c>
      <c r="BO354" s="207">
        <v>0</v>
      </c>
      <c r="BP354" s="389">
        <v>0</v>
      </c>
      <c r="BQ354" s="389">
        <v>0</v>
      </c>
      <c r="BR354" s="389">
        <v>0</v>
      </c>
      <c r="BS354" s="296">
        <v>0</v>
      </c>
      <c r="BT354" s="296">
        <v>0</v>
      </c>
      <c r="BU354" s="296">
        <v>0</v>
      </c>
      <c r="BV354" s="713">
        <v>0</v>
      </c>
      <c r="BW354" s="296">
        <f t="shared" si="1803"/>
        <v>0</v>
      </c>
      <c r="BX354" s="439" t="s">
        <v>2127</v>
      </c>
    </row>
    <row r="355" spans="1:76" ht="72.599999999999994" hidden="1" customHeight="1" outlineLevel="1" x14ac:dyDescent="0.25">
      <c r="A355" s="678">
        <v>4</v>
      </c>
      <c r="B355" s="702" t="s">
        <v>1203</v>
      </c>
      <c r="C355" s="694" t="s">
        <v>1203</v>
      </c>
      <c r="D355" s="63">
        <v>44355</v>
      </c>
      <c r="E355" s="463" t="s">
        <v>1467</v>
      </c>
      <c r="F355" s="544" t="s">
        <v>1205</v>
      </c>
      <c r="G355" s="71" t="s">
        <v>211</v>
      </c>
      <c r="H355" s="311" t="s">
        <v>171</v>
      </c>
      <c r="I355" s="335"/>
      <c r="J355" s="294">
        <f t="shared" si="1761"/>
        <v>0</v>
      </c>
      <c r="K355" s="52">
        <f t="shared" si="1762"/>
        <v>0</v>
      </c>
      <c r="L355" s="52">
        <f t="shared" si="1763"/>
        <v>9.1821743388834476E-6</v>
      </c>
      <c r="M355" s="52">
        <f t="shared" si="1764"/>
        <v>9.5650988382464175E-6</v>
      </c>
      <c r="N355" s="52">
        <f t="shared" si="1765"/>
        <v>8.9318732975663415E-6</v>
      </c>
      <c r="O355" s="52">
        <f t="shared" si="1766"/>
        <v>2.9781664958223739E-5</v>
      </c>
      <c r="P355" s="52">
        <f t="shared" si="1767"/>
        <v>3.061682038414074E-5</v>
      </c>
      <c r="Q355" s="52">
        <f t="shared" si="1768"/>
        <v>0</v>
      </c>
      <c r="R355" s="52">
        <f t="shared" si="1769"/>
        <v>0</v>
      </c>
      <c r="S355" s="527">
        <f t="shared" si="1770"/>
        <v>0</v>
      </c>
      <c r="T355" s="533">
        <f t="shared" si="1771"/>
        <v>0</v>
      </c>
      <c r="U355" s="375">
        <f t="shared" si="1772"/>
        <v>0</v>
      </c>
      <c r="V355" s="375">
        <f t="shared" si="1773"/>
        <v>-9.1821743388834476E-6</v>
      </c>
      <c r="W355" s="386">
        <f t="shared" si="1774"/>
        <v>0</v>
      </c>
      <c r="X355" s="386">
        <f t="shared" si="1775"/>
        <v>-9.5650988382464175E-6</v>
      </c>
      <c r="Y355" s="386">
        <f t="shared" si="1776"/>
        <v>-9.5650988382464175E-6</v>
      </c>
      <c r="Z355" s="375">
        <f t="shared" si="1777"/>
        <v>-8.9318732975663415E-6</v>
      </c>
      <c r="AA355" s="375">
        <f t="shared" si="1778"/>
        <v>-2.9781664958223739E-5</v>
      </c>
      <c r="AB355" s="386">
        <f t="shared" si="1779"/>
        <v>0</v>
      </c>
      <c r="AC355" s="386">
        <f t="shared" si="1780"/>
        <v>-3.4523601143488234E-5</v>
      </c>
      <c r="AD355" s="386">
        <f t="shared" si="1781"/>
        <v>-3.4523601143488234E-5</v>
      </c>
      <c r="AE355" s="386">
        <f t="shared" si="1782"/>
        <v>-3.061682038414074E-5</v>
      </c>
      <c r="AF355" s="386">
        <f t="shared" si="1783"/>
        <v>-2.9781664958223739E-5</v>
      </c>
      <c r="AG355" s="375">
        <f t="shared" si="1784"/>
        <v>0</v>
      </c>
      <c r="AH355" s="375">
        <f t="shared" si="1785"/>
        <v>0</v>
      </c>
      <c r="AI355" s="386">
        <f t="shared" si="1786"/>
        <v>0</v>
      </c>
      <c r="AJ355" s="386">
        <f t="shared" si="1787"/>
        <v>0</v>
      </c>
      <c r="AK355" s="386">
        <f t="shared" si="1788"/>
        <v>0</v>
      </c>
      <c r="AL355" s="377">
        <f t="shared" si="1789"/>
        <v>0</v>
      </c>
      <c r="AM355" s="377">
        <f t="shared" si="1790"/>
        <v>0</v>
      </c>
      <c r="AN355" s="377">
        <f t="shared" si="1791"/>
        <v>0</v>
      </c>
      <c r="AO355" s="283"/>
      <c r="AP355" s="295">
        <f t="shared" si="1792"/>
        <v>1.4745540000000001</v>
      </c>
      <c r="AQ355" s="20">
        <f t="shared" si="1800"/>
        <v>0</v>
      </c>
      <c r="AR355" s="95">
        <f t="shared" si="1801"/>
        <v>0</v>
      </c>
      <c r="AS355" s="94">
        <f t="shared" si="1802"/>
        <v>0.3</v>
      </c>
      <c r="AT355" s="94">
        <f t="shared" si="1793"/>
        <v>0.3</v>
      </c>
      <c r="AU355" s="94">
        <f t="shared" si="1794"/>
        <v>0.3</v>
      </c>
      <c r="AV355" s="94">
        <f t="shared" si="1795"/>
        <v>1.1745540000000001</v>
      </c>
      <c r="AW355" s="94">
        <f t="shared" si="1796"/>
        <v>1.1745540000000001</v>
      </c>
      <c r="AX355" s="94">
        <f t="shared" si="1797"/>
        <v>0</v>
      </c>
      <c r="AY355" s="94">
        <f t="shared" si="1798"/>
        <v>0</v>
      </c>
      <c r="AZ355" s="433">
        <f t="shared" si="1799"/>
        <v>0</v>
      </c>
      <c r="BA355" s="657">
        <v>0</v>
      </c>
      <c r="BB355" s="327">
        <v>0</v>
      </c>
      <c r="BC355" s="207">
        <v>-0.3</v>
      </c>
      <c r="BD355" s="389">
        <v>0</v>
      </c>
      <c r="BE355" s="389">
        <v>-0.3</v>
      </c>
      <c r="BF355" s="516">
        <v>-0.3</v>
      </c>
      <c r="BG355" s="207">
        <v>-0.3</v>
      </c>
      <c r="BH355" s="207">
        <f>-1.174554</f>
        <v>-1.1745540000000001</v>
      </c>
      <c r="BI355" s="389">
        <v>0</v>
      </c>
      <c r="BJ355" s="516">
        <v>-1.1745540000000001</v>
      </c>
      <c r="BK355" s="516">
        <v>-1.1745540000000001</v>
      </c>
      <c r="BL355" s="516">
        <v>-1.1745540000000001</v>
      </c>
      <c r="BM355" s="516">
        <v>-1.1745540000000001</v>
      </c>
      <c r="BN355" s="409">
        <v>0</v>
      </c>
      <c r="BO355" s="207">
        <v>0</v>
      </c>
      <c r="BP355" s="389">
        <v>0</v>
      </c>
      <c r="BQ355" s="389">
        <v>0</v>
      </c>
      <c r="BR355" s="389">
        <v>0</v>
      </c>
      <c r="BS355" s="296">
        <v>0</v>
      </c>
      <c r="BT355" s="296">
        <v>0</v>
      </c>
      <c r="BU355" s="296">
        <v>0</v>
      </c>
      <c r="BV355" s="409">
        <v>0</v>
      </c>
      <c r="BW355" s="296">
        <f t="shared" si="1803"/>
        <v>0</v>
      </c>
      <c r="BX355" s="439" t="s">
        <v>1461</v>
      </c>
    </row>
    <row r="356" spans="1:76" ht="87" hidden="1" customHeight="1" outlineLevel="1" x14ac:dyDescent="0.25">
      <c r="A356" s="678">
        <v>5</v>
      </c>
      <c r="B356" s="702" t="s">
        <v>1203</v>
      </c>
      <c r="C356" s="694" t="s">
        <v>1203</v>
      </c>
      <c r="D356" s="63">
        <v>44361</v>
      </c>
      <c r="E356" s="463" t="s">
        <v>1671</v>
      </c>
      <c r="F356" s="544" t="s">
        <v>1205</v>
      </c>
      <c r="G356" s="71" t="s">
        <v>25</v>
      </c>
      <c r="H356" s="311" t="s">
        <v>171</v>
      </c>
      <c r="I356" s="335"/>
      <c r="J356" s="294">
        <f t="shared" si="1761"/>
        <v>0</v>
      </c>
      <c r="K356" s="52">
        <f t="shared" si="1762"/>
        <v>0</v>
      </c>
      <c r="L356" s="52">
        <f t="shared" si="1763"/>
        <v>3.725373408423115E-5</v>
      </c>
      <c r="M356" s="52">
        <f t="shared" si="1764"/>
        <v>3.8807327704556609E-5</v>
      </c>
      <c r="N356" s="52">
        <f t="shared" si="1765"/>
        <v>3.3796987868640371E-5</v>
      </c>
      <c r="O356" s="52">
        <f t="shared" si="1766"/>
        <v>2.4049141855484269E-6</v>
      </c>
      <c r="P356" s="52">
        <f t="shared" si="1767"/>
        <v>2.4723542408221305E-6</v>
      </c>
      <c r="Q356" s="52">
        <f t="shared" si="1768"/>
        <v>1.2436221078009182E-6</v>
      </c>
      <c r="R356" s="52">
        <f t="shared" si="1769"/>
        <v>0</v>
      </c>
      <c r="S356" s="527">
        <f t="shared" si="1770"/>
        <v>0</v>
      </c>
      <c r="T356" s="533">
        <f t="shared" si="1771"/>
        <v>0</v>
      </c>
      <c r="U356" s="375">
        <f t="shared" si="1772"/>
        <v>0</v>
      </c>
      <c r="V356" s="375">
        <f t="shared" si="1773"/>
        <v>-3.725373408423115E-5</v>
      </c>
      <c r="W356" s="386">
        <f t="shared" si="1774"/>
        <v>0</v>
      </c>
      <c r="X356" s="386">
        <f t="shared" si="1775"/>
        <v>-3.8807327704556609E-5</v>
      </c>
      <c r="Y356" s="386">
        <f t="shared" si="1776"/>
        <v>-3.8807327704556609E-5</v>
      </c>
      <c r="Z356" s="375">
        <f t="shared" si="1777"/>
        <v>-3.3796987868640371E-5</v>
      </c>
      <c r="AA356" s="375">
        <f t="shared" si="1778"/>
        <v>-2.4049141855484269E-6</v>
      </c>
      <c r="AB356" s="386">
        <f t="shared" si="1779"/>
        <v>0</v>
      </c>
      <c r="AC356" s="386">
        <f t="shared" si="1780"/>
        <v>-2.78783265618816E-6</v>
      </c>
      <c r="AD356" s="386">
        <f t="shared" si="1781"/>
        <v>-2.78783265618816E-6</v>
      </c>
      <c r="AE356" s="386">
        <f t="shared" si="1782"/>
        <v>-2.4723542408221305E-6</v>
      </c>
      <c r="AF356" s="386">
        <f t="shared" si="1783"/>
        <v>-2.4049141855484269E-6</v>
      </c>
      <c r="AG356" s="375">
        <f t="shared" si="1784"/>
        <v>-1.2550174020533341E-6</v>
      </c>
      <c r="AH356" s="375">
        <f t="shared" si="1785"/>
        <v>0</v>
      </c>
      <c r="AI356" s="386">
        <f t="shared" si="1786"/>
        <v>0</v>
      </c>
      <c r="AJ356" s="386">
        <f t="shared" si="1787"/>
        <v>0</v>
      </c>
      <c r="AK356" s="386">
        <f t="shared" si="1788"/>
        <v>0</v>
      </c>
      <c r="AL356" s="377">
        <f t="shared" si="1789"/>
        <v>0</v>
      </c>
      <c r="AM356" s="377">
        <f t="shared" si="1790"/>
        <v>0</v>
      </c>
      <c r="AN356" s="377">
        <f t="shared" si="1791"/>
        <v>0</v>
      </c>
      <c r="AO356" s="283"/>
      <c r="AP356" s="295">
        <f t="shared" si="1792"/>
        <v>1.2300059999999999</v>
      </c>
      <c r="AQ356" s="20">
        <f t="shared" si="1800"/>
        <v>0</v>
      </c>
      <c r="AR356" s="95">
        <f t="shared" si="1801"/>
        <v>0</v>
      </c>
      <c r="AS356" s="94">
        <f t="shared" si="1802"/>
        <v>1.2171540000000001</v>
      </c>
      <c r="AT356" s="94">
        <f t="shared" si="1793"/>
        <v>1.2171540000000001</v>
      </c>
      <c r="AU356" s="94">
        <f t="shared" si="1794"/>
        <v>1.135159</v>
      </c>
      <c r="AV356" s="94">
        <f t="shared" si="1795"/>
        <v>9.4847000000000001E-2</v>
      </c>
      <c r="AW356" s="94">
        <f t="shared" si="1796"/>
        <v>9.4847000000000001E-2</v>
      </c>
      <c r="AX356" s="94">
        <f t="shared" si="1797"/>
        <v>4.9047E-2</v>
      </c>
      <c r="AY356" s="94">
        <f t="shared" si="1798"/>
        <v>0</v>
      </c>
      <c r="AZ356" s="433">
        <f t="shared" si="1799"/>
        <v>0</v>
      </c>
      <c r="BA356" s="657">
        <v>0</v>
      </c>
      <c r="BB356" s="327">
        <v>0</v>
      </c>
      <c r="BC356" s="207">
        <v>-1.2171540000000001</v>
      </c>
      <c r="BD356" s="389">
        <v>0</v>
      </c>
      <c r="BE356" s="389">
        <v>-1.2171540000000001</v>
      </c>
      <c r="BF356" s="516">
        <v>-1.2171540000000001</v>
      </c>
      <c r="BG356" s="207">
        <f>-1.135159</f>
        <v>-1.135159</v>
      </c>
      <c r="BH356" s="207">
        <f>-0.094847</f>
        <v>-9.4847000000000001E-2</v>
      </c>
      <c r="BI356" s="389">
        <v>0</v>
      </c>
      <c r="BJ356" s="516">
        <v>-9.4847000000000001E-2</v>
      </c>
      <c r="BK356" s="516">
        <v>-9.4847000000000001E-2</v>
      </c>
      <c r="BL356" s="516">
        <v>-9.4847000000000001E-2</v>
      </c>
      <c r="BM356" s="516">
        <v>-9.4847000000000001E-2</v>
      </c>
      <c r="BN356" s="713">
        <f>-0.049047</f>
        <v>-4.9047E-2</v>
      </c>
      <c r="BO356" s="207">
        <v>0</v>
      </c>
      <c r="BP356" s="389">
        <v>0</v>
      </c>
      <c r="BQ356" s="389">
        <v>0</v>
      </c>
      <c r="BR356" s="389">
        <v>0</v>
      </c>
      <c r="BS356" s="296">
        <v>0</v>
      </c>
      <c r="BT356" s="296">
        <v>0</v>
      </c>
      <c r="BU356" s="296">
        <v>0</v>
      </c>
      <c r="BV356" s="713">
        <v>0</v>
      </c>
      <c r="BW356" s="296">
        <f t="shared" si="1803"/>
        <v>0</v>
      </c>
      <c r="BX356" s="439" t="s">
        <v>1477</v>
      </c>
    </row>
    <row r="357" spans="1:76" ht="90" hidden="1" customHeight="1" outlineLevel="1" x14ac:dyDescent="0.25">
      <c r="A357" s="678">
        <v>6</v>
      </c>
      <c r="B357" s="702" t="s">
        <v>1203</v>
      </c>
      <c r="C357" s="694" t="s">
        <v>1203</v>
      </c>
      <c r="D357" s="268">
        <v>44376</v>
      </c>
      <c r="E357" s="463" t="s">
        <v>1481</v>
      </c>
      <c r="F357" s="544" t="s">
        <v>1205</v>
      </c>
      <c r="G357" s="71" t="s">
        <v>709</v>
      </c>
      <c r="H357" s="311" t="s">
        <v>171</v>
      </c>
      <c r="I357" s="335"/>
      <c r="J357" s="294">
        <f t="shared" si="1761"/>
        <v>0</v>
      </c>
      <c r="K357" s="52">
        <f t="shared" si="1762"/>
        <v>0</v>
      </c>
      <c r="L357" s="52">
        <f t="shared" si="1763"/>
        <v>8.1904382957884432E-5</v>
      </c>
      <c r="M357" s="52">
        <f t="shared" si="1764"/>
        <v>8.532004396390217E-5</v>
      </c>
      <c r="N357" s="52">
        <f t="shared" si="1765"/>
        <v>7.9671684583160942E-5</v>
      </c>
      <c r="O357" s="52">
        <f t="shared" si="1766"/>
        <v>6.7395636443521109E-5</v>
      </c>
      <c r="P357" s="52">
        <f t="shared" si="1767"/>
        <v>6.9285585562816197E-5</v>
      </c>
      <c r="Q357" s="52">
        <f t="shared" si="1768"/>
        <v>0</v>
      </c>
      <c r="R357" s="52">
        <f t="shared" si="1769"/>
        <v>0</v>
      </c>
      <c r="S357" s="527">
        <f t="shared" si="1770"/>
        <v>0</v>
      </c>
      <c r="T357" s="533">
        <f t="shared" si="1771"/>
        <v>0</v>
      </c>
      <c r="U357" s="375">
        <f t="shared" si="1772"/>
        <v>0</v>
      </c>
      <c r="V357" s="375">
        <f t="shared" si="1773"/>
        <v>-8.1904382957884432E-5</v>
      </c>
      <c r="W357" s="386">
        <f t="shared" si="1774"/>
        <v>0</v>
      </c>
      <c r="X357" s="386">
        <f t="shared" si="1775"/>
        <v>-8.532004396390217E-5</v>
      </c>
      <c r="Y357" s="386">
        <f t="shared" si="1776"/>
        <v>-8.532004396390217E-5</v>
      </c>
      <c r="Z357" s="375">
        <f t="shared" si="1777"/>
        <v>-7.9671684583160942E-5</v>
      </c>
      <c r="AA357" s="375">
        <f t="shared" si="1778"/>
        <v>-6.7395636443521109E-5</v>
      </c>
      <c r="AB357" s="386">
        <f t="shared" si="1779"/>
        <v>-7.8126594824416234E-5</v>
      </c>
      <c r="AC357" s="386">
        <f t="shared" si="1780"/>
        <v>-7.8126594824416275E-5</v>
      </c>
      <c r="AD357" s="386">
        <f t="shared" si="1781"/>
        <v>-7.8126594824416275E-5</v>
      </c>
      <c r="AE357" s="386">
        <f t="shared" si="1782"/>
        <v>-6.9285585562816197E-5</v>
      </c>
      <c r="AF357" s="386">
        <f t="shared" si="1783"/>
        <v>-6.7395636443521109E-5</v>
      </c>
      <c r="AG357" s="375">
        <f t="shared" si="1784"/>
        <v>0</v>
      </c>
      <c r="AH357" s="375">
        <f t="shared" si="1785"/>
        <v>0</v>
      </c>
      <c r="AI357" s="386">
        <f t="shared" si="1786"/>
        <v>0</v>
      </c>
      <c r="AJ357" s="386">
        <f t="shared" si="1787"/>
        <v>0</v>
      </c>
      <c r="AK357" s="386">
        <f t="shared" si="1788"/>
        <v>0</v>
      </c>
      <c r="AL357" s="377">
        <f t="shared" si="1789"/>
        <v>0</v>
      </c>
      <c r="AM357" s="377">
        <f t="shared" si="1790"/>
        <v>0</v>
      </c>
      <c r="AN357" s="377">
        <f t="shared" si="1791"/>
        <v>0</v>
      </c>
      <c r="AO357" s="283"/>
      <c r="AP357" s="295">
        <f t="shared" si="1792"/>
        <v>5.3339840000000001</v>
      </c>
      <c r="AQ357" s="20">
        <f t="shared" si="1800"/>
        <v>0</v>
      </c>
      <c r="AR357" s="95">
        <f t="shared" si="1801"/>
        <v>0</v>
      </c>
      <c r="AS357" s="94">
        <f t="shared" si="1802"/>
        <v>2.67598</v>
      </c>
      <c r="AT357" s="94">
        <f t="shared" si="1793"/>
        <v>2.67598</v>
      </c>
      <c r="AU357" s="94">
        <f t="shared" si="1794"/>
        <v>2.6759789999999999</v>
      </c>
      <c r="AV357" s="94">
        <f t="shared" si="1795"/>
        <v>2.6580050000000002</v>
      </c>
      <c r="AW357" s="94">
        <f t="shared" si="1796"/>
        <v>2.6580050000000002</v>
      </c>
      <c r="AX357" s="94">
        <f t="shared" si="1797"/>
        <v>0</v>
      </c>
      <c r="AY357" s="94">
        <f t="shared" si="1798"/>
        <v>0</v>
      </c>
      <c r="AZ357" s="433">
        <f t="shared" si="1799"/>
        <v>0</v>
      </c>
      <c r="BA357" s="657">
        <v>0</v>
      </c>
      <c r="BB357" s="327">
        <v>0</v>
      </c>
      <c r="BC357" s="207">
        <v>-2.67598</v>
      </c>
      <c r="BD357" s="389">
        <v>0</v>
      </c>
      <c r="BE357" s="389">
        <v>-2.67598</v>
      </c>
      <c r="BF357" s="516">
        <v>-2.67598</v>
      </c>
      <c r="BG357" s="207">
        <f>-2.675979</f>
        <v>-2.6759789999999999</v>
      </c>
      <c r="BH357" s="207">
        <f>-4.374696+1.716691</f>
        <v>-2.6580050000000002</v>
      </c>
      <c r="BI357" s="389">
        <v>-2.6580050000000002</v>
      </c>
      <c r="BJ357" s="516">
        <v>-2.6580050000000002</v>
      </c>
      <c r="BK357" s="516">
        <v>-2.6580050000000002</v>
      </c>
      <c r="BL357" s="516">
        <v>-2.6580050000000002</v>
      </c>
      <c r="BM357" s="516">
        <v>-2.6580050000000002</v>
      </c>
      <c r="BN357" s="1032">
        <v>0</v>
      </c>
      <c r="BO357" s="207">
        <v>0</v>
      </c>
      <c r="BP357" s="389">
        <v>0</v>
      </c>
      <c r="BQ357" s="389">
        <v>0</v>
      </c>
      <c r="BR357" s="389">
        <v>0</v>
      </c>
      <c r="BS357" s="296">
        <v>0</v>
      </c>
      <c r="BT357" s="296">
        <v>0</v>
      </c>
      <c r="BU357" s="296">
        <v>0</v>
      </c>
      <c r="BV357" s="1032">
        <v>0</v>
      </c>
      <c r="BW357" s="296">
        <f t="shared" si="1803"/>
        <v>0</v>
      </c>
      <c r="BX357" s="439" t="s">
        <v>1480</v>
      </c>
    </row>
    <row r="358" spans="1:76" ht="72.599999999999994" hidden="1" customHeight="1" outlineLevel="1" x14ac:dyDescent="0.25">
      <c r="A358" s="678">
        <v>7</v>
      </c>
      <c r="B358" s="702" t="s">
        <v>1203</v>
      </c>
      <c r="C358" s="694" t="s">
        <v>1203</v>
      </c>
      <c r="D358" s="268">
        <v>44383</v>
      </c>
      <c r="E358" s="463" t="s">
        <v>1490</v>
      </c>
      <c r="F358" s="544" t="s">
        <v>1205</v>
      </c>
      <c r="G358" s="71" t="s">
        <v>25</v>
      </c>
      <c r="H358" s="311" t="s">
        <v>171</v>
      </c>
      <c r="I358" s="335"/>
      <c r="J358" s="294">
        <f t="shared" si="1761"/>
        <v>0</v>
      </c>
      <c r="K358" s="52">
        <f t="shared" si="1762"/>
        <v>0</v>
      </c>
      <c r="L358" s="52">
        <f t="shared" si="1763"/>
        <v>5.3132345739471109E-6</v>
      </c>
      <c r="M358" s="52">
        <f t="shared" si="1764"/>
        <v>5.5348125590884957E-6</v>
      </c>
      <c r="N358" s="52">
        <f t="shared" si="1765"/>
        <v>5.1623250368834269E-6</v>
      </c>
      <c r="O358" s="52">
        <f t="shared" si="1766"/>
        <v>2.8420214809259223E-6</v>
      </c>
      <c r="P358" s="52">
        <f t="shared" si="1767"/>
        <v>2.9217191628284429E-6</v>
      </c>
      <c r="Q358" s="52">
        <f t="shared" si="1768"/>
        <v>2.6007617839877663E-6</v>
      </c>
      <c r="R358" s="52">
        <f t="shared" si="1769"/>
        <v>0</v>
      </c>
      <c r="S358" s="527">
        <f t="shared" si="1770"/>
        <v>0</v>
      </c>
      <c r="T358" s="533">
        <f t="shared" si="1771"/>
        <v>0</v>
      </c>
      <c r="U358" s="375">
        <f t="shared" si="1772"/>
        <v>0</v>
      </c>
      <c r="V358" s="375">
        <f t="shared" si="1773"/>
        <v>-5.3132345739471109E-6</v>
      </c>
      <c r="W358" s="386">
        <f t="shared" si="1774"/>
        <v>0</v>
      </c>
      <c r="X358" s="386">
        <f t="shared" si="1775"/>
        <v>-5.5348125590884957E-6</v>
      </c>
      <c r="Y358" s="386">
        <f t="shared" si="1776"/>
        <v>-5.5348125590884957E-6</v>
      </c>
      <c r="Z358" s="375">
        <f t="shared" si="1777"/>
        <v>-5.1623250368834269E-6</v>
      </c>
      <c r="AA358" s="375">
        <f t="shared" si="1778"/>
        <v>-2.8420214809259223E-6</v>
      </c>
      <c r="AB358" s="386">
        <f t="shared" si="1779"/>
        <v>0</v>
      </c>
      <c r="AC358" s="386">
        <f t="shared" si="1780"/>
        <v>-3.2945376353654424E-6</v>
      </c>
      <c r="AD358" s="386">
        <f t="shared" si="1781"/>
        <v>-3.2945376353654424E-6</v>
      </c>
      <c r="AE358" s="386">
        <f t="shared" si="1782"/>
        <v>-2.9217191628284429E-6</v>
      </c>
      <c r="AF358" s="386">
        <f t="shared" si="1783"/>
        <v>-2.8420214809259223E-6</v>
      </c>
      <c r="AG358" s="375">
        <f t="shared" si="1784"/>
        <v>-2.6245925325914431E-6</v>
      </c>
      <c r="AH358" s="375">
        <f t="shared" si="1785"/>
        <v>0</v>
      </c>
      <c r="AI358" s="386">
        <f t="shared" si="1786"/>
        <v>0</v>
      </c>
      <c r="AJ358" s="386">
        <f t="shared" si="1787"/>
        <v>0</v>
      </c>
      <c r="AK358" s="386">
        <f t="shared" si="1788"/>
        <v>0</v>
      </c>
      <c r="AL358" s="377">
        <f t="shared" si="1789"/>
        <v>0</v>
      </c>
      <c r="AM358" s="377">
        <f t="shared" si="1790"/>
        <v>0</v>
      </c>
      <c r="AN358" s="377">
        <f t="shared" si="1791"/>
        <v>0</v>
      </c>
      <c r="AO358" s="283"/>
      <c r="AP358" s="295">
        <f t="shared" si="1792"/>
        <v>0.28547600000000001</v>
      </c>
      <c r="AQ358" s="20">
        <f t="shared" si="1800"/>
        <v>0</v>
      </c>
      <c r="AR358" s="95">
        <f t="shared" si="1801"/>
        <v>0</v>
      </c>
      <c r="AS358" s="94">
        <f t="shared" si="1802"/>
        <v>0.173594</v>
      </c>
      <c r="AT358" s="94">
        <f t="shared" si="1793"/>
        <v>0.173594</v>
      </c>
      <c r="AU358" s="94">
        <f t="shared" si="1794"/>
        <v>0.17338999999999999</v>
      </c>
      <c r="AV358" s="94">
        <f t="shared" si="1795"/>
        <v>0.11208600000000001</v>
      </c>
      <c r="AW358" s="94">
        <f t="shared" si="1796"/>
        <v>0.11208600000000001</v>
      </c>
      <c r="AX358" s="94">
        <f t="shared" si="1797"/>
        <v>0.102571</v>
      </c>
      <c r="AY358" s="94">
        <f t="shared" si="1798"/>
        <v>0</v>
      </c>
      <c r="AZ358" s="433">
        <f t="shared" si="1799"/>
        <v>0</v>
      </c>
      <c r="BA358" s="657">
        <v>0</v>
      </c>
      <c r="BB358" s="327">
        <v>0</v>
      </c>
      <c r="BC358" s="207">
        <v>-0.173594</v>
      </c>
      <c r="BD358" s="389">
        <v>0</v>
      </c>
      <c r="BE358" s="389">
        <v>-0.173594</v>
      </c>
      <c r="BF358" s="516">
        <v>-0.173594</v>
      </c>
      <c r="BG358" s="207">
        <f>-0.172173-0.001217</f>
        <v>-0.17338999999999999</v>
      </c>
      <c r="BH358" s="207">
        <f>-0.112086</f>
        <v>-0.11208600000000001</v>
      </c>
      <c r="BI358" s="389">
        <v>0</v>
      </c>
      <c r="BJ358" s="516">
        <v>-0.11208600000000001</v>
      </c>
      <c r="BK358" s="516">
        <v>-0.11208600000000001</v>
      </c>
      <c r="BL358" s="516">
        <v>-0.11208600000000001</v>
      </c>
      <c r="BM358" s="516">
        <v>-0.11208600000000001</v>
      </c>
      <c r="BN358" s="713">
        <f>-0.102571</f>
        <v>-0.102571</v>
      </c>
      <c r="BO358" s="207">
        <v>0</v>
      </c>
      <c r="BP358" s="389">
        <v>0</v>
      </c>
      <c r="BQ358" s="389">
        <v>0</v>
      </c>
      <c r="BR358" s="389">
        <v>0</v>
      </c>
      <c r="BS358" s="296">
        <v>0</v>
      </c>
      <c r="BT358" s="296">
        <v>0</v>
      </c>
      <c r="BU358" s="296">
        <v>0</v>
      </c>
      <c r="BV358" s="713">
        <v>0</v>
      </c>
      <c r="BW358" s="296">
        <f t="shared" si="1803"/>
        <v>0</v>
      </c>
      <c r="BX358" s="439" t="s">
        <v>1628</v>
      </c>
    </row>
    <row r="359" spans="1:76" ht="72.599999999999994" hidden="1" customHeight="1" outlineLevel="1" x14ac:dyDescent="0.25">
      <c r="A359" s="678">
        <v>8</v>
      </c>
      <c r="B359" s="702" t="s">
        <v>1203</v>
      </c>
      <c r="C359" s="694" t="s">
        <v>1203</v>
      </c>
      <c r="D359" s="268">
        <v>44383</v>
      </c>
      <c r="E359" s="463" t="s">
        <v>1491</v>
      </c>
      <c r="F359" s="544" t="s">
        <v>1205</v>
      </c>
      <c r="G359" s="71" t="s">
        <v>25</v>
      </c>
      <c r="H359" s="311" t="s">
        <v>171</v>
      </c>
      <c r="I359" s="335"/>
      <c r="J359" s="294">
        <f t="shared" si="1761"/>
        <v>0</v>
      </c>
      <c r="K359" s="52">
        <f t="shared" si="1762"/>
        <v>0</v>
      </c>
      <c r="L359" s="52">
        <f t="shared" si="1763"/>
        <v>4.8237022526934378E-5</v>
      </c>
      <c r="M359" s="52">
        <f t="shared" si="1764"/>
        <v>5.0248652563587853E-5</v>
      </c>
      <c r="N359" s="52">
        <f t="shared" si="1765"/>
        <v>4.6922107723215184E-5</v>
      </c>
      <c r="O359" s="52">
        <f t="shared" si="1766"/>
        <v>0</v>
      </c>
      <c r="P359" s="52">
        <f t="shared" si="1767"/>
        <v>0</v>
      </c>
      <c r="Q359" s="52">
        <f t="shared" si="1768"/>
        <v>0</v>
      </c>
      <c r="R359" s="52">
        <f t="shared" si="1769"/>
        <v>0</v>
      </c>
      <c r="S359" s="527">
        <f t="shared" si="1770"/>
        <v>0</v>
      </c>
      <c r="T359" s="533">
        <f t="shared" si="1771"/>
        <v>0</v>
      </c>
      <c r="U359" s="375">
        <f t="shared" si="1772"/>
        <v>0</v>
      </c>
      <c r="V359" s="375">
        <f t="shared" si="1773"/>
        <v>-4.8237022526934378E-5</v>
      </c>
      <c r="W359" s="386">
        <f t="shared" si="1774"/>
        <v>0</v>
      </c>
      <c r="X359" s="386">
        <f t="shared" si="1775"/>
        <v>-5.0248652563587853E-5</v>
      </c>
      <c r="Y359" s="386">
        <f t="shared" si="1776"/>
        <v>-5.0248652563587853E-5</v>
      </c>
      <c r="Z359" s="375">
        <f t="shared" si="1777"/>
        <v>-4.6922107723215184E-5</v>
      </c>
      <c r="AA359" s="375">
        <f t="shared" si="1778"/>
        <v>0</v>
      </c>
      <c r="AB359" s="386">
        <f t="shared" si="1779"/>
        <v>0</v>
      </c>
      <c r="AC359" s="386">
        <f t="shared" si="1780"/>
        <v>0</v>
      </c>
      <c r="AD359" s="386">
        <f t="shared" si="1781"/>
        <v>0</v>
      </c>
      <c r="AE359" s="386">
        <f t="shared" si="1782"/>
        <v>0</v>
      </c>
      <c r="AF359" s="386">
        <f t="shared" si="1783"/>
        <v>0</v>
      </c>
      <c r="AG359" s="375">
        <f t="shared" si="1784"/>
        <v>0</v>
      </c>
      <c r="AH359" s="375">
        <f t="shared" si="1785"/>
        <v>0</v>
      </c>
      <c r="AI359" s="386">
        <f t="shared" si="1786"/>
        <v>0</v>
      </c>
      <c r="AJ359" s="386">
        <f t="shared" si="1787"/>
        <v>0</v>
      </c>
      <c r="AK359" s="386">
        <f t="shared" si="1788"/>
        <v>0</v>
      </c>
      <c r="AL359" s="377">
        <f t="shared" si="1789"/>
        <v>0</v>
      </c>
      <c r="AM359" s="377">
        <f t="shared" si="1790"/>
        <v>0</v>
      </c>
      <c r="AN359" s="377">
        <f t="shared" si="1791"/>
        <v>0</v>
      </c>
      <c r="AO359" s="283"/>
      <c r="AP359" s="295">
        <f t="shared" si="1792"/>
        <v>1.5760000000000001</v>
      </c>
      <c r="AQ359" s="20">
        <f t="shared" si="1800"/>
        <v>0</v>
      </c>
      <c r="AR359" s="95">
        <f t="shared" si="1801"/>
        <v>0</v>
      </c>
      <c r="AS359" s="94">
        <f t="shared" si="1802"/>
        <v>1.5760000000000001</v>
      </c>
      <c r="AT359" s="94">
        <f t="shared" si="1793"/>
        <v>1.5760000000000001</v>
      </c>
      <c r="AU359" s="94">
        <f t="shared" si="1794"/>
        <v>1.5760000000000001</v>
      </c>
      <c r="AV359" s="94">
        <f t="shared" si="1795"/>
        <v>0</v>
      </c>
      <c r="AW359" s="94">
        <f t="shared" si="1796"/>
        <v>0</v>
      </c>
      <c r="AX359" s="94">
        <f t="shared" si="1797"/>
        <v>0</v>
      </c>
      <c r="AY359" s="94">
        <f t="shared" si="1798"/>
        <v>0</v>
      </c>
      <c r="AZ359" s="433">
        <f t="shared" si="1799"/>
        <v>0</v>
      </c>
      <c r="BA359" s="657">
        <v>0</v>
      </c>
      <c r="BB359" s="327">
        <v>0</v>
      </c>
      <c r="BC359" s="207">
        <v>-1.5760000000000001</v>
      </c>
      <c r="BD359" s="389">
        <v>0</v>
      </c>
      <c r="BE359" s="389">
        <v>-1.5760000000000001</v>
      </c>
      <c r="BF359" s="516">
        <v>-1.5760000000000001</v>
      </c>
      <c r="BG359" s="207">
        <f>-1.576</f>
        <v>-1.5760000000000001</v>
      </c>
      <c r="BH359" s="207">
        <v>0</v>
      </c>
      <c r="BI359" s="389">
        <v>0</v>
      </c>
      <c r="BJ359" s="516">
        <v>0</v>
      </c>
      <c r="BK359" s="516">
        <v>0</v>
      </c>
      <c r="BL359" s="516">
        <v>0</v>
      </c>
      <c r="BM359" s="516">
        <v>0</v>
      </c>
      <c r="BN359" s="409">
        <v>0</v>
      </c>
      <c r="BO359" s="207">
        <v>0</v>
      </c>
      <c r="BP359" s="389">
        <v>0</v>
      </c>
      <c r="BQ359" s="389">
        <v>0</v>
      </c>
      <c r="BR359" s="389">
        <v>0</v>
      </c>
      <c r="BS359" s="296">
        <v>0</v>
      </c>
      <c r="BT359" s="296">
        <v>0</v>
      </c>
      <c r="BU359" s="296">
        <v>0</v>
      </c>
      <c r="BV359" s="409">
        <v>0</v>
      </c>
      <c r="BW359" s="296">
        <f t="shared" si="1803"/>
        <v>0</v>
      </c>
      <c r="BX359" s="439" t="s">
        <v>1492</v>
      </c>
    </row>
    <row r="360" spans="1:76" ht="72.599999999999994" hidden="1" customHeight="1" outlineLevel="1" x14ac:dyDescent="0.25">
      <c r="A360" s="678">
        <v>9</v>
      </c>
      <c r="B360" s="702" t="s">
        <v>1203</v>
      </c>
      <c r="C360" s="694" t="s">
        <v>1203</v>
      </c>
      <c r="D360" s="268">
        <v>44383</v>
      </c>
      <c r="E360" s="463" t="s">
        <v>1493</v>
      </c>
      <c r="F360" s="544" t="s">
        <v>1205</v>
      </c>
      <c r="G360" s="71" t="s">
        <v>25</v>
      </c>
      <c r="H360" s="311" t="s">
        <v>171</v>
      </c>
      <c r="I360" s="335"/>
      <c r="J360" s="294">
        <f t="shared" si="1761"/>
        <v>0</v>
      </c>
      <c r="K360" s="52">
        <f t="shared" si="1762"/>
        <v>0</v>
      </c>
      <c r="L360" s="52">
        <f t="shared" si="1763"/>
        <v>1.6248408423114594E-5</v>
      </c>
      <c r="M360" s="52">
        <f t="shared" si="1764"/>
        <v>1.6926016300207332E-5</v>
      </c>
      <c r="N360" s="52">
        <f t="shared" si="1765"/>
        <v>1.5805485712441498E-5</v>
      </c>
      <c r="O360" s="52">
        <f t="shared" si="1766"/>
        <v>0</v>
      </c>
      <c r="P360" s="52">
        <f t="shared" si="1767"/>
        <v>0</v>
      </c>
      <c r="Q360" s="52">
        <f t="shared" si="1768"/>
        <v>0</v>
      </c>
      <c r="R360" s="52">
        <f t="shared" si="1769"/>
        <v>0</v>
      </c>
      <c r="S360" s="527">
        <f t="shared" si="1770"/>
        <v>0</v>
      </c>
      <c r="T360" s="533">
        <f t="shared" si="1771"/>
        <v>0</v>
      </c>
      <c r="U360" s="375">
        <f t="shared" si="1772"/>
        <v>0</v>
      </c>
      <c r="V360" s="375">
        <f t="shared" si="1773"/>
        <v>-1.6248408423114594E-5</v>
      </c>
      <c r="W360" s="386">
        <f t="shared" si="1774"/>
        <v>0</v>
      </c>
      <c r="X360" s="386">
        <f t="shared" si="1775"/>
        <v>-1.6926016300207332E-5</v>
      </c>
      <c r="Y360" s="386">
        <f t="shared" si="1776"/>
        <v>-1.6926016300207332E-5</v>
      </c>
      <c r="Z360" s="375">
        <f t="shared" si="1777"/>
        <v>-1.5805485712441498E-5</v>
      </c>
      <c r="AA360" s="375">
        <f t="shared" si="1778"/>
        <v>0</v>
      </c>
      <c r="AB360" s="386">
        <f t="shared" si="1779"/>
        <v>0</v>
      </c>
      <c r="AC360" s="386">
        <f t="shared" si="1780"/>
        <v>0</v>
      </c>
      <c r="AD360" s="386">
        <f t="shared" si="1781"/>
        <v>0</v>
      </c>
      <c r="AE360" s="386">
        <f t="shared" si="1782"/>
        <v>0</v>
      </c>
      <c r="AF360" s="386">
        <f t="shared" si="1783"/>
        <v>0</v>
      </c>
      <c r="AG360" s="375">
        <f t="shared" si="1784"/>
        <v>0</v>
      </c>
      <c r="AH360" s="375">
        <f t="shared" si="1785"/>
        <v>0</v>
      </c>
      <c r="AI360" s="386">
        <f t="shared" si="1786"/>
        <v>0</v>
      </c>
      <c r="AJ360" s="386">
        <f t="shared" si="1787"/>
        <v>0</v>
      </c>
      <c r="AK360" s="386">
        <f t="shared" si="1788"/>
        <v>0</v>
      </c>
      <c r="AL360" s="377">
        <f t="shared" si="1789"/>
        <v>0</v>
      </c>
      <c r="AM360" s="377">
        <f t="shared" si="1790"/>
        <v>0</v>
      </c>
      <c r="AN360" s="377">
        <f t="shared" si="1791"/>
        <v>0</v>
      </c>
      <c r="AO360" s="283"/>
      <c r="AP360" s="295">
        <f t="shared" si="1792"/>
        <v>0.53086800000000001</v>
      </c>
      <c r="AQ360" s="20">
        <f t="shared" si="1800"/>
        <v>0</v>
      </c>
      <c r="AR360" s="95">
        <f t="shared" si="1801"/>
        <v>0</v>
      </c>
      <c r="AS360" s="94">
        <f t="shared" si="1802"/>
        <v>0.53086800000000001</v>
      </c>
      <c r="AT360" s="94">
        <f t="shared" si="1793"/>
        <v>0.53086800000000001</v>
      </c>
      <c r="AU360" s="94">
        <f t="shared" si="1794"/>
        <v>0.53086800000000001</v>
      </c>
      <c r="AV360" s="94">
        <f t="shared" si="1795"/>
        <v>0</v>
      </c>
      <c r="AW360" s="94">
        <f t="shared" si="1796"/>
        <v>0</v>
      </c>
      <c r="AX360" s="94">
        <f t="shared" si="1797"/>
        <v>0</v>
      </c>
      <c r="AY360" s="94">
        <f t="shared" si="1798"/>
        <v>0</v>
      </c>
      <c r="AZ360" s="433">
        <f t="shared" si="1799"/>
        <v>0</v>
      </c>
      <c r="BA360" s="657">
        <v>0</v>
      </c>
      <c r="BB360" s="327">
        <v>0</v>
      </c>
      <c r="BC360" s="207">
        <v>-0.53086800000000001</v>
      </c>
      <c r="BD360" s="389">
        <v>0</v>
      </c>
      <c r="BE360" s="389">
        <v>-0.53086800000000001</v>
      </c>
      <c r="BF360" s="516">
        <v>-0.53086800000000001</v>
      </c>
      <c r="BG360" s="207">
        <f>-0.530868</f>
        <v>-0.53086800000000001</v>
      </c>
      <c r="BH360" s="207">
        <v>0</v>
      </c>
      <c r="BI360" s="389">
        <v>0</v>
      </c>
      <c r="BJ360" s="516">
        <v>0</v>
      </c>
      <c r="BK360" s="516">
        <v>0</v>
      </c>
      <c r="BL360" s="516">
        <v>0</v>
      </c>
      <c r="BM360" s="516">
        <v>0</v>
      </c>
      <c r="BN360" s="409">
        <v>0</v>
      </c>
      <c r="BO360" s="207">
        <v>0</v>
      </c>
      <c r="BP360" s="389">
        <v>0</v>
      </c>
      <c r="BQ360" s="389">
        <v>0</v>
      </c>
      <c r="BR360" s="389">
        <v>0</v>
      </c>
      <c r="BS360" s="296">
        <v>0</v>
      </c>
      <c r="BT360" s="296">
        <v>0</v>
      </c>
      <c r="BU360" s="296">
        <v>0</v>
      </c>
      <c r="BV360" s="409">
        <v>0</v>
      </c>
      <c r="BW360" s="296">
        <f t="shared" si="1803"/>
        <v>0</v>
      </c>
      <c r="BX360" s="439" t="s">
        <v>1494</v>
      </c>
    </row>
    <row r="361" spans="1:76" ht="72.599999999999994" hidden="1" customHeight="1" outlineLevel="1" x14ac:dyDescent="0.25">
      <c r="A361" s="678">
        <v>10</v>
      </c>
      <c r="B361" s="702" t="s">
        <v>1203</v>
      </c>
      <c r="C361" s="694" t="s">
        <v>1203</v>
      </c>
      <c r="D361" s="268">
        <v>44383</v>
      </c>
      <c r="E361" s="463" t="s">
        <v>1495</v>
      </c>
      <c r="F361" s="544" t="s">
        <v>1205</v>
      </c>
      <c r="G361" s="71" t="s">
        <v>211</v>
      </c>
      <c r="H361" s="311" t="s">
        <v>171</v>
      </c>
      <c r="I361" s="335"/>
      <c r="J361" s="294">
        <f t="shared" si="1761"/>
        <v>0</v>
      </c>
      <c r="K361" s="52">
        <f t="shared" si="1762"/>
        <v>0</v>
      </c>
      <c r="L361" s="52">
        <f t="shared" si="1763"/>
        <v>2.5997765670910872E-5</v>
      </c>
      <c r="M361" s="52">
        <f t="shared" si="1764"/>
        <v>2.7081951293692234E-5</v>
      </c>
      <c r="N361" s="52">
        <f t="shared" si="1765"/>
        <v>2.528908082359851E-5</v>
      </c>
      <c r="O361" s="52">
        <f t="shared" si="1766"/>
        <v>0</v>
      </c>
      <c r="P361" s="52">
        <f t="shared" si="1767"/>
        <v>0</v>
      </c>
      <c r="Q361" s="52">
        <f t="shared" si="1768"/>
        <v>0</v>
      </c>
      <c r="R361" s="52">
        <f t="shared" si="1769"/>
        <v>0</v>
      </c>
      <c r="S361" s="527">
        <f t="shared" si="1770"/>
        <v>0</v>
      </c>
      <c r="T361" s="533">
        <f t="shared" si="1771"/>
        <v>0</v>
      </c>
      <c r="U361" s="375">
        <f t="shared" si="1772"/>
        <v>0</v>
      </c>
      <c r="V361" s="375">
        <f t="shared" si="1773"/>
        <v>-2.5997765670910872E-5</v>
      </c>
      <c r="W361" s="386">
        <f t="shared" si="1774"/>
        <v>0</v>
      </c>
      <c r="X361" s="386">
        <f t="shared" si="1775"/>
        <v>-2.7081951293692234E-5</v>
      </c>
      <c r="Y361" s="386">
        <f t="shared" si="1776"/>
        <v>-2.7081951293692234E-5</v>
      </c>
      <c r="Z361" s="375">
        <f t="shared" si="1777"/>
        <v>-2.528908082359851E-5</v>
      </c>
      <c r="AA361" s="375">
        <f t="shared" si="1778"/>
        <v>0</v>
      </c>
      <c r="AB361" s="386">
        <f t="shared" si="1779"/>
        <v>0</v>
      </c>
      <c r="AC361" s="386">
        <f t="shared" si="1780"/>
        <v>0</v>
      </c>
      <c r="AD361" s="386">
        <f t="shared" si="1781"/>
        <v>0</v>
      </c>
      <c r="AE361" s="386">
        <f t="shared" si="1782"/>
        <v>0</v>
      </c>
      <c r="AF361" s="386">
        <f t="shared" si="1783"/>
        <v>0</v>
      </c>
      <c r="AG361" s="375">
        <f t="shared" si="1784"/>
        <v>0</v>
      </c>
      <c r="AH361" s="375">
        <f t="shared" si="1785"/>
        <v>0</v>
      </c>
      <c r="AI361" s="386">
        <f t="shared" si="1786"/>
        <v>0</v>
      </c>
      <c r="AJ361" s="386">
        <f t="shared" si="1787"/>
        <v>0</v>
      </c>
      <c r="AK361" s="386">
        <f t="shared" si="1788"/>
        <v>0</v>
      </c>
      <c r="AL361" s="377">
        <f t="shared" si="1789"/>
        <v>0</v>
      </c>
      <c r="AM361" s="377">
        <f t="shared" si="1790"/>
        <v>0</v>
      </c>
      <c r="AN361" s="377">
        <f t="shared" si="1791"/>
        <v>0</v>
      </c>
      <c r="AO361" s="283"/>
      <c r="AP361" s="295">
        <f t="shared" si="1792"/>
        <v>0.84939900000000002</v>
      </c>
      <c r="AQ361" s="20">
        <f t="shared" si="1800"/>
        <v>0</v>
      </c>
      <c r="AR361" s="95">
        <f t="shared" si="1801"/>
        <v>0</v>
      </c>
      <c r="AS361" s="94">
        <f t="shared" si="1802"/>
        <v>0.84939900000000002</v>
      </c>
      <c r="AT361" s="94">
        <f t="shared" si="1793"/>
        <v>0.84939900000000002</v>
      </c>
      <c r="AU361" s="94">
        <f t="shared" si="1794"/>
        <v>0.84939900000000002</v>
      </c>
      <c r="AV361" s="94">
        <f t="shared" si="1795"/>
        <v>0</v>
      </c>
      <c r="AW361" s="94">
        <f t="shared" si="1796"/>
        <v>0</v>
      </c>
      <c r="AX361" s="94">
        <f t="shared" si="1797"/>
        <v>0</v>
      </c>
      <c r="AY361" s="94">
        <f t="shared" si="1798"/>
        <v>0</v>
      </c>
      <c r="AZ361" s="433">
        <f t="shared" si="1799"/>
        <v>0</v>
      </c>
      <c r="BA361" s="657">
        <v>0</v>
      </c>
      <c r="BB361" s="327">
        <v>0</v>
      </c>
      <c r="BC361" s="207">
        <v>-0.84939900000000002</v>
      </c>
      <c r="BD361" s="389">
        <v>0</v>
      </c>
      <c r="BE361" s="389">
        <v>-0.84939900000000002</v>
      </c>
      <c r="BF361" s="516">
        <v>-0.84939900000000002</v>
      </c>
      <c r="BG361" s="207">
        <f>-0.849399</f>
        <v>-0.84939900000000002</v>
      </c>
      <c r="BH361" s="207">
        <v>0</v>
      </c>
      <c r="BI361" s="389">
        <v>0</v>
      </c>
      <c r="BJ361" s="516">
        <v>0</v>
      </c>
      <c r="BK361" s="516">
        <v>0</v>
      </c>
      <c r="BL361" s="516">
        <v>0</v>
      </c>
      <c r="BM361" s="516">
        <v>0</v>
      </c>
      <c r="BN361" s="409">
        <v>0</v>
      </c>
      <c r="BO361" s="207">
        <v>0</v>
      </c>
      <c r="BP361" s="389">
        <v>0</v>
      </c>
      <c r="BQ361" s="389">
        <v>0</v>
      </c>
      <c r="BR361" s="389">
        <v>0</v>
      </c>
      <c r="BS361" s="296">
        <v>0</v>
      </c>
      <c r="BT361" s="296">
        <v>0</v>
      </c>
      <c r="BU361" s="296">
        <v>0</v>
      </c>
      <c r="BV361" s="409">
        <v>0</v>
      </c>
      <c r="BW361" s="296">
        <f t="shared" si="1803"/>
        <v>0</v>
      </c>
      <c r="BX361" s="439" t="s">
        <v>1496</v>
      </c>
    </row>
    <row r="362" spans="1:76" ht="72.599999999999994" hidden="1" customHeight="1" outlineLevel="1" x14ac:dyDescent="0.25">
      <c r="A362" s="678">
        <v>11</v>
      </c>
      <c r="B362" s="702" t="s">
        <v>1203</v>
      </c>
      <c r="C362" s="694" t="s">
        <v>1203</v>
      </c>
      <c r="D362" s="268">
        <v>44383</v>
      </c>
      <c r="E362" s="463" t="s">
        <v>1497</v>
      </c>
      <c r="F362" s="544" t="s">
        <v>1205</v>
      </c>
      <c r="G362" s="71" t="s">
        <v>211</v>
      </c>
      <c r="H362" s="311" t="s">
        <v>171</v>
      </c>
      <c r="I362" s="335"/>
      <c r="J362" s="294">
        <f t="shared" si="1761"/>
        <v>0</v>
      </c>
      <c r="K362" s="52">
        <f t="shared" si="1762"/>
        <v>0</v>
      </c>
      <c r="L362" s="52">
        <f t="shared" si="1763"/>
        <v>3.3834629040156709E-5</v>
      </c>
      <c r="M362" s="52">
        <f t="shared" si="1764"/>
        <v>3.5245635617484372E-5</v>
      </c>
      <c r="N362" s="52">
        <f t="shared" si="1765"/>
        <v>3.2912315591427414E-5</v>
      </c>
      <c r="O362" s="52">
        <f t="shared" si="1766"/>
        <v>2.4663358870579366E-5</v>
      </c>
      <c r="P362" s="52">
        <f t="shared" si="1767"/>
        <v>2.5354983667614595E-5</v>
      </c>
      <c r="Q362" s="52">
        <f t="shared" si="1768"/>
        <v>0</v>
      </c>
      <c r="R362" s="52">
        <f t="shared" si="1769"/>
        <v>0</v>
      </c>
      <c r="S362" s="527">
        <f t="shared" si="1770"/>
        <v>0</v>
      </c>
      <c r="T362" s="533">
        <f t="shared" si="1771"/>
        <v>0</v>
      </c>
      <c r="U362" s="375">
        <f t="shared" si="1772"/>
        <v>0</v>
      </c>
      <c r="V362" s="375">
        <f t="shared" si="1773"/>
        <v>-3.3834629040156709E-5</v>
      </c>
      <c r="W362" s="386">
        <f t="shared" si="1774"/>
        <v>0</v>
      </c>
      <c r="X362" s="386">
        <f t="shared" si="1775"/>
        <v>-3.5245635617484372E-5</v>
      </c>
      <c r="Y362" s="386">
        <f t="shared" si="1776"/>
        <v>-3.5245635617484372E-5</v>
      </c>
      <c r="Z362" s="375">
        <f t="shared" si="1777"/>
        <v>-3.2912315591427414E-5</v>
      </c>
      <c r="AA362" s="375">
        <f t="shared" si="1778"/>
        <v>-2.4663358870579366E-5</v>
      </c>
      <c r="AB362" s="386">
        <f t="shared" si="1779"/>
        <v>0</v>
      </c>
      <c r="AC362" s="386">
        <f t="shared" si="1780"/>
        <v>-2.8590341262014465E-5</v>
      </c>
      <c r="AD362" s="386">
        <f t="shared" si="1781"/>
        <v>-2.8590341262014465E-5</v>
      </c>
      <c r="AE362" s="386">
        <f t="shared" si="1782"/>
        <v>-2.5354983667614595E-5</v>
      </c>
      <c r="AF362" s="386">
        <f t="shared" si="1783"/>
        <v>-2.4663358870579366E-5</v>
      </c>
      <c r="AG362" s="375">
        <f t="shared" si="1784"/>
        <v>0</v>
      </c>
      <c r="AH362" s="375">
        <f t="shared" si="1785"/>
        <v>0</v>
      </c>
      <c r="AI362" s="386">
        <f t="shared" si="1786"/>
        <v>0</v>
      </c>
      <c r="AJ362" s="386">
        <f t="shared" si="1787"/>
        <v>0</v>
      </c>
      <c r="AK362" s="386">
        <f t="shared" si="1788"/>
        <v>0</v>
      </c>
      <c r="AL362" s="377">
        <f t="shared" si="1789"/>
        <v>0</v>
      </c>
      <c r="AM362" s="377">
        <f t="shared" si="1790"/>
        <v>0</v>
      </c>
      <c r="AN362" s="377">
        <f t="shared" si="1791"/>
        <v>0</v>
      </c>
      <c r="AO362" s="283"/>
      <c r="AP362" s="295">
        <f t="shared" si="1792"/>
        <v>2.0781390000000002</v>
      </c>
      <c r="AQ362" s="20">
        <f t="shared" si="1800"/>
        <v>0</v>
      </c>
      <c r="AR362" s="95">
        <f t="shared" si="1801"/>
        <v>0</v>
      </c>
      <c r="AS362" s="94">
        <f t="shared" si="1802"/>
        <v>1.105445</v>
      </c>
      <c r="AT362" s="94">
        <f t="shared" si="1793"/>
        <v>1.105445</v>
      </c>
      <c r="AU362" s="94">
        <f t="shared" si="1794"/>
        <v>1.105445</v>
      </c>
      <c r="AV362" s="94">
        <f t="shared" si="1795"/>
        <v>0.97269399999999995</v>
      </c>
      <c r="AW362" s="94">
        <f t="shared" si="1796"/>
        <v>0.97269399999999995</v>
      </c>
      <c r="AX362" s="94">
        <f t="shared" si="1797"/>
        <v>0</v>
      </c>
      <c r="AY362" s="94">
        <f t="shared" si="1798"/>
        <v>0</v>
      </c>
      <c r="AZ362" s="433">
        <f t="shared" si="1799"/>
        <v>0</v>
      </c>
      <c r="BA362" s="657">
        <v>0</v>
      </c>
      <c r="BB362" s="327">
        <v>0</v>
      </c>
      <c r="BC362" s="207">
        <v>-1.105445</v>
      </c>
      <c r="BD362" s="389">
        <v>0</v>
      </c>
      <c r="BE362" s="389">
        <v>-1.105445</v>
      </c>
      <c r="BF362" s="516">
        <v>-1.105445</v>
      </c>
      <c r="BG362" s="207">
        <f>-1.105445</f>
        <v>-1.105445</v>
      </c>
      <c r="BH362" s="207">
        <f>-0.972694</f>
        <v>-0.97269399999999995</v>
      </c>
      <c r="BI362" s="389">
        <v>0</v>
      </c>
      <c r="BJ362" s="516">
        <v>-0.97269399999999995</v>
      </c>
      <c r="BK362" s="516">
        <v>-0.97269399999999995</v>
      </c>
      <c r="BL362" s="516">
        <v>-0.97269399999999995</v>
      </c>
      <c r="BM362" s="516">
        <v>-0.97269399999999995</v>
      </c>
      <c r="BN362" s="409">
        <v>0</v>
      </c>
      <c r="BO362" s="207">
        <v>0</v>
      </c>
      <c r="BP362" s="389">
        <v>0</v>
      </c>
      <c r="BQ362" s="389">
        <v>0</v>
      </c>
      <c r="BR362" s="389">
        <v>0</v>
      </c>
      <c r="BS362" s="296">
        <v>0</v>
      </c>
      <c r="BT362" s="296">
        <v>0</v>
      </c>
      <c r="BU362" s="296">
        <v>0</v>
      </c>
      <c r="BV362" s="409">
        <v>0</v>
      </c>
      <c r="BW362" s="296">
        <f t="shared" si="1803"/>
        <v>0</v>
      </c>
      <c r="BX362" s="439" t="s">
        <v>1498</v>
      </c>
    </row>
    <row r="363" spans="1:76" ht="118.5" hidden="1" customHeight="1" outlineLevel="1" x14ac:dyDescent="0.25">
      <c r="A363" s="678">
        <v>12</v>
      </c>
      <c r="B363" s="702" t="s">
        <v>1203</v>
      </c>
      <c r="C363" s="694" t="s">
        <v>1203</v>
      </c>
      <c r="D363" s="268">
        <v>44384</v>
      </c>
      <c r="E363" s="463" t="s">
        <v>1501</v>
      </c>
      <c r="F363" s="544" t="s">
        <v>1205</v>
      </c>
      <c r="G363" s="71" t="s">
        <v>225</v>
      </c>
      <c r="H363" s="311" t="s">
        <v>171</v>
      </c>
      <c r="I363" s="335"/>
      <c r="J363" s="294">
        <f t="shared" si="1761"/>
        <v>0</v>
      </c>
      <c r="K363" s="52">
        <f t="shared" si="1762"/>
        <v>0</v>
      </c>
      <c r="L363" s="52">
        <f t="shared" si="1763"/>
        <v>5.8467066601371209E-5</v>
      </c>
      <c r="M363" s="52">
        <f t="shared" si="1764"/>
        <v>6.0905320481254951E-5</v>
      </c>
      <c r="N363" s="52">
        <f t="shared" si="1765"/>
        <v>5.6873286401499795E-5</v>
      </c>
      <c r="O363" s="52">
        <f t="shared" si="1766"/>
        <v>0</v>
      </c>
      <c r="P363" s="52">
        <f t="shared" si="1767"/>
        <v>0</v>
      </c>
      <c r="Q363" s="52">
        <f t="shared" si="1768"/>
        <v>0</v>
      </c>
      <c r="R363" s="52">
        <f t="shared" si="1769"/>
        <v>0</v>
      </c>
      <c r="S363" s="527">
        <f t="shared" si="1770"/>
        <v>0</v>
      </c>
      <c r="T363" s="533">
        <f t="shared" si="1771"/>
        <v>0</v>
      </c>
      <c r="U363" s="375">
        <f t="shared" si="1772"/>
        <v>0</v>
      </c>
      <c r="V363" s="375">
        <f t="shared" si="1773"/>
        <v>-5.8467066601371209E-5</v>
      </c>
      <c r="W363" s="386">
        <f t="shared" si="1774"/>
        <v>0</v>
      </c>
      <c r="X363" s="386">
        <f t="shared" si="1775"/>
        <v>-6.0905320481254951E-5</v>
      </c>
      <c r="Y363" s="386">
        <f t="shared" si="1776"/>
        <v>-6.0905320481254951E-5</v>
      </c>
      <c r="Z363" s="375">
        <f t="shared" si="1777"/>
        <v>-5.6873286401499795E-5</v>
      </c>
      <c r="AA363" s="375">
        <f t="shared" si="1778"/>
        <v>0</v>
      </c>
      <c r="AB363" s="386">
        <f t="shared" si="1779"/>
        <v>0</v>
      </c>
      <c r="AC363" s="386">
        <f t="shared" si="1780"/>
        <v>0</v>
      </c>
      <c r="AD363" s="386">
        <f t="shared" si="1781"/>
        <v>0</v>
      </c>
      <c r="AE363" s="386">
        <f t="shared" si="1782"/>
        <v>0</v>
      </c>
      <c r="AF363" s="386">
        <f t="shared" si="1783"/>
        <v>0</v>
      </c>
      <c r="AG363" s="375">
        <f t="shared" si="1784"/>
        <v>0</v>
      </c>
      <c r="AH363" s="375">
        <f t="shared" si="1785"/>
        <v>0</v>
      </c>
      <c r="AI363" s="386">
        <f t="shared" si="1786"/>
        <v>0</v>
      </c>
      <c r="AJ363" s="386">
        <f t="shared" si="1787"/>
        <v>0</v>
      </c>
      <c r="AK363" s="386">
        <f t="shared" si="1788"/>
        <v>0</v>
      </c>
      <c r="AL363" s="377">
        <f t="shared" si="1789"/>
        <v>0</v>
      </c>
      <c r="AM363" s="377">
        <f t="shared" si="1790"/>
        <v>0</v>
      </c>
      <c r="AN363" s="377">
        <f t="shared" si="1791"/>
        <v>0</v>
      </c>
      <c r="AO363" s="283"/>
      <c r="AP363" s="295">
        <f t="shared" si="1792"/>
        <v>1.910236</v>
      </c>
      <c r="AQ363" s="20">
        <f t="shared" si="1800"/>
        <v>0</v>
      </c>
      <c r="AR363" s="95">
        <f t="shared" si="1801"/>
        <v>0</v>
      </c>
      <c r="AS363" s="94">
        <f t="shared" si="1802"/>
        <v>1.910236</v>
      </c>
      <c r="AT363" s="94">
        <f t="shared" si="1793"/>
        <v>1.910236</v>
      </c>
      <c r="AU363" s="94">
        <f t="shared" si="1794"/>
        <v>1.910236</v>
      </c>
      <c r="AV363" s="94">
        <f t="shared" si="1795"/>
        <v>0</v>
      </c>
      <c r="AW363" s="94">
        <f t="shared" si="1796"/>
        <v>0</v>
      </c>
      <c r="AX363" s="94">
        <f t="shared" si="1797"/>
        <v>0</v>
      </c>
      <c r="AY363" s="94">
        <f t="shared" si="1798"/>
        <v>0</v>
      </c>
      <c r="AZ363" s="433">
        <f t="shared" si="1799"/>
        <v>0</v>
      </c>
      <c r="BA363" s="657">
        <v>0</v>
      </c>
      <c r="BB363" s="327">
        <v>0</v>
      </c>
      <c r="BC363" s="207">
        <f>-1.910236</f>
        <v>-1.910236</v>
      </c>
      <c r="BD363" s="389">
        <v>0</v>
      </c>
      <c r="BE363" s="389">
        <v>-1.910236</v>
      </c>
      <c r="BF363" s="516">
        <v>-1.910236</v>
      </c>
      <c r="BG363" s="207">
        <v>-1.910236</v>
      </c>
      <c r="BH363" s="207">
        <v>0</v>
      </c>
      <c r="BI363" s="389">
        <v>0</v>
      </c>
      <c r="BJ363" s="516">
        <v>0</v>
      </c>
      <c r="BK363" s="516">
        <v>0</v>
      </c>
      <c r="BL363" s="516">
        <v>0</v>
      </c>
      <c r="BM363" s="516">
        <v>0</v>
      </c>
      <c r="BN363" s="409">
        <v>0</v>
      </c>
      <c r="BO363" s="207">
        <v>0</v>
      </c>
      <c r="BP363" s="389">
        <v>0</v>
      </c>
      <c r="BQ363" s="389">
        <v>0</v>
      </c>
      <c r="BR363" s="389">
        <v>0</v>
      </c>
      <c r="BS363" s="296">
        <v>0</v>
      </c>
      <c r="BT363" s="296">
        <v>0</v>
      </c>
      <c r="BU363" s="296">
        <v>0</v>
      </c>
      <c r="BV363" s="409">
        <v>0</v>
      </c>
      <c r="BW363" s="296">
        <f t="shared" si="1803"/>
        <v>0</v>
      </c>
      <c r="BX363" s="443" t="s">
        <v>1629</v>
      </c>
    </row>
    <row r="364" spans="1:76" ht="72.599999999999994" hidden="1" customHeight="1" outlineLevel="1" x14ac:dyDescent="0.25">
      <c r="A364" s="678">
        <v>13</v>
      </c>
      <c r="B364" s="702" t="s">
        <v>1203</v>
      </c>
      <c r="C364" s="694" t="s">
        <v>1203</v>
      </c>
      <c r="D364" s="268">
        <v>44368</v>
      </c>
      <c r="E364" s="463" t="s">
        <v>1510</v>
      </c>
      <c r="F364" s="544" t="s">
        <v>1205</v>
      </c>
      <c r="G364" s="71" t="s">
        <v>25</v>
      </c>
      <c r="H364" s="311" t="s">
        <v>171</v>
      </c>
      <c r="I364" s="335"/>
      <c r="J364" s="294">
        <f t="shared" si="1761"/>
        <v>0</v>
      </c>
      <c r="K364" s="52">
        <f t="shared" si="1762"/>
        <v>0</v>
      </c>
      <c r="L364" s="52">
        <f t="shared" si="1763"/>
        <v>1.2078691234084232E-5</v>
      </c>
      <c r="M364" s="52">
        <f t="shared" si="1764"/>
        <v>1.2582409266771251E-5</v>
      </c>
      <c r="N364" s="52">
        <f t="shared" si="1765"/>
        <v>1.3368781358132423E-5</v>
      </c>
      <c r="O364" s="52">
        <f t="shared" si="1766"/>
        <v>0</v>
      </c>
      <c r="P364" s="52">
        <f t="shared" si="1767"/>
        <v>0</v>
      </c>
      <c r="Q364" s="52">
        <f t="shared" si="1768"/>
        <v>0</v>
      </c>
      <c r="R364" s="52">
        <f t="shared" si="1769"/>
        <v>0</v>
      </c>
      <c r="S364" s="527">
        <f t="shared" si="1770"/>
        <v>0</v>
      </c>
      <c r="T364" s="533">
        <f t="shared" si="1771"/>
        <v>0</v>
      </c>
      <c r="U364" s="375">
        <f t="shared" si="1772"/>
        <v>0</v>
      </c>
      <c r="V364" s="375">
        <f t="shared" si="1773"/>
        <v>-1.2078691234084232E-5</v>
      </c>
      <c r="W364" s="386">
        <f t="shared" si="1774"/>
        <v>0</v>
      </c>
      <c r="X364" s="386">
        <f t="shared" si="1775"/>
        <v>-1.2582409266771251E-5</v>
      </c>
      <c r="Y364" s="386">
        <f t="shared" si="1776"/>
        <v>-1.2582409266771251E-5</v>
      </c>
      <c r="Z364" s="375">
        <f t="shared" si="1777"/>
        <v>-1.3368781358132423E-5</v>
      </c>
      <c r="AA364" s="375">
        <f t="shared" si="1778"/>
        <v>0</v>
      </c>
      <c r="AB364" s="386">
        <f t="shared" si="1779"/>
        <v>0</v>
      </c>
      <c r="AC364" s="386">
        <f t="shared" si="1780"/>
        <v>0</v>
      </c>
      <c r="AD364" s="386">
        <f t="shared" si="1781"/>
        <v>0</v>
      </c>
      <c r="AE364" s="386">
        <f t="shared" si="1782"/>
        <v>0</v>
      </c>
      <c r="AF364" s="386">
        <f t="shared" si="1783"/>
        <v>0</v>
      </c>
      <c r="AG364" s="375">
        <f t="shared" si="1784"/>
        <v>0</v>
      </c>
      <c r="AH364" s="375">
        <f t="shared" si="1785"/>
        <v>0</v>
      </c>
      <c r="AI364" s="386">
        <f t="shared" si="1786"/>
        <v>0</v>
      </c>
      <c r="AJ364" s="386">
        <f t="shared" si="1787"/>
        <v>0</v>
      </c>
      <c r="AK364" s="386">
        <f t="shared" si="1788"/>
        <v>0</v>
      </c>
      <c r="AL364" s="377">
        <f t="shared" si="1789"/>
        <v>0</v>
      </c>
      <c r="AM364" s="377">
        <f t="shared" si="1790"/>
        <v>0</v>
      </c>
      <c r="AN364" s="377">
        <f t="shared" si="1791"/>
        <v>0</v>
      </c>
      <c r="AO364" s="283"/>
      <c r="AP364" s="295">
        <f t="shared" si="1792"/>
        <v>0.44902500000000001</v>
      </c>
      <c r="AQ364" s="20">
        <f t="shared" si="1800"/>
        <v>0</v>
      </c>
      <c r="AR364" s="95">
        <f t="shared" si="1801"/>
        <v>0</v>
      </c>
      <c r="AS364" s="94">
        <f t="shared" si="1802"/>
        <v>0.39463500000000001</v>
      </c>
      <c r="AT364" s="94">
        <f t="shared" si="1793"/>
        <v>0.39463500000000001</v>
      </c>
      <c r="AU364" s="94">
        <f t="shared" si="1794"/>
        <v>0.44902500000000001</v>
      </c>
      <c r="AV364" s="94">
        <f t="shared" si="1795"/>
        <v>0</v>
      </c>
      <c r="AW364" s="94">
        <f t="shared" ref="AW364:AW380" si="1804">-BH364</f>
        <v>0</v>
      </c>
      <c r="AX364" s="94">
        <f t="shared" si="1797"/>
        <v>0</v>
      </c>
      <c r="AY364" s="94">
        <f t="shared" ref="AY364:AY385" si="1805">-BO364</f>
        <v>0</v>
      </c>
      <c r="AZ364" s="433">
        <f t="shared" ref="AZ364:AZ385" si="1806">-BU364</f>
        <v>0</v>
      </c>
      <c r="BA364" s="657">
        <v>0</v>
      </c>
      <c r="BB364" s="327">
        <v>0</v>
      </c>
      <c r="BC364" s="207">
        <v>-0.39463500000000001</v>
      </c>
      <c r="BD364" s="389">
        <v>0</v>
      </c>
      <c r="BE364" s="389">
        <v>-0.39463500000000001</v>
      </c>
      <c r="BF364" s="516">
        <v>-0.39463500000000001</v>
      </c>
      <c r="BG364" s="207">
        <v>-0.44902500000000001</v>
      </c>
      <c r="BH364" s="207">
        <v>0</v>
      </c>
      <c r="BI364" s="389">
        <v>0</v>
      </c>
      <c r="BJ364" s="516">
        <v>0</v>
      </c>
      <c r="BK364" s="516">
        <v>0</v>
      </c>
      <c r="BL364" s="516">
        <v>0</v>
      </c>
      <c r="BM364" s="516">
        <v>0</v>
      </c>
      <c r="BN364" s="409">
        <v>0</v>
      </c>
      <c r="BO364" s="207">
        <v>0</v>
      </c>
      <c r="BP364" s="389">
        <v>0</v>
      </c>
      <c r="BQ364" s="389">
        <v>0</v>
      </c>
      <c r="BR364" s="389">
        <v>0</v>
      </c>
      <c r="BS364" s="296">
        <v>0</v>
      </c>
      <c r="BT364" s="296">
        <v>0</v>
      </c>
      <c r="BU364" s="296">
        <v>0</v>
      </c>
      <c r="BV364" s="409">
        <v>0</v>
      </c>
      <c r="BW364" s="296">
        <f t="shared" si="1803"/>
        <v>0</v>
      </c>
      <c r="BX364" s="443" t="s">
        <v>1511</v>
      </c>
    </row>
    <row r="365" spans="1:76" ht="142.5" hidden="1" customHeight="1" outlineLevel="1" x14ac:dyDescent="0.25">
      <c r="A365" s="678">
        <v>14</v>
      </c>
      <c r="B365" s="702" t="s">
        <v>1203</v>
      </c>
      <c r="C365" s="694" t="s">
        <v>1203</v>
      </c>
      <c r="D365" s="268">
        <v>44418</v>
      </c>
      <c r="E365" s="463" t="s">
        <v>1620</v>
      </c>
      <c r="F365" s="544" t="s">
        <v>1205</v>
      </c>
      <c r="G365" s="71" t="s">
        <v>27</v>
      </c>
      <c r="H365" s="311" t="s">
        <v>171</v>
      </c>
      <c r="I365" s="335"/>
      <c r="J365" s="294">
        <f t="shared" si="1761"/>
        <v>0</v>
      </c>
      <c r="K365" s="52">
        <f t="shared" si="1762"/>
        <v>0</v>
      </c>
      <c r="L365" s="52">
        <f t="shared" si="1763"/>
        <v>2.07944111165524E-5</v>
      </c>
      <c r="M365" s="52">
        <f t="shared" si="1764"/>
        <v>2.1661601084034751E-5</v>
      </c>
      <c r="N365" s="52">
        <f t="shared" si="1765"/>
        <v>2.0227566863333615E-5</v>
      </c>
      <c r="O365" s="52">
        <f t="shared" si="1766"/>
        <v>2.3301609524092643E-4</v>
      </c>
      <c r="P365" s="52">
        <f t="shared" si="1767"/>
        <v>2.3955047323958548E-4</v>
      </c>
      <c r="Q365" s="52">
        <f t="shared" si="1768"/>
        <v>0</v>
      </c>
      <c r="R365" s="52">
        <f t="shared" si="1769"/>
        <v>0</v>
      </c>
      <c r="S365" s="527">
        <f t="shared" si="1770"/>
        <v>0</v>
      </c>
      <c r="T365" s="533">
        <f t="shared" si="1771"/>
        <v>0</v>
      </c>
      <c r="U365" s="375">
        <f t="shared" si="1772"/>
        <v>0</v>
      </c>
      <c r="V365" s="375">
        <f t="shared" si="1773"/>
        <v>-2.07944111165524E-5</v>
      </c>
      <c r="W365" s="386">
        <f t="shared" si="1774"/>
        <v>0</v>
      </c>
      <c r="X365" s="386">
        <f t="shared" si="1775"/>
        <v>0</v>
      </c>
      <c r="Y365" s="386">
        <f t="shared" si="1776"/>
        <v>0</v>
      </c>
      <c r="Z365" s="375">
        <f t="shared" si="1777"/>
        <v>-2.0227566863333615E-5</v>
      </c>
      <c r="AA365" s="375">
        <f t="shared" si="1778"/>
        <v>-2.3301609524092643E-4</v>
      </c>
      <c r="AB365" s="386">
        <f t="shared" si="1779"/>
        <v>0</v>
      </c>
      <c r="AC365" s="386">
        <f t="shared" si="1780"/>
        <v>-2.7011769635429443E-4</v>
      </c>
      <c r="AD365" s="386">
        <f t="shared" si="1781"/>
        <v>-2.7011769635429443E-4</v>
      </c>
      <c r="AE365" s="386">
        <f t="shared" si="1782"/>
        <v>-2.3955047323958548E-4</v>
      </c>
      <c r="AF365" s="386">
        <f t="shared" si="1783"/>
        <v>-2.3301609524092643E-4</v>
      </c>
      <c r="AG365" s="375">
        <f t="shared" si="1784"/>
        <v>0</v>
      </c>
      <c r="AH365" s="375">
        <f t="shared" si="1785"/>
        <v>0</v>
      </c>
      <c r="AI365" s="386">
        <f t="shared" si="1786"/>
        <v>0</v>
      </c>
      <c r="AJ365" s="386">
        <f t="shared" si="1787"/>
        <v>0</v>
      </c>
      <c r="AK365" s="386">
        <f t="shared" si="1788"/>
        <v>0</v>
      </c>
      <c r="AL365" s="377">
        <f t="shared" si="1789"/>
        <v>0</v>
      </c>
      <c r="AM365" s="377">
        <f t="shared" si="1790"/>
        <v>0</v>
      </c>
      <c r="AN365" s="377">
        <f t="shared" si="1791"/>
        <v>0</v>
      </c>
      <c r="AO365" s="283"/>
      <c r="AP365" s="295">
        <f t="shared" si="1792"/>
        <v>9.8692770000000003</v>
      </c>
      <c r="AQ365" s="20">
        <f t="shared" si="1800"/>
        <v>0</v>
      </c>
      <c r="AR365" s="95">
        <f t="shared" si="1801"/>
        <v>0</v>
      </c>
      <c r="AS365" s="94">
        <f t="shared" si="1802"/>
        <v>0.67939499999999997</v>
      </c>
      <c r="AT365" s="94">
        <f t="shared" si="1793"/>
        <v>0.67939499999999997</v>
      </c>
      <c r="AU365" s="94">
        <f t="shared" si="1794"/>
        <v>0.67939499999999997</v>
      </c>
      <c r="AV365" s="94">
        <f t="shared" si="1795"/>
        <v>9.1898820000000008</v>
      </c>
      <c r="AW365" s="94">
        <f t="shared" si="1804"/>
        <v>9.1898820000000008</v>
      </c>
      <c r="AX365" s="94">
        <f t="shared" si="1797"/>
        <v>0</v>
      </c>
      <c r="AY365" s="94">
        <f t="shared" si="1805"/>
        <v>0</v>
      </c>
      <c r="AZ365" s="433">
        <f t="shared" si="1806"/>
        <v>0</v>
      </c>
      <c r="BA365" s="657">
        <v>0</v>
      </c>
      <c r="BB365" s="327">
        <v>0</v>
      </c>
      <c r="BC365" s="207">
        <v>-0.67939499999999997</v>
      </c>
      <c r="BD365" s="389">
        <v>0</v>
      </c>
      <c r="BE365" s="389">
        <v>0</v>
      </c>
      <c r="BF365" s="516">
        <v>0</v>
      </c>
      <c r="BG365" s="207">
        <v>-0.67939499999999997</v>
      </c>
      <c r="BH365" s="207">
        <f>-9.189882</f>
        <v>-9.1898820000000008</v>
      </c>
      <c r="BI365" s="389">
        <v>0</v>
      </c>
      <c r="BJ365" s="516">
        <v>-9.1898820000000008</v>
      </c>
      <c r="BK365" s="516">
        <v>-9.1898820000000008</v>
      </c>
      <c r="BL365" s="516">
        <v>-9.1898820000000008</v>
      </c>
      <c r="BM365" s="516">
        <v>-9.1898820000000008</v>
      </c>
      <c r="BN365" s="409">
        <v>0</v>
      </c>
      <c r="BO365" s="207">
        <v>0</v>
      </c>
      <c r="BP365" s="389">
        <v>0</v>
      </c>
      <c r="BQ365" s="389">
        <v>0</v>
      </c>
      <c r="BR365" s="389">
        <v>0</v>
      </c>
      <c r="BS365" s="296">
        <v>0</v>
      </c>
      <c r="BT365" s="296">
        <v>0</v>
      </c>
      <c r="BU365" s="296">
        <v>0</v>
      </c>
      <c r="BV365" s="409">
        <v>0</v>
      </c>
      <c r="BW365" s="296">
        <f t="shared" si="1803"/>
        <v>0</v>
      </c>
      <c r="BX365" s="443" t="s">
        <v>1621</v>
      </c>
    </row>
    <row r="366" spans="1:76" ht="138" hidden="1" customHeight="1" outlineLevel="1" x14ac:dyDescent="0.25">
      <c r="A366" s="678">
        <v>15</v>
      </c>
      <c r="B366" s="702" t="s">
        <v>1203</v>
      </c>
      <c r="C366" s="694" t="s">
        <v>1203</v>
      </c>
      <c r="D366" s="268">
        <v>44418</v>
      </c>
      <c r="E366" s="463" t="s">
        <v>1573</v>
      </c>
      <c r="F366" s="544" t="s">
        <v>1205</v>
      </c>
      <c r="G366" s="71" t="s">
        <v>25</v>
      </c>
      <c r="H366" s="311" t="s">
        <v>171</v>
      </c>
      <c r="I366" s="335"/>
      <c r="J366" s="294">
        <f t="shared" si="1761"/>
        <v>0</v>
      </c>
      <c r="K366" s="52">
        <f t="shared" si="1762"/>
        <v>0</v>
      </c>
      <c r="L366" s="52">
        <f t="shared" si="1763"/>
        <v>4.1336893976493634E-5</v>
      </c>
      <c r="M366" s="52">
        <f t="shared" si="1764"/>
        <v>4.3060767739610815E-5</v>
      </c>
      <c r="N366" s="52">
        <f t="shared" si="1765"/>
        <v>4.2171542045349564E-5</v>
      </c>
      <c r="O366" s="52">
        <f t="shared" si="1766"/>
        <v>1.3167525747179008E-4</v>
      </c>
      <c r="P366" s="52">
        <f t="shared" si="1767"/>
        <v>1.3536777452517995E-4</v>
      </c>
      <c r="Q366" s="52">
        <f t="shared" si="1768"/>
        <v>3.9480634399526484E-5</v>
      </c>
      <c r="R366" s="52">
        <f t="shared" si="1769"/>
        <v>0</v>
      </c>
      <c r="S366" s="527">
        <f t="shared" si="1770"/>
        <v>0</v>
      </c>
      <c r="T366" s="533">
        <f t="shared" si="1771"/>
        <v>0</v>
      </c>
      <c r="U366" s="375">
        <f t="shared" si="1772"/>
        <v>0</v>
      </c>
      <c r="V366" s="375">
        <f t="shared" si="1773"/>
        <v>-4.1336893976493634E-5</v>
      </c>
      <c r="W366" s="386">
        <f t="shared" si="1774"/>
        <v>0</v>
      </c>
      <c r="X366" s="386">
        <f t="shared" si="1775"/>
        <v>0</v>
      </c>
      <c r="Y366" s="386">
        <f t="shared" si="1776"/>
        <v>0</v>
      </c>
      <c r="Z366" s="375">
        <f t="shared" si="1777"/>
        <v>-4.2171542045349564E-5</v>
      </c>
      <c r="AA366" s="375">
        <f t="shared" si="1778"/>
        <v>-1.3167525747179008E-4</v>
      </c>
      <c r="AB366" s="386">
        <f t="shared" si="1779"/>
        <v>0</v>
      </c>
      <c r="AC366" s="386">
        <f t="shared" si="1780"/>
        <v>-1.5264103184959508E-4</v>
      </c>
      <c r="AD366" s="386">
        <f t="shared" si="1781"/>
        <v>-1.5264103184959508E-4</v>
      </c>
      <c r="AE366" s="386">
        <f t="shared" si="1782"/>
        <v>-1.3536777452517995E-4</v>
      </c>
      <c r="AF366" s="386">
        <f t="shared" si="1783"/>
        <v>-1.3167525747179008E-4</v>
      </c>
      <c r="AG366" s="375">
        <f t="shared" si="1784"/>
        <v>-3.984239497247915E-5</v>
      </c>
      <c r="AH366" s="375">
        <f t="shared" si="1785"/>
        <v>0</v>
      </c>
      <c r="AI366" s="386">
        <f t="shared" si="1786"/>
        <v>0</v>
      </c>
      <c r="AJ366" s="386">
        <f t="shared" si="1787"/>
        <v>0</v>
      </c>
      <c r="AK366" s="386">
        <f t="shared" si="1788"/>
        <v>0</v>
      </c>
      <c r="AL366" s="377">
        <f t="shared" si="1789"/>
        <v>0</v>
      </c>
      <c r="AM366" s="377">
        <f t="shared" si="1790"/>
        <v>0</v>
      </c>
      <c r="AN366" s="377">
        <f t="shared" si="1791"/>
        <v>0</v>
      </c>
      <c r="AO366" s="283"/>
      <c r="AP366" s="295">
        <f t="shared" si="1792"/>
        <v>6.6095579999999998</v>
      </c>
      <c r="AQ366" s="20">
        <f t="shared" si="1800"/>
        <v>0</v>
      </c>
      <c r="AR366" s="95">
        <f t="shared" si="1801"/>
        <v>0</v>
      </c>
      <c r="AS366" s="94">
        <f t="shared" si="1802"/>
        <v>1.3505590000000001</v>
      </c>
      <c r="AT366" s="94">
        <f t="shared" si="1793"/>
        <v>1.3505590000000001</v>
      </c>
      <c r="AU366" s="94">
        <f t="shared" si="1794"/>
        <v>1.4164399999999999</v>
      </c>
      <c r="AV366" s="94">
        <f t="shared" si="1795"/>
        <v>5.1931180000000001</v>
      </c>
      <c r="AW366" s="94">
        <f t="shared" si="1804"/>
        <v>5.1931180000000001</v>
      </c>
      <c r="AX366" s="94">
        <f t="shared" si="1797"/>
        <v>1.55707</v>
      </c>
      <c r="AY366" s="94">
        <f t="shared" si="1805"/>
        <v>0</v>
      </c>
      <c r="AZ366" s="433">
        <f t="shared" si="1806"/>
        <v>0</v>
      </c>
      <c r="BA366" s="657">
        <v>0</v>
      </c>
      <c r="BB366" s="327">
        <v>0</v>
      </c>
      <c r="BC366" s="207">
        <v>-1.3505590000000001</v>
      </c>
      <c r="BD366" s="389">
        <v>0</v>
      </c>
      <c r="BE366" s="389">
        <v>0</v>
      </c>
      <c r="BF366" s="516">
        <v>0</v>
      </c>
      <c r="BG366" s="207">
        <f>-1.41644</f>
        <v>-1.4164399999999999</v>
      </c>
      <c r="BH366" s="207">
        <f>-5.193118</f>
        <v>-5.1931180000000001</v>
      </c>
      <c r="BI366" s="389">
        <v>0</v>
      </c>
      <c r="BJ366" s="516">
        <v>-5.1931180000000001</v>
      </c>
      <c r="BK366" s="516">
        <v>-5.1931180000000001</v>
      </c>
      <c r="BL366" s="516">
        <v>-5.1931180000000001</v>
      </c>
      <c r="BM366" s="516">
        <v>-5.1931180000000001</v>
      </c>
      <c r="BN366" s="713">
        <f>-1.55707</f>
        <v>-1.55707</v>
      </c>
      <c r="BO366" s="207">
        <v>0</v>
      </c>
      <c r="BP366" s="389">
        <v>0</v>
      </c>
      <c r="BQ366" s="389">
        <v>0</v>
      </c>
      <c r="BR366" s="389">
        <v>0</v>
      </c>
      <c r="BS366" s="296">
        <v>0</v>
      </c>
      <c r="BT366" s="296">
        <v>0</v>
      </c>
      <c r="BU366" s="296">
        <v>0</v>
      </c>
      <c r="BV366" s="713">
        <v>0</v>
      </c>
      <c r="BW366" s="296">
        <f t="shared" si="1803"/>
        <v>0</v>
      </c>
      <c r="BX366" s="439" t="s">
        <v>1576</v>
      </c>
    </row>
    <row r="367" spans="1:76" ht="138" hidden="1" customHeight="1" outlineLevel="1" x14ac:dyDescent="0.25">
      <c r="A367" s="678">
        <v>16</v>
      </c>
      <c r="B367" s="702" t="s">
        <v>1203</v>
      </c>
      <c r="C367" s="694" t="s">
        <v>1203</v>
      </c>
      <c r="D367" s="268" t="s">
        <v>1575</v>
      </c>
      <c r="E367" s="463" t="s">
        <v>1574</v>
      </c>
      <c r="F367" s="544" t="s">
        <v>1205</v>
      </c>
      <c r="G367" s="71" t="s">
        <v>25</v>
      </c>
      <c r="H367" s="311" t="s">
        <v>171</v>
      </c>
      <c r="I367" s="335"/>
      <c r="J367" s="294">
        <f t="shared" si="1761"/>
        <v>0</v>
      </c>
      <c r="K367" s="52">
        <f t="shared" si="1762"/>
        <v>0</v>
      </c>
      <c r="L367" s="52">
        <f t="shared" si="1763"/>
        <v>9.6906525465230156E-6</v>
      </c>
      <c r="M367" s="52">
        <f t="shared" si="1764"/>
        <v>1.0094782128245711E-5</v>
      </c>
      <c r="N367" s="52">
        <f t="shared" si="1765"/>
        <v>9.4264906678745738E-6</v>
      </c>
      <c r="O367" s="52">
        <f t="shared" si="1766"/>
        <v>9.8151544316663888E-5</v>
      </c>
      <c r="P367" s="52">
        <f t="shared" si="1767"/>
        <v>1.0090396916978009E-4</v>
      </c>
      <c r="Q367" s="52">
        <f t="shared" si="1768"/>
        <v>9.8151544316663888E-5</v>
      </c>
      <c r="R367" s="52">
        <f t="shared" si="1769"/>
        <v>0</v>
      </c>
      <c r="S367" s="527">
        <f t="shared" si="1770"/>
        <v>0</v>
      </c>
      <c r="T367" s="533">
        <f t="shared" si="1771"/>
        <v>0</v>
      </c>
      <c r="U367" s="375">
        <f t="shared" si="1772"/>
        <v>0</v>
      </c>
      <c r="V367" s="375">
        <f t="shared" si="1773"/>
        <v>-9.6906525465230156E-6</v>
      </c>
      <c r="W367" s="386">
        <f t="shared" si="1774"/>
        <v>0</v>
      </c>
      <c r="X367" s="386">
        <f t="shared" si="1775"/>
        <v>0</v>
      </c>
      <c r="Y367" s="386">
        <f t="shared" si="1776"/>
        <v>0</v>
      </c>
      <c r="Z367" s="375">
        <f t="shared" si="1777"/>
        <v>-9.4264906678745738E-6</v>
      </c>
      <c r="AA367" s="375">
        <f t="shared" si="1778"/>
        <v>-9.8151544316663888E-5</v>
      </c>
      <c r="AB367" s="386">
        <f t="shared" si="1779"/>
        <v>0</v>
      </c>
      <c r="AC367" s="386">
        <f t="shared" si="1780"/>
        <v>-1.1377956109435782E-4</v>
      </c>
      <c r="AD367" s="386">
        <f t="shared" si="1781"/>
        <v>-1.1377956109435782E-4</v>
      </c>
      <c r="AE367" s="386">
        <f t="shared" si="1782"/>
        <v>-1.0090396916978009E-4</v>
      </c>
      <c r="AF367" s="386">
        <f t="shared" si="1783"/>
        <v>-9.8151544316663888E-5</v>
      </c>
      <c r="AG367" s="375">
        <f t="shared" si="1784"/>
        <v>-9.9050905723800019E-5</v>
      </c>
      <c r="AH367" s="375">
        <f t="shared" si="1785"/>
        <v>0</v>
      </c>
      <c r="AI367" s="386">
        <f t="shared" si="1786"/>
        <v>0</v>
      </c>
      <c r="AJ367" s="386">
        <f t="shared" si="1787"/>
        <v>0</v>
      </c>
      <c r="AK367" s="386">
        <f t="shared" si="1788"/>
        <v>0</v>
      </c>
      <c r="AL367" s="377">
        <f t="shared" si="1789"/>
        <v>0</v>
      </c>
      <c r="AM367" s="377">
        <f t="shared" si="1790"/>
        <v>0</v>
      </c>
      <c r="AN367" s="377">
        <f t="shared" si="1791"/>
        <v>0</v>
      </c>
      <c r="AO367" s="283"/>
      <c r="AP367" s="295">
        <f t="shared" si="1792"/>
        <v>4.187595</v>
      </c>
      <c r="AQ367" s="20">
        <f t="shared" si="1800"/>
        <v>0</v>
      </c>
      <c r="AR367" s="95">
        <f t="shared" si="1801"/>
        <v>0</v>
      </c>
      <c r="AS367" s="94">
        <f t="shared" si="1802"/>
        <v>0.31661299999999998</v>
      </c>
      <c r="AT367" s="94">
        <f t="shared" si="1793"/>
        <v>0.31661299999999998</v>
      </c>
      <c r="AU367" s="94">
        <f t="shared" si="1794"/>
        <v>0.31661299999999998</v>
      </c>
      <c r="AV367" s="94">
        <f t="shared" si="1795"/>
        <v>3.8709820000000001</v>
      </c>
      <c r="AW367" s="94">
        <f t="shared" si="1804"/>
        <v>3.8709820000000001</v>
      </c>
      <c r="AX367" s="94">
        <f t="shared" si="1797"/>
        <v>3.8709820000000001</v>
      </c>
      <c r="AY367" s="94">
        <f t="shared" si="1805"/>
        <v>0</v>
      </c>
      <c r="AZ367" s="433">
        <f t="shared" si="1806"/>
        <v>0</v>
      </c>
      <c r="BA367" s="657">
        <v>0</v>
      </c>
      <c r="BB367" s="327">
        <v>0</v>
      </c>
      <c r="BC367" s="207">
        <v>-0.31661299999999998</v>
      </c>
      <c r="BD367" s="389">
        <v>0</v>
      </c>
      <c r="BE367" s="389">
        <v>0</v>
      </c>
      <c r="BF367" s="516">
        <v>0</v>
      </c>
      <c r="BG367" s="207">
        <v>-0.31661299999999998</v>
      </c>
      <c r="BH367" s="207">
        <f>-3.870982</f>
        <v>-3.8709820000000001</v>
      </c>
      <c r="BI367" s="389">
        <v>0</v>
      </c>
      <c r="BJ367" s="516">
        <v>-3.8709820000000001</v>
      </c>
      <c r="BK367" s="516">
        <v>-3.8709820000000001</v>
      </c>
      <c r="BL367" s="516">
        <v>-3.8709820000000001</v>
      </c>
      <c r="BM367" s="516">
        <v>-3.8709820000000001</v>
      </c>
      <c r="BN367" s="1014">
        <f>-3.870982</f>
        <v>-3.8709820000000001</v>
      </c>
      <c r="BO367" s="207">
        <v>0</v>
      </c>
      <c r="BP367" s="389">
        <v>0</v>
      </c>
      <c r="BQ367" s="389">
        <v>0</v>
      </c>
      <c r="BR367" s="389">
        <v>0</v>
      </c>
      <c r="BS367" s="296">
        <v>0</v>
      </c>
      <c r="BT367" s="296">
        <v>0</v>
      </c>
      <c r="BU367" s="296">
        <v>0</v>
      </c>
      <c r="BV367" s="1014">
        <v>0</v>
      </c>
      <c r="BW367" s="296">
        <f t="shared" si="1803"/>
        <v>0</v>
      </c>
      <c r="BX367" s="439" t="s">
        <v>1579</v>
      </c>
    </row>
    <row r="368" spans="1:76" ht="138" hidden="1" customHeight="1" outlineLevel="1" x14ac:dyDescent="0.25">
      <c r="A368" s="678">
        <v>17</v>
      </c>
      <c r="B368" s="702" t="s">
        <v>1203</v>
      </c>
      <c r="C368" s="694" t="s">
        <v>1203</v>
      </c>
      <c r="D368" s="268">
        <v>44418</v>
      </c>
      <c r="E368" s="463" t="s">
        <v>1577</v>
      </c>
      <c r="F368" s="544" t="s">
        <v>1205</v>
      </c>
      <c r="G368" s="71" t="s">
        <v>192</v>
      </c>
      <c r="H368" s="311" t="s">
        <v>171</v>
      </c>
      <c r="I368" s="335"/>
      <c r="J368" s="294">
        <f t="shared" si="1761"/>
        <v>0</v>
      </c>
      <c r="K368" s="52">
        <f t="shared" si="1762"/>
        <v>0</v>
      </c>
      <c r="L368" s="52">
        <f t="shared" si="1763"/>
        <v>1.2315101616062685E-5</v>
      </c>
      <c r="M368" s="52">
        <f t="shared" si="1764"/>
        <v>1.2828678678193304E-5</v>
      </c>
      <c r="N368" s="52">
        <f t="shared" si="1765"/>
        <v>1.1979398693784987E-5</v>
      </c>
      <c r="O368" s="52">
        <f t="shared" si="1766"/>
        <v>1.2824014029237963E-4</v>
      </c>
      <c r="P368" s="52">
        <f t="shared" si="1767"/>
        <v>1.3183632771627865E-4</v>
      </c>
      <c r="Q368" s="52">
        <f t="shared" si="1768"/>
        <v>0</v>
      </c>
      <c r="R368" s="52">
        <f t="shared" si="1769"/>
        <v>0</v>
      </c>
      <c r="S368" s="527">
        <f t="shared" si="1770"/>
        <v>0</v>
      </c>
      <c r="T368" s="533">
        <f t="shared" si="1771"/>
        <v>0</v>
      </c>
      <c r="U368" s="375">
        <f t="shared" si="1772"/>
        <v>0</v>
      </c>
      <c r="V368" s="375">
        <f t="shared" si="1773"/>
        <v>-1.2315101616062685E-5</v>
      </c>
      <c r="W368" s="386">
        <f t="shared" si="1774"/>
        <v>0</v>
      </c>
      <c r="X368" s="386">
        <f t="shared" si="1775"/>
        <v>0</v>
      </c>
      <c r="Y368" s="386">
        <f t="shared" si="1776"/>
        <v>0</v>
      </c>
      <c r="Z368" s="375">
        <f t="shared" si="1777"/>
        <v>-1.1979398693784987E-5</v>
      </c>
      <c r="AA368" s="375">
        <f t="shared" si="1778"/>
        <v>-1.2824014029237963E-4</v>
      </c>
      <c r="AB368" s="386">
        <f t="shared" si="1779"/>
        <v>0</v>
      </c>
      <c r="AC368" s="386">
        <f t="shared" si="1780"/>
        <v>-1.4865896383729735E-4</v>
      </c>
      <c r="AD368" s="386">
        <f t="shared" si="1781"/>
        <v>-1.4865896383729735E-4</v>
      </c>
      <c r="AE368" s="386">
        <f t="shared" si="1782"/>
        <v>-1.3183632771627865E-4</v>
      </c>
      <c r="AF368" s="386">
        <f t="shared" si="1783"/>
        <v>-1.2824014029237963E-4</v>
      </c>
      <c r="AG368" s="375">
        <f t="shared" si="1784"/>
        <v>0</v>
      </c>
      <c r="AH368" s="375">
        <f t="shared" si="1785"/>
        <v>0</v>
      </c>
      <c r="AI368" s="386">
        <f t="shared" si="1786"/>
        <v>0</v>
      </c>
      <c r="AJ368" s="386">
        <f t="shared" si="1787"/>
        <v>0</v>
      </c>
      <c r="AK368" s="386">
        <f t="shared" si="1788"/>
        <v>0</v>
      </c>
      <c r="AL368" s="377">
        <f t="shared" si="1789"/>
        <v>0</v>
      </c>
      <c r="AM368" s="377">
        <f t="shared" si="1790"/>
        <v>0</v>
      </c>
      <c r="AN368" s="377">
        <f t="shared" si="1791"/>
        <v>0</v>
      </c>
      <c r="AO368" s="283"/>
      <c r="AP368" s="295">
        <f t="shared" si="1792"/>
        <v>5.46</v>
      </c>
      <c r="AQ368" s="20">
        <f t="shared" si="1800"/>
        <v>0</v>
      </c>
      <c r="AR368" s="95">
        <f t="shared" si="1801"/>
        <v>0</v>
      </c>
      <c r="AS368" s="94">
        <f t="shared" si="1802"/>
        <v>0.40235900000000002</v>
      </c>
      <c r="AT368" s="94">
        <f t="shared" si="1793"/>
        <v>0.40235900000000002</v>
      </c>
      <c r="AU368" s="94">
        <f t="shared" si="1794"/>
        <v>0.40235900000000002</v>
      </c>
      <c r="AV368" s="94">
        <f t="shared" si="1795"/>
        <v>5.0576410000000003</v>
      </c>
      <c r="AW368" s="94">
        <f t="shared" si="1804"/>
        <v>5.0576410000000003</v>
      </c>
      <c r="AX368" s="94">
        <f t="shared" si="1797"/>
        <v>0</v>
      </c>
      <c r="AY368" s="94">
        <f t="shared" si="1805"/>
        <v>0</v>
      </c>
      <c r="AZ368" s="433">
        <f t="shared" si="1806"/>
        <v>0</v>
      </c>
      <c r="BA368" s="657">
        <v>0</v>
      </c>
      <c r="BB368" s="327">
        <v>0</v>
      </c>
      <c r="BC368" s="207">
        <v>-0.40235900000000002</v>
      </c>
      <c r="BD368" s="389">
        <v>0</v>
      </c>
      <c r="BE368" s="389">
        <v>0</v>
      </c>
      <c r="BF368" s="516">
        <v>0</v>
      </c>
      <c r="BG368" s="207">
        <v>-0.40235900000000002</v>
      </c>
      <c r="BH368" s="207">
        <f>-5.057641</f>
        <v>-5.0576410000000003</v>
      </c>
      <c r="BI368" s="389">
        <v>0</v>
      </c>
      <c r="BJ368" s="516">
        <v>-5.0576410000000003</v>
      </c>
      <c r="BK368" s="516">
        <v>-5.0576410000000003</v>
      </c>
      <c r="BL368" s="516">
        <v>-5.0576410000000003</v>
      </c>
      <c r="BM368" s="516">
        <v>-5.0576410000000003</v>
      </c>
      <c r="BN368" s="409">
        <v>0</v>
      </c>
      <c r="BO368" s="207">
        <v>0</v>
      </c>
      <c r="BP368" s="389">
        <v>0</v>
      </c>
      <c r="BQ368" s="389">
        <v>0</v>
      </c>
      <c r="BR368" s="389">
        <v>0</v>
      </c>
      <c r="BS368" s="296">
        <v>0</v>
      </c>
      <c r="BT368" s="296">
        <v>0</v>
      </c>
      <c r="BU368" s="296">
        <v>0</v>
      </c>
      <c r="BV368" s="409">
        <v>0</v>
      </c>
      <c r="BW368" s="296">
        <f t="shared" si="1803"/>
        <v>0</v>
      </c>
      <c r="BX368" s="439" t="s">
        <v>1578</v>
      </c>
    </row>
    <row r="369" spans="1:76" ht="138" hidden="1" customHeight="1" outlineLevel="1" x14ac:dyDescent="0.25">
      <c r="A369" s="678">
        <v>18</v>
      </c>
      <c r="B369" s="702" t="s">
        <v>1203</v>
      </c>
      <c r="C369" s="694" t="s">
        <v>1203</v>
      </c>
      <c r="D369" s="268">
        <v>44433</v>
      </c>
      <c r="E369" s="463" t="s">
        <v>1622</v>
      </c>
      <c r="F369" s="544" t="s">
        <v>1205</v>
      </c>
      <c r="G369" s="71" t="s">
        <v>24</v>
      </c>
      <c r="H369" s="311" t="s">
        <v>171</v>
      </c>
      <c r="I369" s="335"/>
      <c r="J369" s="294">
        <f t="shared" si="1761"/>
        <v>0</v>
      </c>
      <c r="K369" s="52">
        <f t="shared" si="1762"/>
        <v>0</v>
      </c>
      <c r="L369" s="52">
        <f t="shared" si="1763"/>
        <v>5.382119245837414E-5</v>
      </c>
      <c r="M369" s="52">
        <f t="shared" si="1764"/>
        <v>5.6065699305730205E-5</v>
      </c>
      <c r="N369" s="52">
        <f t="shared" si="1765"/>
        <v>3.275020209107659E-5</v>
      </c>
      <c r="O369" s="52">
        <f t="shared" si="1766"/>
        <v>3.1897904246279691E-5</v>
      </c>
      <c r="P369" s="52">
        <f t="shared" si="1767"/>
        <v>3.2792404531741581E-5</v>
      </c>
      <c r="Q369" s="52">
        <f t="shared" si="1768"/>
        <v>5.4579485223744038E-5</v>
      </c>
      <c r="R369" s="52">
        <f t="shared" si="1769"/>
        <v>0</v>
      </c>
      <c r="S369" s="527">
        <f t="shared" si="1770"/>
        <v>0</v>
      </c>
      <c r="T369" s="533">
        <f t="shared" si="1771"/>
        <v>0</v>
      </c>
      <c r="U369" s="375">
        <f t="shared" si="1772"/>
        <v>0</v>
      </c>
      <c r="V369" s="375">
        <f t="shared" si="1773"/>
        <v>-5.382119245837414E-5</v>
      </c>
      <c r="W369" s="386">
        <f t="shared" si="1774"/>
        <v>0</v>
      </c>
      <c r="X369" s="386">
        <f t="shared" si="1775"/>
        <v>0</v>
      </c>
      <c r="Y369" s="386">
        <f t="shared" si="1776"/>
        <v>0</v>
      </c>
      <c r="Z369" s="375">
        <f t="shared" si="1777"/>
        <v>-3.275020209107659E-5</v>
      </c>
      <c r="AA369" s="375">
        <f t="shared" si="1778"/>
        <v>-3.1897904246279691E-5</v>
      </c>
      <c r="AB369" s="386">
        <f t="shared" si="1779"/>
        <v>0</v>
      </c>
      <c r="AC369" s="386">
        <f t="shared" si="1780"/>
        <v>-3.6976795120638547E-5</v>
      </c>
      <c r="AD369" s="386">
        <f t="shared" si="1781"/>
        <v>-3.6976795120638547E-5</v>
      </c>
      <c r="AE369" s="386">
        <f t="shared" si="1782"/>
        <v>-3.2792404531741581E-5</v>
      </c>
      <c r="AF369" s="386">
        <f t="shared" si="1783"/>
        <v>-3.1897904246279691E-5</v>
      </c>
      <c r="AG369" s="375">
        <f t="shared" si="1784"/>
        <v>-5.5079596383210109E-5</v>
      </c>
      <c r="AH369" s="375">
        <f t="shared" si="1785"/>
        <v>0</v>
      </c>
      <c r="AI369" s="386">
        <f t="shared" si="1786"/>
        <v>0</v>
      </c>
      <c r="AJ369" s="386">
        <f t="shared" si="1787"/>
        <v>0</v>
      </c>
      <c r="AK369" s="386">
        <f t="shared" si="1788"/>
        <v>0</v>
      </c>
      <c r="AL369" s="377">
        <f t="shared" si="1789"/>
        <v>0</v>
      </c>
      <c r="AM369" s="377">
        <f t="shared" si="1790"/>
        <v>0</v>
      </c>
      <c r="AN369" s="377">
        <f t="shared" si="1791"/>
        <v>0</v>
      </c>
      <c r="AO369" s="283"/>
      <c r="AP369" s="295">
        <f t="shared" si="1792"/>
        <v>2.3580160000000001</v>
      </c>
      <c r="AQ369" s="20">
        <f t="shared" si="1800"/>
        <v>0</v>
      </c>
      <c r="AR369" s="95">
        <f t="shared" si="1801"/>
        <v>0</v>
      </c>
      <c r="AS369" s="94">
        <f t="shared" si="1802"/>
        <v>1.758446</v>
      </c>
      <c r="AT369" s="94">
        <f t="shared" si="1793"/>
        <v>1.758446</v>
      </c>
      <c r="AU369" s="94">
        <f t="shared" si="1794"/>
        <v>1.1000000000000001</v>
      </c>
      <c r="AV369" s="94">
        <f t="shared" si="1795"/>
        <v>1.258016</v>
      </c>
      <c r="AW369" s="94">
        <f t="shared" si="1804"/>
        <v>1.258016</v>
      </c>
      <c r="AX369" s="94">
        <f t="shared" si="1797"/>
        <v>2.1525509999999999</v>
      </c>
      <c r="AY369" s="94">
        <f t="shared" si="1805"/>
        <v>0</v>
      </c>
      <c r="AZ369" s="433">
        <f t="shared" si="1806"/>
        <v>0</v>
      </c>
      <c r="BA369" s="657">
        <v>0</v>
      </c>
      <c r="BB369" s="327">
        <v>0</v>
      </c>
      <c r="BC369" s="207">
        <v>-1.758446</v>
      </c>
      <c r="BD369" s="389">
        <v>0</v>
      </c>
      <c r="BE369" s="389">
        <v>0</v>
      </c>
      <c r="BF369" s="516">
        <v>0</v>
      </c>
      <c r="BG369" s="207">
        <f>-1.1</f>
        <v>-1.1000000000000001</v>
      </c>
      <c r="BH369" s="207">
        <f>-1.258016</f>
        <v>-1.258016</v>
      </c>
      <c r="BI369" s="389">
        <v>0</v>
      </c>
      <c r="BJ369" s="1038">
        <v>-1.258016</v>
      </c>
      <c r="BK369" s="516">
        <v>-1.258016</v>
      </c>
      <c r="BL369" s="516">
        <v>-1.258016</v>
      </c>
      <c r="BM369" s="516">
        <v>-1.258016</v>
      </c>
      <c r="BN369" s="713">
        <v>-2.1525509999999999</v>
      </c>
      <c r="BO369" s="207">
        <v>0</v>
      </c>
      <c r="BP369" s="389">
        <v>0</v>
      </c>
      <c r="BQ369" s="389">
        <v>0</v>
      </c>
      <c r="BR369" s="389">
        <v>0</v>
      </c>
      <c r="BS369" s="296">
        <v>0</v>
      </c>
      <c r="BT369" s="296">
        <v>0</v>
      </c>
      <c r="BU369" s="296">
        <v>0</v>
      </c>
      <c r="BV369" s="713">
        <v>0</v>
      </c>
      <c r="BW369" s="296">
        <f t="shared" si="1803"/>
        <v>0</v>
      </c>
      <c r="BX369" s="439" t="s">
        <v>1600</v>
      </c>
    </row>
    <row r="370" spans="1:76" ht="193.5" hidden="1" customHeight="1" outlineLevel="1" x14ac:dyDescent="0.25">
      <c r="A370" s="678">
        <v>19</v>
      </c>
      <c r="B370" s="702" t="s">
        <v>1203</v>
      </c>
      <c r="C370" s="694" t="s">
        <v>1203</v>
      </c>
      <c r="D370" s="268">
        <v>44433</v>
      </c>
      <c r="E370" s="463" t="s">
        <v>1623</v>
      </c>
      <c r="F370" s="544" t="s">
        <v>1938</v>
      </c>
      <c r="G370" s="71" t="s">
        <v>24</v>
      </c>
      <c r="H370" s="311" t="s">
        <v>171</v>
      </c>
      <c r="I370" s="335"/>
      <c r="J370" s="294">
        <f t="shared" si="1761"/>
        <v>0</v>
      </c>
      <c r="K370" s="52">
        <f t="shared" si="1762"/>
        <v>0</v>
      </c>
      <c r="L370" s="52">
        <f t="shared" si="1763"/>
        <v>1.0268697967678747E-4</v>
      </c>
      <c r="M370" s="52">
        <f t="shared" si="1764"/>
        <v>1.0696933795409838E-4</v>
      </c>
      <c r="N370" s="52">
        <f t="shared" si="1765"/>
        <v>9.9887788875762689E-5</v>
      </c>
      <c r="O370" s="52">
        <f t="shared" si="1766"/>
        <v>1.3030424821554803E-4</v>
      </c>
      <c r="P370" s="52">
        <f t="shared" si="1767"/>
        <v>1.3395831859978964E-4</v>
      </c>
      <c r="Q370" s="52">
        <f t="shared" si="1768"/>
        <v>2.6854831122038916E-4</v>
      </c>
      <c r="R370" s="52">
        <f t="shared" si="1769"/>
        <v>0</v>
      </c>
      <c r="S370" s="527">
        <f t="shared" si="1770"/>
        <v>0</v>
      </c>
      <c r="T370" s="533">
        <f t="shared" si="1771"/>
        <v>0</v>
      </c>
      <c r="U370" s="375">
        <f t="shared" si="1772"/>
        <v>0</v>
      </c>
      <c r="V370" s="375">
        <f t="shared" si="1773"/>
        <v>-1.0268697967678747E-4</v>
      </c>
      <c r="W370" s="386">
        <f t="shared" si="1774"/>
        <v>0</v>
      </c>
      <c r="X370" s="386">
        <f t="shared" si="1775"/>
        <v>0</v>
      </c>
      <c r="Y370" s="386">
        <f t="shared" si="1776"/>
        <v>0</v>
      </c>
      <c r="Z370" s="375">
        <f t="shared" si="1777"/>
        <v>-7.9442403395612408E-5</v>
      </c>
      <c r="AA370" s="375">
        <f t="shared" si="1778"/>
        <v>-1.4771630157803863E-4</v>
      </c>
      <c r="AB370" s="386">
        <f t="shared" si="1779"/>
        <v>0</v>
      </c>
      <c r="AC370" s="386">
        <f t="shared" si="1780"/>
        <v>-1.5105172591948923E-4</v>
      </c>
      <c r="AD370" s="386">
        <f t="shared" si="1781"/>
        <v>-1.7123618458622224E-4</v>
      </c>
      <c r="AE370" s="386">
        <f t="shared" si="1782"/>
        <v>-1.5185865127313939E-4</v>
      </c>
      <c r="AF370" s="386">
        <f t="shared" si="1783"/>
        <v>-1.4771630157803863E-4</v>
      </c>
      <c r="AG370" s="375">
        <f t="shared" si="1784"/>
        <v>-2.7100901613078752E-4</v>
      </c>
      <c r="AH370" s="375">
        <f t="shared" si="1785"/>
        <v>0</v>
      </c>
      <c r="AI370" s="386">
        <f t="shared" si="1786"/>
        <v>0</v>
      </c>
      <c r="AJ370" s="386">
        <f t="shared" si="1787"/>
        <v>0</v>
      </c>
      <c r="AK370" s="386">
        <f t="shared" si="1788"/>
        <v>0</v>
      </c>
      <c r="AL370" s="377">
        <f t="shared" si="1789"/>
        <v>0</v>
      </c>
      <c r="AM370" s="377">
        <f t="shared" si="1790"/>
        <v>0</v>
      </c>
      <c r="AN370" s="377">
        <f t="shared" si="1791"/>
        <v>0</v>
      </c>
      <c r="AO370" s="283"/>
      <c r="AP370" s="295">
        <f t="shared" si="1792"/>
        <v>8.4940359999999995</v>
      </c>
      <c r="AQ370" s="20">
        <f t="shared" si="1800"/>
        <v>0</v>
      </c>
      <c r="AR370" s="95">
        <f t="shared" si="1801"/>
        <v>0</v>
      </c>
      <c r="AS370" s="94">
        <f t="shared" si="1802"/>
        <v>3.3549890000000002</v>
      </c>
      <c r="AT370" s="94">
        <f t="shared" si="1793"/>
        <v>3.3549890000000002</v>
      </c>
      <c r="AU370" s="94">
        <v>3.3549890000000002</v>
      </c>
      <c r="AV370" s="94">
        <v>5.1390469999999997</v>
      </c>
      <c r="AW370" s="94">
        <v>5.1390469999999997</v>
      </c>
      <c r="AX370" s="94">
        <f t="shared" ref="AX370:AX371" si="1807">-BN370</f>
        <v>10.591231000000001</v>
      </c>
      <c r="AY370" s="94">
        <f t="shared" si="1805"/>
        <v>0</v>
      </c>
      <c r="AZ370" s="433">
        <f t="shared" si="1806"/>
        <v>0</v>
      </c>
      <c r="BA370" s="657">
        <v>0</v>
      </c>
      <c r="BB370" s="327">
        <v>0</v>
      </c>
      <c r="BC370" s="207">
        <v>-3.3549890000000002</v>
      </c>
      <c r="BD370" s="389">
        <v>0</v>
      </c>
      <c r="BE370" s="389">
        <v>0</v>
      </c>
      <c r="BF370" s="516">
        <v>0</v>
      </c>
      <c r="BG370" s="207">
        <v>-2.6682779999999999</v>
      </c>
      <c r="BH370" s="207">
        <f>-5.139047-0.686711</f>
        <v>-5.8257579999999995</v>
      </c>
      <c r="BI370" s="389">
        <v>0</v>
      </c>
      <c r="BJ370" s="1038">
        <v>-5.1390469999999997</v>
      </c>
      <c r="BK370" s="516">
        <v>-5.8257579999999995</v>
      </c>
      <c r="BL370" s="516">
        <v>-5.8257579999999995</v>
      </c>
      <c r="BM370" s="516">
        <v>-5.8257579999999995</v>
      </c>
      <c r="BN370" s="713">
        <f>-9.322521-1.26871</f>
        <v>-10.591231000000001</v>
      </c>
      <c r="BO370" s="207">
        <v>0</v>
      </c>
      <c r="BP370" s="389">
        <v>0</v>
      </c>
      <c r="BQ370" s="389">
        <v>0</v>
      </c>
      <c r="BR370" s="389">
        <v>0</v>
      </c>
      <c r="BS370" s="296">
        <v>0</v>
      </c>
      <c r="BT370" s="296">
        <v>0</v>
      </c>
      <c r="BU370" s="296">
        <v>0</v>
      </c>
      <c r="BV370" s="713">
        <v>0</v>
      </c>
      <c r="BW370" s="296">
        <f t="shared" si="1803"/>
        <v>0</v>
      </c>
      <c r="BX370" s="439" t="s">
        <v>1601</v>
      </c>
    </row>
    <row r="371" spans="1:76" ht="154.5" hidden="1" customHeight="1" outlineLevel="1" x14ac:dyDescent="0.25">
      <c r="A371" s="678">
        <v>20</v>
      </c>
      <c r="B371" s="702" t="s">
        <v>1203</v>
      </c>
      <c r="C371" s="694" t="s">
        <v>1203</v>
      </c>
      <c r="D371" s="269">
        <v>44446</v>
      </c>
      <c r="E371" s="463" t="s">
        <v>1608</v>
      </c>
      <c r="F371" s="544" t="s">
        <v>1205</v>
      </c>
      <c r="G371" s="71" t="s">
        <v>25</v>
      </c>
      <c r="H371" s="311" t="s">
        <v>171</v>
      </c>
      <c r="I371" s="335"/>
      <c r="J371" s="294">
        <f t="shared" si="1761"/>
        <v>0</v>
      </c>
      <c r="K371" s="52">
        <f t="shared" si="1762"/>
        <v>0</v>
      </c>
      <c r="L371" s="52">
        <f t="shared" si="1763"/>
        <v>5.5792115572967675E-6</v>
      </c>
      <c r="M371" s="52">
        <f t="shared" si="1764"/>
        <v>5.8118815887697004E-6</v>
      </c>
      <c r="N371" s="52">
        <f t="shared" si="1765"/>
        <v>5.4271253072452767E-6</v>
      </c>
      <c r="O371" s="52">
        <f t="shared" si="1766"/>
        <v>3.4148366585487694E-4</v>
      </c>
      <c r="P371" s="52">
        <f t="shared" si="1767"/>
        <v>3.5105975694316172E-4</v>
      </c>
      <c r="Q371" s="52">
        <f t="shared" si="1768"/>
        <v>0</v>
      </c>
      <c r="R371" s="52">
        <f t="shared" si="1769"/>
        <v>0</v>
      </c>
      <c r="S371" s="527">
        <f t="shared" si="1770"/>
        <v>0</v>
      </c>
      <c r="T371" s="533">
        <f t="shared" si="1771"/>
        <v>0</v>
      </c>
      <c r="U371" s="375">
        <f t="shared" si="1772"/>
        <v>0</v>
      </c>
      <c r="V371" s="375">
        <f t="shared" si="1773"/>
        <v>-5.5792115572967675E-6</v>
      </c>
      <c r="W371" s="386">
        <f t="shared" si="1774"/>
        <v>0</v>
      </c>
      <c r="X371" s="386">
        <f t="shared" si="1775"/>
        <v>0</v>
      </c>
      <c r="Y371" s="386">
        <f t="shared" si="1776"/>
        <v>0</v>
      </c>
      <c r="Z371" s="375">
        <f t="shared" si="1777"/>
        <v>-5.4271253072452767E-6</v>
      </c>
      <c r="AA371" s="375">
        <f t="shared" si="1778"/>
        <v>0</v>
      </c>
      <c r="AB371" s="386">
        <f t="shared" si="1779"/>
        <v>0</v>
      </c>
      <c r="AC371" s="386">
        <f t="shared" si="1780"/>
        <v>-3.9585583591539829E-4</v>
      </c>
      <c r="AD371" s="386">
        <f t="shared" si="1781"/>
        <v>0</v>
      </c>
      <c r="AE371" s="386">
        <f t="shared" si="1782"/>
        <v>0</v>
      </c>
      <c r="AF371" s="386">
        <f t="shared" si="1783"/>
        <v>0</v>
      </c>
      <c r="AG371" s="375">
        <f t="shared" si="1784"/>
        <v>0</v>
      </c>
      <c r="AH371" s="375">
        <f t="shared" si="1785"/>
        <v>-3.0618357017125756E-4</v>
      </c>
      <c r="AI371" s="386">
        <f t="shared" si="1786"/>
        <v>-3.2584472987632316E-4</v>
      </c>
      <c r="AJ371" s="386">
        <f t="shared" si="1787"/>
        <v>-3.1602095115991583E-4</v>
      </c>
      <c r="AK371" s="386">
        <f t="shared" si="1788"/>
        <v>-3.0862934840772302E-4</v>
      </c>
      <c r="AL371" s="377">
        <f t="shared" si="1789"/>
        <v>0</v>
      </c>
      <c r="AM371" s="377">
        <f t="shared" si="1790"/>
        <v>0</v>
      </c>
      <c r="AN371" s="377">
        <f t="shared" si="1791"/>
        <v>0</v>
      </c>
      <c r="AO371" s="283"/>
      <c r="AP371" s="295">
        <f t="shared" si="1792"/>
        <v>13.649999999999999</v>
      </c>
      <c r="AQ371" s="20">
        <f t="shared" si="1800"/>
        <v>0</v>
      </c>
      <c r="AR371" s="95">
        <f t="shared" si="1801"/>
        <v>0</v>
      </c>
      <c r="AS371" s="94">
        <f t="shared" si="1802"/>
        <v>0.182284</v>
      </c>
      <c r="AT371" s="94">
        <f t="shared" si="1793"/>
        <v>0.182284</v>
      </c>
      <c r="AU371" s="94">
        <f t="shared" si="1794"/>
        <v>0.182284</v>
      </c>
      <c r="AV371" s="94">
        <v>13.467715999999999</v>
      </c>
      <c r="AW371" s="94">
        <v>13.467715999999999</v>
      </c>
      <c r="AX371" s="94">
        <f t="shared" si="1807"/>
        <v>0</v>
      </c>
      <c r="AY371" s="94">
        <v>0</v>
      </c>
      <c r="AZ371" s="433">
        <f t="shared" si="1806"/>
        <v>0</v>
      </c>
      <c r="BA371" s="657">
        <v>0</v>
      </c>
      <c r="BB371" s="327">
        <v>0</v>
      </c>
      <c r="BC371" s="207">
        <v>-0.182284</v>
      </c>
      <c r="BD371" s="389">
        <v>0</v>
      </c>
      <c r="BE371" s="389">
        <v>0</v>
      </c>
      <c r="BF371" s="516">
        <v>0</v>
      </c>
      <c r="BG371" s="207">
        <v>-0.182284</v>
      </c>
      <c r="BH371" s="207">
        <v>0</v>
      </c>
      <c r="BI371" s="389">
        <v>0</v>
      </c>
      <c r="BJ371" s="516">
        <v>-13.467715999999999</v>
      </c>
      <c r="BK371" s="516">
        <v>0</v>
      </c>
      <c r="BL371" s="516">
        <v>0</v>
      </c>
      <c r="BM371" s="516">
        <v>0</v>
      </c>
      <c r="BN371" s="409">
        <v>0</v>
      </c>
      <c r="BO371" s="207">
        <v>-13.467715999999999</v>
      </c>
      <c r="BP371" s="389">
        <v>-13.467715999999999</v>
      </c>
      <c r="BQ371" s="389">
        <v>-13.467715999999999</v>
      </c>
      <c r="BR371" s="389">
        <v>-13.467715999999999</v>
      </c>
      <c r="BS371" s="296">
        <v>0</v>
      </c>
      <c r="BT371" s="296">
        <v>0</v>
      </c>
      <c r="BU371" s="296">
        <v>0</v>
      </c>
      <c r="BV371" s="409">
        <v>0</v>
      </c>
      <c r="BW371" s="296">
        <f t="shared" si="1803"/>
        <v>0</v>
      </c>
      <c r="BX371" s="439" t="s">
        <v>1612</v>
      </c>
    </row>
    <row r="372" spans="1:76" ht="154.5" hidden="1" customHeight="1" outlineLevel="1" x14ac:dyDescent="0.25">
      <c r="A372" s="678">
        <v>21</v>
      </c>
      <c r="B372" s="702" t="s">
        <v>1203</v>
      </c>
      <c r="C372" s="694" t="s">
        <v>1203</v>
      </c>
      <c r="D372" s="267">
        <v>44446</v>
      </c>
      <c r="E372" s="463" t="s">
        <v>1640</v>
      </c>
      <c r="F372" s="544" t="s">
        <v>1205</v>
      </c>
      <c r="G372" s="71" t="s">
        <v>211</v>
      </c>
      <c r="H372" s="311" t="s">
        <v>171</v>
      </c>
      <c r="I372" s="335"/>
      <c r="J372" s="294">
        <f t="shared" si="1761"/>
        <v>0</v>
      </c>
      <c r="K372" s="52">
        <f t="shared" si="1762"/>
        <v>0</v>
      </c>
      <c r="L372" s="52">
        <f t="shared" si="1763"/>
        <v>3.853666748285994E-6</v>
      </c>
      <c r="M372" s="52">
        <f t="shared" si="1764"/>
        <v>4.0143763314236391E-6</v>
      </c>
      <c r="N372" s="52">
        <f t="shared" si="1765"/>
        <v>3.7486179042556177E-6</v>
      </c>
      <c r="O372" s="52">
        <f t="shared" si="1766"/>
        <v>4.6494838549121436E-5</v>
      </c>
      <c r="P372" s="52">
        <f t="shared" si="1767"/>
        <v>4.7798674877476595E-5</v>
      </c>
      <c r="Q372" s="52">
        <f t="shared" si="1768"/>
        <v>0</v>
      </c>
      <c r="R372" s="52">
        <f t="shared" si="1769"/>
        <v>0</v>
      </c>
      <c r="S372" s="527">
        <f t="shared" si="1770"/>
        <v>0</v>
      </c>
      <c r="T372" s="533">
        <f t="shared" si="1771"/>
        <v>0</v>
      </c>
      <c r="U372" s="375">
        <f t="shared" si="1772"/>
        <v>0</v>
      </c>
      <c r="V372" s="375">
        <f t="shared" si="1773"/>
        <v>-3.853666748285994E-6</v>
      </c>
      <c r="W372" s="386">
        <f t="shared" si="1774"/>
        <v>0</v>
      </c>
      <c r="X372" s="386">
        <f t="shared" si="1775"/>
        <v>0</v>
      </c>
      <c r="Y372" s="386">
        <f t="shared" si="1776"/>
        <v>0</v>
      </c>
      <c r="Z372" s="375">
        <f t="shared" si="1777"/>
        <v>-3.7486179042556177E-6</v>
      </c>
      <c r="AA372" s="375">
        <f t="shared" si="1778"/>
        <v>-4.6494838549121436E-5</v>
      </c>
      <c r="AB372" s="386">
        <f t="shared" si="1779"/>
        <v>0</v>
      </c>
      <c r="AC372" s="386">
        <f t="shared" si="1780"/>
        <v>-5.3897902066670969E-5</v>
      </c>
      <c r="AD372" s="386">
        <f t="shared" si="1781"/>
        <v>-5.3897902066670969E-5</v>
      </c>
      <c r="AE372" s="386">
        <f t="shared" si="1782"/>
        <v>-4.7798674877476595E-5</v>
      </c>
      <c r="AF372" s="386">
        <f t="shared" si="1783"/>
        <v>-4.6494838549121436E-5</v>
      </c>
      <c r="AG372" s="375">
        <f t="shared" si="1784"/>
        <v>0</v>
      </c>
      <c r="AH372" s="375">
        <f t="shared" si="1785"/>
        <v>0</v>
      </c>
      <c r="AI372" s="386">
        <f t="shared" si="1786"/>
        <v>0</v>
      </c>
      <c r="AJ372" s="386">
        <f t="shared" si="1787"/>
        <v>0</v>
      </c>
      <c r="AK372" s="386">
        <f t="shared" si="1788"/>
        <v>0</v>
      </c>
      <c r="AL372" s="377">
        <f t="shared" si="1789"/>
        <v>0</v>
      </c>
      <c r="AM372" s="377">
        <f t="shared" si="1790"/>
        <v>0</v>
      </c>
      <c r="AN372" s="377">
        <f t="shared" si="1791"/>
        <v>0</v>
      </c>
      <c r="AO372" s="283"/>
      <c r="AP372" s="295">
        <f t="shared" si="1792"/>
        <v>1.9596089999999999</v>
      </c>
      <c r="AQ372" s="20">
        <f t="shared" si="1800"/>
        <v>0</v>
      </c>
      <c r="AR372" s="95">
        <f t="shared" si="1801"/>
        <v>0</v>
      </c>
      <c r="AS372" s="94">
        <f t="shared" si="1802"/>
        <v>0.12590699999999999</v>
      </c>
      <c r="AT372" s="94">
        <f t="shared" si="1793"/>
        <v>0.12590699999999999</v>
      </c>
      <c r="AU372" s="94">
        <f t="shared" si="1794"/>
        <v>0.12590699999999999</v>
      </c>
      <c r="AV372" s="94">
        <f t="shared" ref="AV372:AV385" si="1808">-BH372</f>
        <v>1.8337019999999999</v>
      </c>
      <c r="AW372" s="94">
        <f t="shared" si="1804"/>
        <v>1.8337019999999999</v>
      </c>
      <c r="AX372" s="94">
        <f t="shared" ref="AX372:AX385" si="1809">-BN372</f>
        <v>0</v>
      </c>
      <c r="AY372" s="94">
        <f t="shared" si="1805"/>
        <v>0</v>
      </c>
      <c r="AZ372" s="433">
        <f t="shared" si="1806"/>
        <v>0</v>
      </c>
      <c r="BA372" s="657">
        <v>0</v>
      </c>
      <c r="BB372" s="327">
        <v>0</v>
      </c>
      <c r="BC372" s="207">
        <v>-0.12590699999999999</v>
      </c>
      <c r="BD372" s="389">
        <v>0</v>
      </c>
      <c r="BE372" s="389">
        <v>0</v>
      </c>
      <c r="BF372" s="516">
        <v>0</v>
      </c>
      <c r="BG372" s="207">
        <f>-0.125907</f>
        <v>-0.12590699999999999</v>
      </c>
      <c r="BH372" s="207">
        <f>-1.833702</f>
        <v>-1.8337019999999999</v>
      </c>
      <c r="BI372" s="389">
        <v>0</v>
      </c>
      <c r="BJ372" s="516">
        <v>-1.8337019999999999</v>
      </c>
      <c r="BK372" s="516">
        <v>-1.8337019999999999</v>
      </c>
      <c r="BL372" s="516">
        <v>-1.8337019999999999</v>
      </c>
      <c r="BM372" s="516">
        <v>-1.8337019999999999</v>
      </c>
      <c r="BN372" s="409">
        <v>0</v>
      </c>
      <c r="BO372" s="207">
        <v>0</v>
      </c>
      <c r="BP372" s="389">
        <v>0</v>
      </c>
      <c r="BQ372" s="389">
        <v>0</v>
      </c>
      <c r="BR372" s="389">
        <v>0</v>
      </c>
      <c r="BS372" s="296">
        <v>0</v>
      </c>
      <c r="BT372" s="296">
        <v>0</v>
      </c>
      <c r="BU372" s="296">
        <v>0</v>
      </c>
      <c r="BV372" s="409">
        <v>0</v>
      </c>
      <c r="BW372" s="296">
        <f t="shared" si="1803"/>
        <v>0</v>
      </c>
      <c r="BX372" s="439" t="s">
        <v>1613</v>
      </c>
    </row>
    <row r="373" spans="1:76" ht="154.5" hidden="1" customHeight="1" outlineLevel="1" x14ac:dyDescent="0.25">
      <c r="A373" s="678">
        <v>22</v>
      </c>
      <c r="B373" s="702" t="s">
        <v>1203</v>
      </c>
      <c r="C373" s="694" t="s">
        <v>1203</v>
      </c>
      <c r="D373" s="270">
        <v>44418</v>
      </c>
      <c r="E373" s="463" t="s">
        <v>1594</v>
      </c>
      <c r="F373" s="544" t="s">
        <v>1205</v>
      </c>
      <c r="G373" s="71" t="s">
        <v>211</v>
      </c>
      <c r="H373" s="311" t="s">
        <v>171</v>
      </c>
      <c r="I373" s="335"/>
      <c r="J373" s="294">
        <f t="shared" si="1761"/>
        <v>0</v>
      </c>
      <c r="K373" s="52">
        <f t="shared" si="1762"/>
        <v>0</v>
      </c>
      <c r="L373" s="52">
        <f t="shared" si="1763"/>
        <v>7.4957761998041138E-6</v>
      </c>
      <c r="M373" s="52">
        <f t="shared" si="1764"/>
        <v>7.8083727856140814E-6</v>
      </c>
      <c r="N373" s="52">
        <f t="shared" si="1765"/>
        <v>7.291445447735308E-6</v>
      </c>
      <c r="O373" s="52">
        <f t="shared" si="1766"/>
        <v>1.2677861110780662E-6</v>
      </c>
      <c r="P373" s="52">
        <f t="shared" si="1767"/>
        <v>1.3033381344808643E-6</v>
      </c>
      <c r="Q373" s="52">
        <f t="shared" si="1768"/>
        <v>0</v>
      </c>
      <c r="R373" s="52">
        <f t="shared" si="1769"/>
        <v>0</v>
      </c>
      <c r="S373" s="527">
        <f t="shared" si="1770"/>
        <v>0</v>
      </c>
      <c r="T373" s="533">
        <f t="shared" si="1771"/>
        <v>0</v>
      </c>
      <c r="U373" s="375">
        <f t="shared" si="1772"/>
        <v>0</v>
      </c>
      <c r="V373" s="375">
        <f t="shared" si="1773"/>
        <v>-7.4957761998041138E-6</v>
      </c>
      <c r="W373" s="386">
        <f t="shared" si="1774"/>
        <v>0</v>
      </c>
      <c r="X373" s="386">
        <f t="shared" si="1775"/>
        <v>0</v>
      </c>
      <c r="Y373" s="386">
        <f t="shared" si="1776"/>
        <v>0</v>
      </c>
      <c r="Z373" s="375">
        <f t="shared" si="1777"/>
        <v>-7.291445447735308E-6</v>
      </c>
      <c r="AA373" s="375">
        <f t="shared" si="1778"/>
        <v>-1.2677861110780662E-6</v>
      </c>
      <c r="AB373" s="386">
        <f t="shared" si="1779"/>
        <v>0</v>
      </c>
      <c r="AC373" s="386">
        <f t="shared" si="1780"/>
        <v>-1.4696472509347476E-6</v>
      </c>
      <c r="AD373" s="386">
        <f t="shared" si="1781"/>
        <v>-1.4696472509347476E-6</v>
      </c>
      <c r="AE373" s="386">
        <f t="shared" si="1782"/>
        <v>-1.3033381344808643E-6</v>
      </c>
      <c r="AF373" s="386">
        <f t="shared" si="1783"/>
        <v>-1.2677861110780662E-6</v>
      </c>
      <c r="AG373" s="375">
        <f t="shared" si="1784"/>
        <v>0</v>
      </c>
      <c r="AH373" s="375">
        <f t="shared" si="1785"/>
        <v>0</v>
      </c>
      <c r="AI373" s="386">
        <f t="shared" si="1786"/>
        <v>0</v>
      </c>
      <c r="AJ373" s="386">
        <f t="shared" si="1787"/>
        <v>0</v>
      </c>
      <c r="AK373" s="386">
        <f t="shared" si="1788"/>
        <v>0</v>
      </c>
      <c r="AL373" s="377">
        <f t="shared" si="1789"/>
        <v>0</v>
      </c>
      <c r="AM373" s="377">
        <f t="shared" si="1790"/>
        <v>0</v>
      </c>
      <c r="AN373" s="377">
        <f t="shared" si="1791"/>
        <v>0</v>
      </c>
      <c r="AO373" s="283"/>
      <c r="AP373" s="295">
        <f t="shared" si="1792"/>
        <v>0.294902</v>
      </c>
      <c r="AQ373" s="20">
        <f t="shared" si="1800"/>
        <v>0</v>
      </c>
      <c r="AR373" s="95">
        <f t="shared" si="1801"/>
        <v>0</v>
      </c>
      <c r="AS373" s="94">
        <f t="shared" si="1802"/>
        <v>0.24490200000000001</v>
      </c>
      <c r="AT373" s="94">
        <f t="shared" si="1793"/>
        <v>0.24490200000000001</v>
      </c>
      <c r="AU373" s="94">
        <f t="shared" si="1794"/>
        <v>0.24490200000000001</v>
      </c>
      <c r="AV373" s="94">
        <f t="shared" si="1808"/>
        <v>0.05</v>
      </c>
      <c r="AW373" s="94">
        <f t="shared" si="1804"/>
        <v>0.05</v>
      </c>
      <c r="AX373" s="94">
        <f t="shared" si="1809"/>
        <v>0</v>
      </c>
      <c r="AY373" s="94">
        <f t="shared" si="1805"/>
        <v>0</v>
      </c>
      <c r="AZ373" s="433">
        <f t="shared" si="1806"/>
        <v>0</v>
      </c>
      <c r="BA373" s="657">
        <v>0</v>
      </c>
      <c r="BB373" s="327">
        <v>0</v>
      </c>
      <c r="BC373" s="207">
        <v>-0.24490200000000001</v>
      </c>
      <c r="BD373" s="389">
        <v>0</v>
      </c>
      <c r="BE373" s="389">
        <v>0</v>
      </c>
      <c r="BF373" s="516">
        <v>0</v>
      </c>
      <c r="BG373" s="207">
        <f>-0.244902</f>
        <v>-0.24490200000000001</v>
      </c>
      <c r="BH373" s="207">
        <f>-0.05</f>
        <v>-0.05</v>
      </c>
      <c r="BI373" s="389">
        <v>0</v>
      </c>
      <c r="BJ373" s="516">
        <v>-0.05</v>
      </c>
      <c r="BK373" s="516">
        <v>-0.05</v>
      </c>
      <c r="BL373" s="516">
        <v>-0.05</v>
      </c>
      <c r="BM373" s="516">
        <v>-0.05</v>
      </c>
      <c r="BN373" s="409">
        <v>0</v>
      </c>
      <c r="BO373" s="207">
        <v>0</v>
      </c>
      <c r="BP373" s="389">
        <v>0</v>
      </c>
      <c r="BQ373" s="389">
        <v>0</v>
      </c>
      <c r="BR373" s="389">
        <v>0</v>
      </c>
      <c r="BS373" s="296">
        <v>0</v>
      </c>
      <c r="BT373" s="296">
        <v>0</v>
      </c>
      <c r="BU373" s="296">
        <v>0</v>
      </c>
      <c r="BV373" s="409">
        <v>0</v>
      </c>
      <c r="BW373" s="296">
        <f t="shared" si="1803"/>
        <v>0</v>
      </c>
      <c r="BX373" s="439" t="s">
        <v>1615</v>
      </c>
    </row>
    <row r="374" spans="1:76" ht="87" hidden="1" customHeight="1" outlineLevel="1" x14ac:dyDescent="0.25">
      <c r="A374" s="678">
        <v>23</v>
      </c>
      <c r="B374" s="702" t="s">
        <v>1203</v>
      </c>
      <c r="C374" s="694" t="s">
        <v>1203</v>
      </c>
      <c r="D374" s="270">
        <v>44418</v>
      </c>
      <c r="E374" s="463" t="s">
        <v>1595</v>
      </c>
      <c r="F374" s="544" t="s">
        <v>1205</v>
      </c>
      <c r="G374" s="71" t="s">
        <v>211</v>
      </c>
      <c r="H374" s="311" t="s">
        <v>171</v>
      </c>
      <c r="I374" s="335"/>
      <c r="J374" s="294">
        <f t="shared" si="1761"/>
        <v>0</v>
      </c>
      <c r="K374" s="52">
        <f t="shared" si="1762"/>
        <v>0</v>
      </c>
      <c r="L374" s="52">
        <f t="shared" si="1763"/>
        <v>4.3974351126346724E-5</v>
      </c>
      <c r="M374" s="52">
        <f t="shared" si="1764"/>
        <v>4.5808214846245923E-5</v>
      </c>
      <c r="N374" s="52">
        <f t="shared" si="1765"/>
        <v>4.2775634409374971E-5</v>
      </c>
      <c r="O374" s="52">
        <f t="shared" si="1766"/>
        <v>6.7512729168740267E-5</v>
      </c>
      <c r="P374" s="52">
        <f t="shared" si="1767"/>
        <v>6.9405961872916837E-5</v>
      </c>
      <c r="Q374" s="52">
        <f t="shared" si="1768"/>
        <v>0</v>
      </c>
      <c r="R374" s="52">
        <f t="shared" si="1769"/>
        <v>0</v>
      </c>
      <c r="S374" s="527">
        <f t="shared" si="1770"/>
        <v>0</v>
      </c>
      <c r="T374" s="533">
        <f t="shared" si="1771"/>
        <v>0</v>
      </c>
      <c r="U374" s="375">
        <f t="shared" si="1772"/>
        <v>0</v>
      </c>
      <c r="V374" s="375">
        <f t="shared" si="1773"/>
        <v>-4.3974351126346724E-5</v>
      </c>
      <c r="W374" s="386">
        <f t="shared" si="1774"/>
        <v>0</v>
      </c>
      <c r="X374" s="386">
        <f t="shared" si="1775"/>
        <v>0</v>
      </c>
      <c r="Y374" s="386">
        <f t="shared" si="1776"/>
        <v>0</v>
      </c>
      <c r="Z374" s="375">
        <f t="shared" si="1777"/>
        <v>-4.2775634409374971E-5</v>
      </c>
      <c r="AA374" s="375">
        <f t="shared" si="1778"/>
        <v>-6.7512729168740267E-5</v>
      </c>
      <c r="AB374" s="386">
        <f t="shared" si="1779"/>
        <v>0</v>
      </c>
      <c r="AC374" s="386">
        <f t="shared" si="1780"/>
        <v>-7.82623314445126E-5</v>
      </c>
      <c r="AD374" s="386">
        <f t="shared" si="1781"/>
        <v>-7.82623314445126E-5</v>
      </c>
      <c r="AE374" s="386">
        <f t="shared" si="1782"/>
        <v>-6.9405961872916837E-5</v>
      </c>
      <c r="AF374" s="386">
        <f t="shared" si="1783"/>
        <v>-6.7512729168740267E-5</v>
      </c>
      <c r="AG374" s="375">
        <f t="shared" si="1784"/>
        <v>0</v>
      </c>
      <c r="AH374" s="375">
        <f t="shared" si="1785"/>
        <v>0</v>
      </c>
      <c r="AI374" s="386">
        <f t="shared" si="1786"/>
        <v>0</v>
      </c>
      <c r="AJ374" s="386">
        <f t="shared" si="1787"/>
        <v>0</v>
      </c>
      <c r="AK374" s="386">
        <f t="shared" si="1788"/>
        <v>0</v>
      </c>
      <c r="AL374" s="377">
        <f t="shared" si="1789"/>
        <v>0</v>
      </c>
      <c r="AM374" s="377">
        <f t="shared" si="1790"/>
        <v>0</v>
      </c>
      <c r="AN374" s="377">
        <f t="shared" si="1791"/>
        <v>0</v>
      </c>
      <c r="AO374" s="283"/>
      <c r="AP374" s="295">
        <f t="shared" si="1792"/>
        <v>4.0993529999999998</v>
      </c>
      <c r="AQ374" s="20">
        <f t="shared" si="1800"/>
        <v>0</v>
      </c>
      <c r="AR374" s="95">
        <f t="shared" si="1801"/>
        <v>0</v>
      </c>
      <c r="AS374" s="94">
        <f t="shared" si="1802"/>
        <v>1.4367300000000001</v>
      </c>
      <c r="AT374" s="94">
        <f t="shared" si="1793"/>
        <v>1.4367300000000001</v>
      </c>
      <c r="AU374" s="94">
        <f t="shared" si="1794"/>
        <v>1.4367300000000001</v>
      </c>
      <c r="AV374" s="94">
        <f t="shared" si="1808"/>
        <v>2.662623</v>
      </c>
      <c r="AW374" s="94">
        <f t="shared" si="1804"/>
        <v>2.662623</v>
      </c>
      <c r="AX374" s="94">
        <f t="shared" si="1809"/>
        <v>0</v>
      </c>
      <c r="AY374" s="94">
        <f t="shared" si="1805"/>
        <v>0</v>
      </c>
      <c r="AZ374" s="433">
        <f t="shared" si="1806"/>
        <v>0</v>
      </c>
      <c r="BA374" s="657">
        <v>0</v>
      </c>
      <c r="BB374" s="327">
        <v>0</v>
      </c>
      <c r="BC374" s="207">
        <f>-1.43673</f>
        <v>-1.4367300000000001</v>
      </c>
      <c r="BD374" s="389">
        <v>0</v>
      </c>
      <c r="BE374" s="389">
        <v>0</v>
      </c>
      <c r="BF374" s="516">
        <v>0</v>
      </c>
      <c r="BG374" s="207">
        <f>-1.43673</f>
        <v>-1.4367300000000001</v>
      </c>
      <c r="BH374" s="207">
        <f>-2.662623</f>
        <v>-2.662623</v>
      </c>
      <c r="BI374" s="389">
        <v>0</v>
      </c>
      <c r="BJ374" s="516">
        <v>-2.662623</v>
      </c>
      <c r="BK374" s="516">
        <v>-2.662623</v>
      </c>
      <c r="BL374" s="516">
        <v>-2.662623</v>
      </c>
      <c r="BM374" s="516">
        <v>-2.662623</v>
      </c>
      <c r="BN374" s="409">
        <v>0</v>
      </c>
      <c r="BO374" s="207">
        <v>0</v>
      </c>
      <c r="BP374" s="389">
        <v>0</v>
      </c>
      <c r="BQ374" s="389">
        <v>0</v>
      </c>
      <c r="BR374" s="389">
        <v>0</v>
      </c>
      <c r="BS374" s="296">
        <v>0</v>
      </c>
      <c r="BT374" s="296">
        <v>0</v>
      </c>
      <c r="BU374" s="296">
        <v>0</v>
      </c>
      <c r="BV374" s="409">
        <v>0</v>
      </c>
      <c r="BW374" s="296">
        <f t="shared" si="1803"/>
        <v>0</v>
      </c>
      <c r="BX374" s="439" t="s">
        <v>1616</v>
      </c>
    </row>
    <row r="375" spans="1:76" ht="87" hidden="1" customHeight="1" outlineLevel="1" x14ac:dyDescent="0.25">
      <c r="A375" s="678">
        <v>24</v>
      </c>
      <c r="B375" s="702" t="s">
        <v>1203</v>
      </c>
      <c r="C375" s="694" t="s">
        <v>1203</v>
      </c>
      <c r="D375" s="270">
        <v>44417</v>
      </c>
      <c r="E375" s="463" t="s">
        <v>1596</v>
      </c>
      <c r="F375" s="544" t="s">
        <v>1205</v>
      </c>
      <c r="G375" s="71" t="s">
        <v>211</v>
      </c>
      <c r="H375" s="311" t="s">
        <v>171</v>
      </c>
      <c r="I375" s="335"/>
      <c r="J375" s="294">
        <f t="shared" si="1761"/>
        <v>0</v>
      </c>
      <c r="K375" s="52">
        <f t="shared" si="1762"/>
        <v>0</v>
      </c>
      <c r="L375" s="52">
        <f t="shared" si="1763"/>
        <v>4.2316142262487753E-5</v>
      </c>
      <c r="M375" s="52">
        <f t="shared" si="1764"/>
        <v>4.4080853647046996E-5</v>
      </c>
      <c r="N375" s="52">
        <f t="shared" si="1765"/>
        <v>4.1162627410567459E-5</v>
      </c>
      <c r="O375" s="52">
        <f t="shared" si="1766"/>
        <v>7.4220002300843226E-6</v>
      </c>
      <c r="P375" s="52">
        <f t="shared" si="1767"/>
        <v>7.6301324406913228E-6</v>
      </c>
      <c r="Q375" s="52">
        <f t="shared" si="1768"/>
        <v>1.5450889671541715E-5</v>
      </c>
      <c r="R375" s="52">
        <f t="shared" si="1769"/>
        <v>0</v>
      </c>
      <c r="S375" s="527">
        <f t="shared" si="1770"/>
        <v>0</v>
      </c>
      <c r="T375" s="533">
        <f t="shared" si="1771"/>
        <v>0</v>
      </c>
      <c r="U375" s="375">
        <f t="shared" si="1772"/>
        <v>0</v>
      </c>
      <c r="V375" s="375">
        <f t="shared" si="1773"/>
        <v>-4.2316142262487753E-5</v>
      </c>
      <c r="W375" s="386">
        <f t="shared" si="1774"/>
        <v>0</v>
      </c>
      <c r="X375" s="386">
        <f t="shared" si="1775"/>
        <v>0</v>
      </c>
      <c r="Y375" s="386">
        <f t="shared" si="1776"/>
        <v>0</v>
      </c>
      <c r="Z375" s="375">
        <f t="shared" si="1777"/>
        <v>-4.1162627410567459E-5</v>
      </c>
      <c r="AA375" s="375">
        <f t="shared" si="1778"/>
        <v>-7.4220002300843226E-6</v>
      </c>
      <c r="AB375" s="386">
        <f t="shared" si="1779"/>
        <v>0</v>
      </c>
      <c r="AC375" s="386">
        <f t="shared" si="1780"/>
        <v>-8.6037559011472928E-6</v>
      </c>
      <c r="AD375" s="386">
        <f t="shared" si="1781"/>
        <v>-8.6037559011472928E-6</v>
      </c>
      <c r="AE375" s="386">
        <f t="shared" si="1782"/>
        <v>-7.6301324406913228E-6</v>
      </c>
      <c r="AF375" s="386">
        <f t="shared" si="1783"/>
        <v>-7.4220002300843226E-6</v>
      </c>
      <c r="AG375" s="375">
        <f t="shared" si="1784"/>
        <v>-1.5592465985732662E-5</v>
      </c>
      <c r="AH375" s="375">
        <f t="shared" si="1785"/>
        <v>0</v>
      </c>
      <c r="AI375" s="386">
        <f t="shared" si="1786"/>
        <v>0</v>
      </c>
      <c r="AJ375" s="386">
        <f t="shared" si="1787"/>
        <v>0</v>
      </c>
      <c r="AK375" s="386">
        <f t="shared" si="1788"/>
        <v>0</v>
      </c>
      <c r="AL375" s="377">
        <f t="shared" si="1789"/>
        <v>0</v>
      </c>
      <c r="AM375" s="377">
        <f t="shared" si="1790"/>
        <v>0</v>
      </c>
      <c r="AN375" s="377">
        <f t="shared" si="1791"/>
        <v>0</v>
      </c>
      <c r="AO375" s="283"/>
      <c r="AP375" s="295">
        <f t="shared" si="1792"/>
        <v>1.675268</v>
      </c>
      <c r="AQ375" s="20">
        <f t="shared" si="1800"/>
        <v>0</v>
      </c>
      <c r="AR375" s="95">
        <f t="shared" si="1801"/>
        <v>0</v>
      </c>
      <c r="AS375" s="94">
        <f t="shared" si="1802"/>
        <v>1.3825529999999999</v>
      </c>
      <c r="AT375" s="94">
        <f t="shared" si="1793"/>
        <v>1.3825529999999999</v>
      </c>
      <c r="AU375" s="94">
        <f t="shared" si="1794"/>
        <v>1.3825529999999999</v>
      </c>
      <c r="AV375" s="94">
        <f t="shared" si="1808"/>
        <v>0.292715</v>
      </c>
      <c r="AW375" s="94">
        <f t="shared" si="1804"/>
        <v>0.292715</v>
      </c>
      <c r="AX375" s="94">
        <f t="shared" si="1809"/>
        <v>0.60936500000000005</v>
      </c>
      <c r="AY375" s="94">
        <f t="shared" si="1805"/>
        <v>0</v>
      </c>
      <c r="AZ375" s="433">
        <f t="shared" si="1806"/>
        <v>0</v>
      </c>
      <c r="BA375" s="657">
        <v>0</v>
      </c>
      <c r="BB375" s="327">
        <v>0</v>
      </c>
      <c r="BC375" s="207">
        <v>-1.3825529999999999</v>
      </c>
      <c r="BD375" s="389">
        <v>0</v>
      </c>
      <c r="BE375" s="389">
        <v>0</v>
      </c>
      <c r="BF375" s="516">
        <v>0</v>
      </c>
      <c r="BG375" s="207">
        <v>-1.3825529999999999</v>
      </c>
      <c r="BH375" s="207">
        <f>-0.292715</f>
        <v>-0.292715</v>
      </c>
      <c r="BI375" s="389">
        <v>0</v>
      </c>
      <c r="BJ375" s="516">
        <v>-0.292715</v>
      </c>
      <c r="BK375" s="516">
        <v>-0.292715</v>
      </c>
      <c r="BL375" s="516">
        <v>-0.292715</v>
      </c>
      <c r="BM375" s="516">
        <v>-0.292715</v>
      </c>
      <c r="BN375" s="713">
        <v>-0.60936500000000005</v>
      </c>
      <c r="BO375" s="207">
        <v>0</v>
      </c>
      <c r="BP375" s="389">
        <v>0</v>
      </c>
      <c r="BQ375" s="389">
        <v>0</v>
      </c>
      <c r="BR375" s="389">
        <v>0</v>
      </c>
      <c r="BS375" s="296">
        <v>0</v>
      </c>
      <c r="BT375" s="296">
        <v>0</v>
      </c>
      <c r="BU375" s="296">
        <v>0</v>
      </c>
      <c r="BV375" s="713">
        <v>0</v>
      </c>
      <c r="BW375" s="296">
        <f t="shared" si="1803"/>
        <v>0</v>
      </c>
      <c r="BX375" s="439" t="s">
        <v>1617</v>
      </c>
    </row>
    <row r="376" spans="1:76" ht="72.599999999999994" hidden="1" customHeight="1" outlineLevel="1" x14ac:dyDescent="0.25">
      <c r="A376" s="678">
        <v>25</v>
      </c>
      <c r="B376" s="702" t="s">
        <v>1203</v>
      </c>
      <c r="C376" s="694" t="s">
        <v>1203</v>
      </c>
      <c r="D376" s="270">
        <v>44418</v>
      </c>
      <c r="E376" s="463" t="s">
        <v>1597</v>
      </c>
      <c r="F376" s="544" t="s">
        <v>1205</v>
      </c>
      <c r="G376" s="71" t="s">
        <v>211</v>
      </c>
      <c r="H376" s="311" t="s">
        <v>171</v>
      </c>
      <c r="I376" s="335"/>
      <c r="J376" s="294">
        <f t="shared" si="1761"/>
        <v>0</v>
      </c>
      <c r="K376" s="52">
        <f t="shared" si="1762"/>
        <v>0</v>
      </c>
      <c r="L376" s="52">
        <f t="shared" si="1763"/>
        <v>3.6653740205680708E-5</v>
      </c>
      <c r="M376" s="52">
        <f t="shared" si="1764"/>
        <v>3.8182312262802788E-5</v>
      </c>
      <c r="N376" s="52">
        <f t="shared" si="1765"/>
        <v>3.5654579331246239E-5</v>
      </c>
      <c r="O376" s="52">
        <f t="shared" si="1766"/>
        <v>6.670634113492795E-6</v>
      </c>
      <c r="P376" s="52">
        <f t="shared" si="1767"/>
        <v>6.8576960619098942E-6</v>
      </c>
      <c r="Q376" s="52">
        <f t="shared" si="1768"/>
        <v>0</v>
      </c>
      <c r="R376" s="52">
        <f t="shared" si="1769"/>
        <v>0</v>
      </c>
      <c r="S376" s="527">
        <f t="shared" si="1770"/>
        <v>0</v>
      </c>
      <c r="T376" s="533">
        <f t="shared" si="1771"/>
        <v>0</v>
      </c>
      <c r="U376" s="375">
        <f t="shared" si="1772"/>
        <v>0</v>
      </c>
      <c r="V376" s="375">
        <f t="shared" si="1773"/>
        <v>-3.6653740205680708E-5</v>
      </c>
      <c r="W376" s="386">
        <f t="shared" si="1774"/>
        <v>0</v>
      </c>
      <c r="X376" s="386">
        <f t="shared" si="1775"/>
        <v>0</v>
      </c>
      <c r="Y376" s="386">
        <f t="shared" si="1776"/>
        <v>0</v>
      </c>
      <c r="Z376" s="375">
        <f t="shared" si="1777"/>
        <v>-3.5654579331246239E-5</v>
      </c>
      <c r="AA376" s="375">
        <f t="shared" si="1778"/>
        <v>-6.670634113492795E-6</v>
      </c>
      <c r="AB376" s="386">
        <f t="shared" si="1779"/>
        <v>0</v>
      </c>
      <c r="AC376" s="386">
        <f t="shared" si="1780"/>
        <v>-7.732754761408305E-6</v>
      </c>
      <c r="AD376" s="386">
        <f t="shared" si="1781"/>
        <v>-7.732754761408305E-6</v>
      </c>
      <c r="AE376" s="386">
        <f t="shared" si="1782"/>
        <v>-6.8576960619098942E-6</v>
      </c>
      <c r="AF376" s="386">
        <f t="shared" si="1783"/>
        <v>-6.670634113492795E-6</v>
      </c>
      <c r="AG376" s="375">
        <f t="shared" si="1784"/>
        <v>0</v>
      </c>
      <c r="AH376" s="375">
        <f t="shared" si="1785"/>
        <v>0</v>
      </c>
      <c r="AI376" s="386">
        <f t="shared" si="1786"/>
        <v>0</v>
      </c>
      <c r="AJ376" s="386">
        <f t="shared" si="1787"/>
        <v>0</v>
      </c>
      <c r="AK376" s="386">
        <f t="shared" si="1788"/>
        <v>0</v>
      </c>
      <c r="AL376" s="377">
        <f t="shared" si="1789"/>
        <v>0</v>
      </c>
      <c r="AM376" s="377">
        <f t="shared" si="1790"/>
        <v>0</v>
      </c>
      <c r="AN376" s="377">
        <f t="shared" si="1791"/>
        <v>0</v>
      </c>
      <c r="AO376" s="283"/>
      <c r="AP376" s="295">
        <f t="shared" si="1792"/>
        <v>1.4606330000000001</v>
      </c>
      <c r="AQ376" s="20">
        <f t="shared" si="1800"/>
        <v>0</v>
      </c>
      <c r="AR376" s="95">
        <f t="shared" si="1801"/>
        <v>0</v>
      </c>
      <c r="AS376" s="94">
        <f t="shared" si="1802"/>
        <v>1.197551</v>
      </c>
      <c r="AT376" s="94">
        <f t="shared" si="1793"/>
        <v>1.197551</v>
      </c>
      <c r="AU376" s="94">
        <f t="shared" si="1794"/>
        <v>1.197551</v>
      </c>
      <c r="AV376" s="94">
        <f t="shared" si="1808"/>
        <v>0.26308199999999998</v>
      </c>
      <c r="AW376" s="94">
        <f t="shared" si="1804"/>
        <v>0.26308199999999998</v>
      </c>
      <c r="AX376" s="94">
        <f t="shared" si="1809"/>
        <v>0</v>
      </c>
      <c r="AY376" s="94">
        <f t="shared" si="1805"/>
        <v>0</v>
      </c>
      <c r="AZ376" s="433">
        <f t="shared" si="1806"/>
        <v>0</v>
      </c>
      <c r="BA376" s="657">
        <v>0</v>
      </c>
      <c r="BB376" s="327">
        <v>0</v>
      </c>
      <c r="BC376" s="207">
        <v>-1.197551</v>
      </c>
      <c r="BD376" s="389">
        <v>0</v>
      </c>
      <c r="BE376" s="389">
        <v>0</v>
      </c>
      <c r="BF376" s="516">
        <v>0</v>
      </c>
      <c r="BG376" s="207">
        <v>-1.197551</v>
      </c>
      <c r="BH376" s="207">
        <f>-0.263082</f>
        <v>-0.26308199999999998</v>
      </c>
      <c r="BI376" s="389">
        <v>0</v>
      </c>
      <c r="BJ376" s="516">
        <v>-0.26308199999999998</v>
      </c>
      <c r="BK376" s="516">
        <v>-0.26308199999999998</v>
      </c>
      <c r="BL376" s="516">
        <v>-0.26308199999999998</v>
      </c>
      <c r="BM376" s="516">
        <v>-0.26308199999999998</v>
      </c>
      <c r="BN376" s="409">
        <v>0</v>
      </c>
      <c r="BO376" s="207">
        <v>0</v>
      </c>
      <c r="BP376" s="389">
        <v>0</v>
      </c>
      <c r="BQ376" s="389">
        <v>0</v>
      </c>
      <c r="BR376" s="389">
        <v>0</v>
      </c>
      <c r="BS376" s="296">
        <v>0</v>
      </c>
      <c r="BT376" s="296">
        <v>0</v>
      </c>
      <c r="BU376" s="296">
        <v>0</v>
      </c>
      <c r="BV376" s="409">
        <v>0</v>
      </c>
      <c r="BW376" s="296">
        <f t="shared" si="1803"/>
        <v>0</v>
      </c>
      <c r="BX376" s="439" t="s">
        <v>1618</v>
      </c>
    </row>
    <row r="377" spans="1:76" ht="72.599999999999994" hidden="1" customHeight="1" outlineLevel="1" x14ac:dyDescent="0.25">
      <c r="A377" s="678">
        <v>26</v>
      </c>
      <c r="B377" s="702" t="s">
        <v>1203</v>
      </c>
      <c r="C377" s="694" t="s">
        <v>1203</v>
      </c>
      <c r="D377" s="270">
        <v>44418</v>
      </c>
      <c r="E377" s="463" t="s">
        <v>1599</v>
      </c>
      <c r="F377" s="544" t="s">
        <v>1205</v>
      </c>
      <c r="G377" s="71" t="s">
        <v>211</v>
      </c>
      <c r="H377" s="311" t="s">
        <v>171</v>
      </c>
      <c r="I377" s="335"/>
      <c r="J377" s="294">
        <f t="shared" si="1761"/>
        <v>0</v>
      </c>
      <c r="K377" s="52">
        <f t="shared" si="1762"/>
        <v>0</v>
      </c>
      <c r="L377" s="52">
        <f t="shared" si="1763"/>
        <v>9.1821743388834476E-6</v>
      </c>
      <c r="M377" s="52">
        <f t="shared" si="1764"/>
        <v>9.5650988382464175E-6</v>
      </c>
      <c r="N377" s="52">
        <f t="shared" si="1765"/>
        <v>8.9318732975663415E-6</v>
      </c>
      <c r="O377" s="52">
        <f t="shared" si="1766"/>
        <v>3.0426866665873585E-5</v>
      </c>
      <c r="P377" s="52">
        <f t="shared" si="1767"/>
        <v>3.1280115227540737E-5</v>
      </c>
      <c r="Q377" s="52">
        <f t="shared" si="1768"/>
        <v>1.7841604652646067E-4</v>
      </c>
      <c r="R377" s="52">
        <f t="shared" si="1769"/>
        <v>0</v>
      </c>
      <c r="S377" s="527">
        <f t="shared" si="1770"/>
        <v>0</v>
      </c>
      <c r="T377" s="533">
        <f t="shared" si="1771"/>
        <v>0</v>
      </c>
      <c r="U377" s="375">
        <f t="shared" si="1772"/>
        <v>0</v>
      </c>
      <c r="V377" s="375">
        <f t="shared" si="1773"/>
        <v>-9.1821743388834476E-6</v>
      </c>
      <c r="W377" s="386">
        <f t="shared" si="1774"/>
        <v>0</v>
      </c>
      <c r="X377" s="386">
        <f t="shared" si="1775"/>
        <v>0</v>
      </c>
      <c r="Y377" s="386">
        <f t="shared" si="1776"/>
        <v>0</v>
      </c>
      <c r="Z377" s="375">
        <f t="shared" si="1777"/>
        <v>-8.9318732975663415E-6</v>
      </c>
      <c r="AA377" s="375">
        <f t="shared" si="1778"/>
        <v>-3.0426866665873585E-5</v>
      </c>
      <c r="AB377" s="386">
        <f t="shared" si="1779"/>
        <v>0</v>
      </c>
      <c r="AC377" s="386">
        <f t="shared" si="1780"/>
        <v>-3.5271534022433941E-5</v>
      </c>
      <c r="AD377" s="386">
        <f t="shared" si="1781"/>
        <v>-3.5271534022433941E-5</v>
      </c>
      <c r="AE377" s="386">
        <f t="shared" si="1782"/>
        <v>-3.1280115227540737E-5</v>
      </c>
      <c r="AF377" s="386">
        <f t="shared" si="1783"/>
        <v>-3.0426866665873585E-5</v>
      </c>
      <c r="AG377" s="375">
        <f t="shared" si="1784"/>
        <v>-1.800508705913986E-4</v>
      </c>
      <c r="AH377" s="375">
        <f t="shared" si="1785"/>
        <v>0</v>
      </c>
      <c r="AI377" s="386">
        <f t="shared" si="1786"/>
        <v>0</v>
      </c>
      <c r="AJ377" s="386">
        <f t="shared" si="1787"/>
        <v>0</v>
      </c>
      <c r="AK377" s="386">
        <f t="shared" si="1788"/>
        <v>0</v>
      </c>
      <c r="AL377" s="377">
        <f t="shared" si="1789"/>
        <v>0</v>
      </c>
      <c r="AM377" s="377">
        <f t="shared" si="1790"/>
        <v>0</v>
      </c>
      <c r="AN377" s="377">
        <f t="shared" si="1791"/>
        <v>0</v>
      </c>
      <c r="AO377" s="283"/>
      <c r="AP377" s="295">
        <f t="shared" si="1792"/>
        <v>1.5</v>
      </c>
      <c r="AQ377" s="20">
        <f t="shared" si="1800"/>
        <v>0</v>
      </c>
      <c r="AR377" s="95">
        <f t="shared" si="1801"/>
        <v>0</v>
      </c>
      <c r="AS377" s="94">
        <f t="shared" si="1802"/>
        <v>0.3</v>
      </c>
      <c r="AT377" s="94">
        <f t="shared" si="1793"/>
        <v>0.3</v>
      </c>
      <c r="AU377" s="94">
        <f t="shared" si="1794"/>
        <v>0.3</v>
      </c>
      <c r="AV377" s="94">
        <f t="shared" si="1808"/>
        <v>1.2</v>
      </c>
      <c r="AW377" s="94">
        <f t="shared" si="1804"/>
        <v>1.2</v>
      </c>
      <c r="AX377" s="94">
        <f t="shared" si="1809"/>
        <v>7.0365200000000003</v>
      </c>
      <c r="AY377" s="94">
        <f t="shared" si="1805"/>
        <v>0</v>
      </c>
      <c r="AZ377" s="433">
        <f t="shared" si="1806"/>
        <v>0</v>
      </c>
      <c r="BA377" s="657">
        <v>0</v>
      </c>
      <c r="BB377" s="327">
        <v>0</v>
      </c>
      <c r="BC377" s="207">
        <v>-0.3</v>
      </c>
      <c r="BD377" s="389">
        <v>0</v>
      </c>
      <c r="BE377" s="389">
        <v>0</v>
      </c>
      <c r="BF377" s="516">
        <v>0</v>
      </c>
      <c r="BG377" s="207">
        <f>-0.3</f>
        <v>-0.3</v>
      </c>
      <c r="BH377" s="207">
        <f>-1.2</f>
        <v>-1.2</v>
      </c>
      <c r="BI377" s="389">
        <v>0</v>
      </c>
      <c r="BJ377" s="516">
        <v>-1.2</v>
      </c>
      <c r="BK377" s="516">
        <v>-1.2</v>
      </c>
      <c r="BL377" s="516">
        <v>-1.2</v>
      </c>
      <c r="BM377" s="516">
        <v>-1.2</v>
      </c>
      <c r="BN377" s="713">
        <v>-7.0365200000000003</v>
      </c>
      <c r="BO377" s="207">
        <v>0</v>
      </c>
      <c r="BP377" s="389">
        <v>0</v>
      </c>
      <c r="BQ377" s="389">
        <v>0</v>
      </c>
      <c r="BR377" s="389">
        <v>0</v>
      </c>
      <c r="BS377" s="296">
        <v>0</v>
      </c>
      <c r="BT377" s="296">
        <v>0</v>
      </c>
      <c r="BU377" s="296">
        <v>0</v>
      </c>
      <c r="BV377" s="713">
        <v>0</v>
      </c>
      <c r="BW377" s="296">
        <f t="shared" si="1803"/>
        <v>0</v>
      </c>
      <c r="BX377" s="439" t="s">
        <v>1567</v>
      </c>
    </row>
    <row r="378" spans="1:76" ht="108.95" hidden="1" customHeight="1" outlineLevel="1" x14ac:dyDescent="0.25">
      <c r="A378" s="678">
        <v>27</v>
      </c>
      <c r="B378" s="702" t="s">
        <v>1203</v>
      </c>
      <c r="C378" s="694" t="s">
        <v>1203</v>
      </c>
      <c r="D378" s="270">
        <v>44418</v>
      </c>
      <c r="E378" s="463" t="s">
        <v>1598</v>
      </c>
      <c r="F378" s="544" t="s">
        <v>1205</v>
      </c>
      <c r="G378" s="71" t="s">
        <v>211</v>
      </c>
      <c r="H378" s="311" t="s">
        <v>171</v>
      </c>
      <c r="I378" s="335"/>
      <c r="J378" s="294">
        <f t="shared" si="1761"/>
        <v>0</v>
      </c>
      <c r="K378" s="52">
        <f t="shared" si="1762"/>
        <v>0</v>
      </c>
      <c r="L378" s="52">
        <f t="shared" si="1763"/>
        <v>1.4380723555337905E-5</v>
      </c>
      <c r="M378" s="52">
        <f t="shared" si="1764"/>
        <v>1.4980443312845216E-5</v>
      </c>
      <c r="N378" s="52">
        <f t="shared" si="1765"/>
        <v>1.3988712910805511E-5</v>
      </c>
      <c r="O378" s="52">
        <f t="shared" si="1766"/>
        <v>0</v>
      </c>
      <c r="P378" s="52">
        <f t="shared" si="1767"/>
        <v>0</v>
      </c>
      <c r="Q378" s="52">
        <f t="shared" si="1768"/>
        <v>0</v>
      </c>
      <c r="R378" s="52">
        <f t="shared" si="1769"/>
        <v>0</v>
      </c>
      <c r="S378" s="527">
        <f t="shared" si="1770"/>
        <v>0</v>
      </c>
      <c r="T378" s="533">
        <f t="shared" si="1771"/>
        <v>0</v>
      </c>
      <c r="U378" s="375">
        <f t="shared" si="1772"/>
        <v>0</v>
      </c>
      <c r="V378" s="375">
        <f t="shared" si="1773"/>
        <v>-1.4380723555337905E-5</v>
      </c>
      <c r="W378" s="386">
        <f t="shared" si="1774"/>
        <v>0</v>
      </c>
      <c r="X378" s="386">
        <f t="shared" si="1775"/>
        <v>0</v>
      </c>
      <c r="Y378" s="386">
        <f t="shared" si="1776"/>
        <v>0</v>
      </c>
      <c r="Z378" s="375">
        <f t="shared" si="1777"/>
        <v>-1.3988712910805511E-5</v>
      </c>
      <c r="AA378" s="375">
        <f t="shared" si="1778"/>
        <v>0</v>
      </c>
      <c r="AB378" s="386">
        <f t="shared" si="1779"/>
        <v>0</v>
      </c>
      <c r="AC378" s="386">
        <f t="shared" si="1780"/>
        <v>0</v>
      </c>
      <c r="AD378" s="386">
        <f t="shared" si="1781"/>
        <v>0</v>
      </c>
      <c r="AE378" s="386">
        <f t="shared" si="1782"/>
        <v>0</v>
      </c>
      <c r="AF378" s="386">
        <f t="shared" si="1783"/>
        <v>0</v>
      </c>
      <c r="AG378" s="375">
        <f t="shared" si="1784"/>
        <v>0</v>
      </c>
      <c r="AH378" s="375">
        <f t="shared" si="1785"/>
        <v>0</v>
      </c>
      <c r="AI378" s="386">
        <f t="shared" si="1786"/>
        <v>0</v>
      </c>
      <c r="AJ378" s="386">
        <f t="shared" si="1787"/>
        <v>0</v>
      </c>
      <c r="AK378" s="386">
        <f t="shared" si="1788"/>
        <v>0</v>
      </c>
      <c r="AL378" s="377">
        <f t="shared" si="1789"/>
        <v>0</v>
      </c>
      <c r="AM378" s="377">
        <f t="shared" si="1790"/>
        <v>0</v>
      </c>
      <c r="AN378" s="377">
        <f t="shared" si="1791"/>
        <v>0</v>
      </c>
      <c r="AO378" s="283"/>
      <c r="AP378" s="295">
        <f t="shared" si="1792"/>
        <v>0.46984700000000001</v>
      </c>
      <c r="AQ378" s="20">
        <f t="shared" si="1800"/>
        <v>0</v>
      </c>
      <c r="AR378" s="95">
        <f t="shared" si="1801"/>
        <v>0</v>
      </c>
      <c r="AS378" s="94">
        <f t="shared" si="1802"/>
        <v>0.46984700000000001</v>
      </c>
      <c r="AT378" s="94">
        <f t="shared" si="1793"/>
        <v>0.46984700000000001</v>
      </c>
      <c r="AU378" s="94">
        <f t="shared" si="1794"/>
        <v>0.46984700000000001</v>
      </c>
      <c r="AV378" s="94">
        <f t="shared" si="1808"/>
        <v>0</v>
      </c>
      <c r="AW378" s="94">
        <f t="shared" si="1804"/>
        <v>0</v>
      </c>
      <c r="AX378" s="94">
        <f t="shared" si="1809"/>
        <v>0</v>
      </c>
      <c r="AY378" s="94">
        <f t="shared" si="1805"/>
        <v>0</v>
      </c>
      <c r="AZ378" s="433">
        <f t="shared" si="1806"/>
        <v>0</v>
      </c>
      <c r="BA378" s="657">
        <v>0</v>
      </c>
      <c r="BB378" s="327">
        <v>0</v>
      </c>
      <c r="BC378" s="207">
        <v>-0.46984700000000001</v>
      </c>
      <c r="BD378" s="389">
        <v>0</v>
      </c>
      <c r="BE378" s="389">
        <v>0</v>
      </c>
      <c r="BF378" s="516">
        <v>0</v>
      </c>
      <c r="BG378" s="207">
        <f>-0.469847</f>
        <v>-0.46984700000000001</v>
      </c>
      <c r="BH378" s="207">
        <f>0</f>
        <v>0</v>
      </c>
      <c r="BI378" s="389">
        <v>0</v>
      </c>
      <c r="BJ378" s="516">
        <v>0</v>
      </c>
      <c r="BK378" s="516">
        <v>0</v>
      </c>
      <c r="BL378" s="516">
        <v>0</v>
      </c>
      <c r="BM378" s="516">
        <v>0</v>
      </c>
      <c r="BN378" s="409">
        <v>0</v>
      </c>
      <c r="BO378" s="207">
        <v>0</v>
      </c>
      <c r="BP378" s="389">
        <v>0</v>
      </c>
      <c r="BQ378" s="389">
        <v>0</v>
      </c>
      <c r="BR378" s="389">
        <v>0</v>
      </c>
      <c r="BS378" s="296">
        <v>0</v>
      </c>
      <c r="BT378" s="296">
        <v>0</v>
      </c>
      <c r="BU378" s="296">
        <v>0</v>
      </c>
      <c r="BV378" s="409">
        <v>0</v>
      </c>
      <c r="BW378" s="296">
        <f t="shared" si="1803"/>
        <v>0</v>
      </c>
      <c r="BX378" s="439" t="s">
        <v>1566</v>
      </c>
    </row>
    <row r="379" spans="1:76" ht="108.95" hidden="1" customHeight="1" outlineLevel="1" x14ac:dyDescent="0.25">
      <c r="A379" s="678">
        <v>28</v>
      </c>
      <c r="B379" s="702" t="s">
        <v>1203</v>
      </c>
      <c r="C379" s="694" t="s">
        <v>1203</v>
      </c>
      <c r="D379" s="270">
        <v>44424</v>
      </c>
      <c r="E379" s="463" t="s">
        <v>1619</v>
      </c>
      <c r="F379" s="544" t="s">
        <v>1205</v>
      </c>
      <c r="G379" s="71" t="s">
        <v>211</v>
      </c>
      <c r="H379" s="311" t="s">
        <v>171</v>
      </c>
      <c r="I379" s="335"/>
      <c r="J379" s="294">
        <f t="shared" si="1761"/>
        <v>0</v>
      </c>
      <c r="K379" s="52">
        <f t="shared" si="1762"/>
        <v>0</v>
      </c>
      <c r="L379" s="52">
        <f t="shared" si="1763"/>
        <v>1.2084537218413321E-5</v>
      </c>
      <c r="M379" s="52">
        <f t="shared" si="1764"/>
        <v>1.2588499046364936E-5</v>
      </c>
      <c r="N379" s="52">
        <f t="shared" si="1765"/>
        <v>1.1755119355283095E-5</v>
      </c>
      <c r="O379" s="52">
        <f t="shared" si="1766"/>
        <v>1.8578822276237962E-5</v>
      </c>
      <c r="P379" s="52">
        <f t="shared" si="1767"/>
        <v>1.9099820825275203E-5</v>
      </c>
      <c r="Q379" s="52">
        <f t="shared" si="1768"/>
        <v>2.0332094400692261E-5</v>
      </c>
      <c r="R379" s="52">
        <f t="shared" si="1769"/>
        <v>0</v>
      </c>
      <c r="S379" s="527">
        <f t="shared" si="1770"/>
        <v>0</v>
      </c>
      <c r="T379" s="533">
        <f t="shared" si="1771"/>
        <v>0</v>
      </c>
      <c r="U379" s="375">
        <f t="shared" si="1772"/>
        <v>0</v>
      </c>
      <c r="V379" s="375">
        <f t="shared" si="1773"/>
        <v>-1.2084537218413321E-5</v>
      </c>
      <c r="W379" s="386">
        <f t="shared" si="1774"/>
        <v>0</v>
      </c>
      <c r="X379" s="386">
        <f t="shared" si="1775"/>
        <v>0</v>
      </c>
      <c r="Y379" s="386">
        <f t="shared" si="1776"/>
        <v>0</v>
      </c>
      <c r="Z379" s="375">
        <f t="shared" si="1777"/>
        <v>-1.1755119355283095E-5</v>
      </c>
      <c r="AA379" s="375">
        <f t="shared" si="1778"/>
        <v>-1.8578822276237962E-5</v>
      </c>
      <c r="AB379" s="386">
        <f t="shared" si="1779"/>
        <v>0</v>
      </c>
      <c r="AC379" s="386">
        <f t="shared" si="1780"/>
        <v>-2.1537004424713296E-5</v>
      </c>
      <c r="AD379" s="386">
        <f t="shared" si="1781"/>
        <v>-2.1537004424713296E-5</v>
      </c>
      <c r="AE379" s="386">
        <f t="shared" si="1782"/>
        <v>-1.9099820825275203E-5</v>
      </c>
      <c r="AF379" s="386">
        <f t="shared" si="1783"/>
        <v>-1.8578822276237962E-5</v>
      </c>
      <c r="AG379" s="375">
        <f t="shared" si="1784"/>
        <v>-2.0518397134465212E-5</v>
      </c>
      <c r="AH379" s="375">
        <f t="shared" si="1785"/>
        <v>0</v>
      </c>
      <c r="AI379" s="386">
        <f t="shared" si="1786"/>
        <v>0</v>
      </c>
      <c r="AJ379" s="386">
        <f t="shared" si="1787"/>
        <v>0</v>
      </c>
      <c r="AK379" s="386">
        <f t="shared" si="1788"/>
        <v>0</v>
      </c>
      <c r="AL379" s="377">
        <f t="shared" si="1789"/>
        <v>0</v>
      </c>
      <c r="AM379" s="377">
        <f t="shared" si="1790"/>
        <v>0</v>
      </c>
      <c r="AN379" s="377">
        <f t="shared" si="1791"/>
        <v>0</v>
      </c>
      <c r="AO379" s="283"/>
      <c r="AP379" s="295">
        <f t="shared" si="1792"/>
        <v>1.127553</v>
      </c>
      <c r="AQ379" s="20">
        <f t="shared" si="1800"/>
        <v>0</v>
      </c>
      <c r="AR379" s="95">
        <f t="shared" si="1801"/>
        <v>0</v>
      </c>
      <c r="AS379" s="94">
        <f t="shared" si="1802"/>
        <v>0.39482600000000001</v>
      </c>
      <c r="AT379" s="94">
        <f t="shared" si="1793"/>
        <v>0.39482600000000001</v>
      </c>
      <c r="AU379" s="94">
        <f t="shared" si="1794"/>
        <v>0.39482600000000001</v>
      </c>
      <c r="AV379" s="94">
        <f t="shared" si="1808"/>
        <v>0.73272700000000002</v>
      </c>
      <c r="AW379" s="94">
        <f t="shared" si="1804"/>
        <v>0.73272700000000002</v>
      </c>
      <c r="AX379" s="94">
        <f t="shared" si="1809"/>
        <v>0.80187399999999998</v>
      </c>
      <c r="AY379" s="94">
        <f t="shared" si="1805"/>
        <v>0</v>
      </c>
      <c r="AZ379" s="433">
        <f t="shared" si="1806"/>
        <v>0</v>
      </c>
      <c r="BA379" s="657">
        <v>0</v>
      </c>
      <c r="BB379" s="327">
        <v>0</v>
      </c>
      <c r="BC379" s="207">
        <f>-0.394826</f>
        <v>-0.39482600000000001</v>
      </c>
      <c r="BD379" s="389">
        <v>0</v>
      </c>
      <c r="BE379" s="389">
        <v>0</v>
      </c>
      <c r="BF379" s="516">
        <v>0</v>
      </c>
      <c r="BG379" s="207">
        <f>-0.394826</f>
        <v>-0.39482600000000001</v>
      </c>
      <c r="BH379" s="207">
        <f>-0.732727</f>
        <v>-0.73272700000000002</v>
      </c>
      <c r="BI379" s="389">
        <v>0</v>
      </c>
      <c r="BJ379" s="516">
        <v>-0.73272700000000002</v>
      </c>
      <c r="BK379" s="516">
        <v>-0.73272700000000002</v>
      </c>
      <c r="BL379" s="516">
        <v>-0.73272700000000002</v>
      </c>
      <c r="BM379" s="516">
        <v>-0.73272700000000002</v>
      </c>
      <c r="BN379" s="713">
        <v>-0.80187399999999998</v>
      </c>
      <c r="BO379" s="207">
        <v>0</v>
      </c>
      <c r="BP379" s="389">
        <v>0</v>
      </c>
      <c r="BQ379" s="389">
        <v>0</v>
      </c>
      <c r="BR379" s="389">
        <v>0</v>
      </c>
      <c r="BS379" s="296">
        <v>0</v>
      </c>
      <c r="BT379" s="296">
        <v>0</v>
      </c>
      <c r="BU379" s="296">
        <v>0</v>
      </c>
      <c r="BV379" s="713">
        <v>0</v>
      </c>
      <c r="BW379" s="296">
        <f t="shared" si="1803"/>
        <v>0</v>
      </c>
      <c r="BX379" s="439" t="s">
        <v>1587</v>
      </c>
    </row>
    <row r="380" spans="1:76" ht="108.95" hidden="1" customHeight="1" outlineLevel="1" x14ac:dyDescent="0.25">
      <c r="A380" s="678">
        <v>29</v>
      </c>
      <c r="B380" s="702" t="s">
        <v>1203</v>
      </c>
      <c r="C380" s="694" t="s">
        <v>1203</v>
      </c>
      <c r="D380" s="271">
        <v>44446</v>
      </c>
      <c r="E380" s="463" t="s">
        <v>1626</v>
      </c>
      <c r="F380" s="544" t="s">
        <v>1205</v>
      </c>
      <c r="G380" s="71" t="s">
        <v>211</v>
      </c>
      <c r="H380" s="311" t="s">
        <v>171</v>
      </c>
      <c r="I380" s="335"/>
      <c r="J380" s="294">
        <f t="shared" si="1761"/>
        <v>0</v>
      </c>
      <c r="K380" s="52">
        <f t="shared" si="1762"/>
        <v>0</v>
      </c>
      <c r="L380" s="52">
        <f t="shared" si="1763"/>
        <v>6.6537402056807049E-6</v>
      </c>
      <c r="M380" s="52">
        <f t="shared" si="1764"/>
        <v>6.9312213384840903E-6</v>
      </c>
      <c r="N380" s="52">
        <f t="shared" si="1765"/>
        <v>6.4723628934374824E-6</v>
      </c>
      <c r="O380" s="52">
        <f t="shared" si="1766"/>
        <v>2.7830694267607922E-6</v>
      </c>
      <c r="P380" s="52">
        <f t="shared" si="1767"/>
        <v>2.8611139395750827E-6</v>
      </c>
      <c r="Q380" s="52">
        <f t="shared" si="1768"/>
        <v>0</v>
      </c>
      <c r="R380" s="52">
        <f t="shared" si="1769"/>
        <v>0</v>
      </c>
      <c r="S380" s="527">
        <f t="shared" si="1770"/>
        <v>0</v>
      </c>
      <c r="T380" s="533">
        <f t="shared" si="1771"/>
        <v>0</v>
      </c>
      <c r="U380" s="375">
        <f t="shared" si="1772"/>
        <v>0</v>
      </c>
      <c r="V380" s="375">
        <f t="shared" si="1773"/>
        <v>-6.6537402056807049E-6</v>
      </c>
      <c r="W380" s="386">
        <f t="shared" si="1774"/>
        <v>0</v>
      </c>
      <c r="X380" s="386">
        <f t="shared" si="1775"/>
        <v>0</v>
      </c>
      <c r="Y380" s="386">
        <f t="shared" si="1776"/>
        <v>0</v>
      </c>
      <c r="Z380" s="375">
        <f t="shared" si="1777"/>
        <v>-6.4723628934374824E-6</v>
      </c>
      <c r="AA380" s="375">
        <f t="shared" si="1778"/>
        <v>-2.7830694267607922E-6</v>
      </c>
      <c r="AB380" s="386">
        <f t="shared" si="1779"/>
        <v>0</v>
      </c>
      <c r="AC380" s="386">
        <f t="shared" si="1780"/>
        <v>-3.2261990381969765E-6</v>
      </c>
      <c r="AD380" s="386">
        <f t="shared" si="1781"/>
        <v>-3.2261990381969765E-6</v>
      </c>
      <c r="AE380" s="386">
        <f t="shared" si="1782"/>
        <v>-2.8611139395750827E-6</v>
      </c>
      <c r="AF380" s="386">
        <f t="shared" si="1783"/>
        <v>-2.7830694267607922E-6</v>
      </c>
      <c r="AG380" s="375">
        <f t="shared" si="1784"/>
        <v>0</v>
      </c>
      <c r="AH380" s="375">
        <f t="shared" si="1785"/>
        <v>0</v>
      </c>
      <c r="AI380" s="386">
        <f t="shared" si="1786"/>
        <v>0</v>
      </c>
      <c r="AJ380" s="386">
        <f t="shared" si="1787"/>
        <v>0</v>
      </c>
      <c r="AK380" s="386">
        <f t="shared" si="1788"/>
        <v>0</v>
      </c>
      <c r="AL380" s="377">
        <f t="shared" si="1789"/>
        <v>0</v>
      </c>
      <c r="AM380" s="377">
        <f t="shared" si="1790"/>
        <v>0</v>
      </c>
      <c r="AN380" s="377">
        <f t="shared" si="1791"/>
        <v>0</v>
      </c>
      <c r="AO380" s="283"/>
      <c r="AP380" s="295">
        <f t="shared" si="1792"/>
        <v>0.327152</v>
      </c>
      <c r="AQ380" s="20">
        <f t="shared" si="1800"/>
        <v>0</v>
      </c>
      <c r="AR380" s="95">
        <f t="shared" si="1801"/>
        <v>0</v>
      </c>
      <c r="AS380" s="94">
        <f t="shared" si="1802"/>
        <v>0.217391</v>
      </c>
      <c r="AT380" s="94">
        <f t="shared" si="1793"/>
        <v>0.217391</v>
      </c>
      <c r="AU380" s="94">
        <f t="shared" si="1794"/>
        <v>0.217391</v>
      </c>
      <c r="AV380" s="94">
        <f t="shared" si="1808"/>
        <v>0.109761</v>
      </c>
      <c r="AW380" s="94">
        <f t="shared" si="1804"/>
        <v>0.109761</v>
      </c>
      <c r="AX380" s="94">
        <f t="shared" si="1809"/>
        <v>0</v>
      </c>
      <c r="AY380" s="94">
        <f t="shared" si="1805"/>
        <v>0</v>
      </c>
      <c r="AZ380" s="433">
        <f t="shared" si="1806"/>
        <v>0</v>
      </c>
      <c r="BA380" s="657">
        <v>0</v>
      </c>
      <c r="BB380" s="327">
        <v>0</v>
      </c>
      <c r="BC380" s="207">
        <f>-0.217391</f>
        <v>-0.217391</v>
      </c>
      <c r="BD380" s="389">
        <v>0</v>
      </c>
      <c r="BE380" s="389">
        <v>0</v>
      </c>
      <c r="BF380" s="516">
        <v>0</v>
      </c>
      <c r="BG380" s="207">
        <v>-0.217391</v>
      </c>
      <c r="BH380" s="207">
        <f>-0.109761</f>
        <v>-0.109761</v>
      </c>
      <c r="BI380" s="389">
        <v>0</v>
      </c>
      <c r="BJ380" s="516">
        <v>-0.109761</v>
      </c>
      <c r="BK380" s="516">
        <v>-0.109761</v>
      </c>
      <c r="BL380" s="516">
        <v>-0.109761</v>
      </c>
      <c r="BM380" s="516">
        <v>-0.109761</v>
      </c>
      <c r="BN380" s="409">
        <v>0</v>
      </c>
      <c r="BO380" s="207">
        <v>0</v>
      </c>
      <c r="BP380" s="389">
        <v>0</v>
      </c>
      <c r="BQ380" s="389">
        <v>0</v>
      </c>
      <c r="BR380" s="389">
        <v>0</v>
      </c>
      <c r="BS380" s="296">
        <v>0</v>
      </c>
      <c r="BT380" s="296">
        <v>0</v>
      </c>
      <c r="BU380" s="296">
        <v>0</v>
      </c>
      <c r="BV380" s="409">
        <v>0</v>
      </c>
      <c r="BW380" s="296">
        <f t="shared" si="1803"/>
        <v>0</v>
      </c>
      <c r="BX380" s="439" t="s">
        <v>1624</v>
      </c>
    </row>
    <row r="381" spans="1:76" ht="108.95" hidden="1" customHeight="1" outlineLevel="1" x14ac:dyDescent="0.25">
      <c r="A381" s="678">
        <v>30</v>
      </c>
      <c r="B381" s="702" t="s">
        <v>1203</v>
      </c>
      <c r="C381" s="694" t="s">
        <v>1203</v>
      </c>
      <c r="D381" s="271" t="s">
        <v>1625</v>
      </c>
      <c r="E381" s="463" t="s">
        <v>1666</v>
      </c>
      <c r="F381" s="544" t="s">
        <v>1205</v>
      </c>
      <c r="G381" s="71" t="s">
        <v>211</v>
      </c>
      <c r="H381" s="311" t="s">
        <v>171</v>
      </c>
      <c r="I381" s="335"/>
      <c r="J381" s="294">
        <f t="shared" ref="J381:J382" si="1810">AQ381/T$8</f>
        <v>0</v>
      </c>
      <c r="K381" s="52">
        <f t="shared" ref="K381:K384" si="1811">AR381/U$8</f>
        <v>0</v>
      </c>
      <c r="L381" s="52">
        <f t="shared" ref="L381:L384" si="1812">AS381/V$8</f>
        <v>1.946816846229187E-5</v>
      </c>
      <c r="M381" s="52">
        <f t="shared" si="1764"/>
        <v>2.0280050091501231E-5</v>
      </c>
      <c r="N381" s="52">
        <f t="shared" si="1765"/>
        <v>1.8937268446767181E-5</v>
      </c>
      <c r="O381" s="52">
        <f t="shared" si="1766"/>
        <v>0</v>
      </c>
      <c r="P381" s="52">
        <f t="shared" si="1767"/>
        <v>0</v>
      </c>
      <c r="Q381" s="52">
        <f t="shared" si="1768"/>
        <v>0</v>
      </c>
      <c r="R381" s="52">
        <f t="shared" si="1769"/>
        <v>0</v>
      </c>
      <c r="S381" s="527">
        <f t="shared" ref="S381:S384" si="1813">AZ381/AN$8</f>
        <v>0</v>
      </c>
      <c r="T381" s="533">
        <f t="shared" ref="T381:T384" si="1814">BA381/T$8</f>
        <v>0</v>
      </c>
      <c r="U381" s="375">
        <f t="shared" ref="U381:U384" si="1815">BB381/U$8</f>
        <v>0</v>
      </c>
      <c r="V381" s="375">
        <f t="shared" ref="V381:V384" si="1816">BC381/V$8</f>
        <v>-1.946816846229187E-5</v>
      </c>
      <c r="W381" s="386">
        <f t="shared" ref="W381:W384" si="1817">BD381/W$8</f>
        <v>0</v>
      </c>
      <c r="X381" s="386">
        <f t="shared" ref="X381:X384" si="1818">BE381/X$8</f>
        <v>0</v>
      </c>
      <c r="Y381" s="386">
        <f t="shared" ref="Y381:Y382" si="1819">BF381/Y$8</f>
        <v>0</v>
      </c>
      <c r="Z381" s="375">
        <f>BG381/Z$8</f>
        <v>-1.8937268446767181E-5</v>
      </c>
      <c r="AA381" s="375">
        <f t="shared" ref="AA381:AA384" si="1820">BH381/AA$8</f>
        <v>0</v>
      </c>
      <c r="AB381" s="386">
        <f t="shared" ref="AB381:AB384" si="1821">BI381/AB$8</f>
        <v>0</v>
      </c>
      <c r="AC381" s="386">
        <f t="shared" si="1780"/>
        <v>0</v>
      </c>
      <c r="AD381" s="386">
        <f t="shared" si="1781"/>
        <v>0</v>
      </c>
      <c r="AE381" s="386">
        <f t="shared" si="1782"/>
        <v>0</v>
      </c>
      <c r="AF381" s="386">
        <f t="shared" si="1783"/>
        <v>0</v>
      </c>
      <c r="AG381" s="375">
        <f t="shared" si="1784"/>
        <v>0</v>
      </c>
      <c r="AH381" s="375">
        <f t="shared" si="1785"/>
        <v>0</v>
      </c>
      <c r="AI381" s="386">
        <f t="shared" si="1786"/>
        <v>0</v>
      </c>
      <c r="AJ381" s="386">
        <f t="shared" si="1787"/>
        <v>0</v>
      </c>
      <c r="AK381" s="386">
        <f t="shared" si="1788"/>
        <v>0</v>
      </c>
      <c r="AL381" s="377">
        <f t="shared" si="1789"/>
        <v>0</v>
      </c>
      <c r="AM381" s="377">
        <f t="shared" si="1790"/>
        <v>0</v>
      </c>
      <c r="AN381" s="377">
        <f t="shared" si="1791"/>
        <v>0</v>
      </c>
      <c r="AO381" s="283"/>
      <c r="AP381" s="295">
        <f t="shared" si="1792"/>
        <v>0.63605699999999998</v>
      </c>
      <c r="AQ381" s="20">
        <f t="shared" ref="AQ381:AQ384" si="1822">-BA381</f>
        <v>0</v>
      </c>
      <c r="AR381" s="95">
        <f t="shared" ref="AR381:AR384" si="1823">-BB381</f>
        <v>0</v>
      </c>
      <c r="AS381" s="94">
        <f t="shared" ref="AS381:AS384" si="1824">-BC381</f>
        <v>0.63606399999999996</v>
      </c>
      <c r="AT381" s="94">
        <f t="shared" si="1793"/>
        <v>0.63606399999999996</v>
      </c>
      <c r="AU381" s="94">
        <f t="shared" si="1794"/>
        <v>0.63605699999999998</v>
      </c>
      <c r="AV381" s="94">
        <f t="shared" si="1808"/>
        <v>0</v>
      </c>
      <c r="AW381" s="94">
        <f t="shared" ref="AW381:AW382" si="1825">-BH381</f>
        <v>0</v>
      </c>
      <c r="AX381" s="94">
        <f t="shared" si="1809"/>
        <v>0</v>
      </c>
      <c r="AY381" s="94">
        <f t="shared" ref="AY381:AY384" si="1826">-BO381</f>
        <v>0</v>
      </c>
      <c r="AZ381" s="433">
        <f t="shared" ref="AZ381:AZ384" si="1827">-BU381</f>
        <v>0</v>
      </c>
      <c r="BA381" s="657"/>
      <c r="BB381" s="327">
        <v>0</v>
      </c>
      <c r="BC381" s="207">
        <f>-0.636064</f>
        <v>-0.63606399999999996</v>
      </c>
      <c r="BD381" s="389">
        <v>0</v>
      </c>
      <c r="BE381" s="389">
        <v>0</v>
      </c>
      <c r="BF381" s="516">
        <v>0</v>
      </c>
      <c r="BG381" s="207">
        <v>-0.63605699999999998</v>
      </c>
      <c r="BH381" s="207">
        <f>0</f>
        <v>0</v>
      </c>
      <c r="BI381" s="389">
        <v>0</v>
      </c>
      <c r="BJ381" s="516">
        <v>0</v>
      </c>
      <c r="BK381" s="516">
        <v>0</v>
      </c>
      <c r="BL381" s="516">
        <v>0</v>
      </c>
      <c r="BM381" s="516">
        <v>0</v>
      </c>
      <c r="BN381" s="409">
        <v>0</v>
      </c>
      <c r="BO381" s="207">
        <v>0</v>
      </c>
      <c r="BP381" s="389">
        <v>0</v>
      </c>
      <c r="BQ381" s="389">
        <v>0</v>
      </c>
      <c r="BR381" s="389">
        <v>0</v>
      </c>
      <c r="BS381" s="296">
        <v>0</v>
      </c>
      <c r="BT381" s="296">
        <v>0</v>
      </c>
      <c r="BU381" s="296">
        <v>0</v>
      </c>
      <c r="BV381" s="409">
        <v>0</v>
      </c>
      <c r="BW381" s="296">
        <f t="shared" ref="BW381:BW384" si="1828">-BV381</f>
        <v>0</v>
      </c>
      <c r="BX381" s="439" t="s">
        <v>1627</v>
      </c>
    </row>
    <row r="382" spans="1:76" ht="108.95" hidden="1" customHeight="1" outlineLevel="1" x14ac:dyDescent="0.25">
      <c r="A382" s="678">
        <v>31</v>
      </c>
      <c r="B382" s="702" t="s">
        <v>1203</v>
      </c>
      <c r="C382" s="694" t="s">
        <v>1203</v>
      </c>
      <c r="D382" s="271">
        <v>44482</v>
      </c>
      <c r="E382" s="463" t="s">
        <v>1868</v>
      </c>
      <c r="F382" s="544" t="s">
        <v>1205</v>
      </c>
      <c r="G382" s="71" t="s">
        <v>225</v>
      </c>
      <c r="H382" s="311" t="s">
        <v>171</v>
      </c>
      <c r="I382" s="335"/>
      <c r="J382" s="294">
        <f t="shared" si="1810"/>
        <v>0</v>
      </c>
      <c r="K382" s="52">
        <f t="shared" si="1811"/>
        <v>0</v>
      </c>
      <c r="L382" s="52">
        <f t="shared" si="1812"/>
        <v>2.6368756121449563E-6</v>
      </c>
      <c r="M382" s="52">
        <f t="shared" ref="M382:M384" si="1829">AT382/Y$8</f>
        <v>2.7468413170420183E-6</v>
      </c>
      <c r="N382" s="52">
        <f>AU382/Z$8</f>
        <v>2.5649958277731185E-6</v>
      </c>
      <c r="O382" s="52">
        <f t="shared" si="1766"/>
        <v>0</v>
      </c>
      <c r="P382" s="52">
        <f t="shared" si="1767"/>
        <v>0</v>
      </c>
      <c r="Q382" s="52">
        <f t="shared" si="1768"/>
        <v>0</v>
      </c>
      <c r="R382" s="52">
        <f t="shared" si="1769"/>
        <v>0</v>
      </c>
      <c r="S382" s="527">
        <f t="shared" si="1813"/>
        <v>0</v>
      </c>
      <c r="T382" s="533">
        <f t="shared" si="1814"/>
        <v>0</v>
      </c>
      <c r="U382" s="375">
        <f t="shared" si="1815"/>
        <v>0</v>
      </c>
      <c r="V382" s="375">
        <f t="shared" si="1816"/>
        <v>-2.6368756121449563E-6</v>
      </c>
      <c r="W382" s="386">
        <f t="shared" si="1817"/>
        <v>0</v>
      </c>
      <c r="X382" s="386">
        <f t="shared" si="1818"/>
        <v>0</v>
      </c>
      <c r="Y382" s="386">
        <f t="shared" si="1819"/>
        <v>0</v>
      </c>
      <c r="Z382" s="375">
        <f t="shared" ref="Z382" si="1830">BG382/Z$8</f>
        <v>-2.5649958277731185E-6</v>
      </c>
      <c r="AA382" s="375">
        <f t="shared" si="1820"/>
        <v>0</v>
      </c>
      <c r="AB382" s="386">
        <f t="shared" si="1821"/>
        <v>0</v>
      </c>
      <c r="AC382" s="386">
        <f t="shared" si="1780"/>
        <v>0</v>
      </c>
      <c r="AD382" s="386">
        <f t="shared" si="1781"/>
        <v>0</v>
      </c>
      <c r="AE382" s="386">
        <f t="shared" si="1782"/>
        <v>0</v>
      </c>
      <c r="AF382" s="386">
        <f t="shared" si="1783"/>
        <v>0</v>
      </c>
      <c r="AG382" s="375">
        <f t="shared" si="1784"/>
        <v>0</v>
      </c>
      <c r="AH382" s="375">
        <f t="shared" si="1785"/>
        <v>0</v>
      </c>
      <c r="AI382" s="386">
        <f t="shared" si="1786"/>
        <v>0</v>
      </c>
      <c r="AJ382" s="386">
        <f t="shared" si="1787"/>
        <v>0</v>
      </c>
      <c r="AK382" s="386">
        <f t="shared" si="1788"/>
        <v>0</v>
      </c>
      <c r="AL382" s="377">
        <f t="shared" si="1789"/>
        <v>0</v>
      </c>
      <c r="AM382" s="377">
        <f t="shared" si="1790"/>
        <v>0</v>
      </c>
      <c r="AN382" s="377">
        <f t="shared" si="1791"/>
        <v>0</v>
      </c>
      <c r="AO382" s="283"/>
      <c r="AP382" s="295">
        <f t="shared" ref="AP382:AP384" si="1831">AR382+AU382+AZ382+AW382+AY382</f>
        <v>8.6152000000000006E-2</v>
      </c>
      <c r="AQ382" s="20">
        <f t="shared" si="1822"/>
        <v>0</v>
      </c>
      <c r="AR382" s="95">
        <f t="shared" si="1823"/>
        <v>0</v>
      </c>
      <c r="AS382" s="94">
        <f t="shared" si="1824"/>
        <v>8.6152000000000006E-2</v>
      </c>
      <c r="AT382" s="94">
        <f t="shared" ref="AT382:AT384" si="1832">-BC382</f>
        <v>8.6152000000000006E-2</v>
      </c>
      <c r="AU382" s="94">
        <f t="shared" ref="AU382:AU384" si="1833">-BG382</f>
        <v>8.6152000000000006E-2</v>
      </c>
      <c r="AV382" s="94">
        <f t="shared" si="1808"/>
        <v>0</v>
      </c>
      <c r="AW382" s="94">
        <f t="shared" si="1825"/>
        <v>0</v>
      </c>
      <c r="AX382" s="94">
        <f t="shared" si="1809"/>
        <v>0</v>
      </c>
      <c r="AY382" s="94">
        <f t="shared" si="1826"/>
        <v>0</v>
      </c>
      <c r="AZ382" s="433">
        <f t="shared" si="1827"/>
        <v>0</v>
      </c>
      <c r="BA382" s="657">
        <v>0</v>
      </c>
      <c r="BB382" s="327">
        <v>0</v>
      </c>
      <c r="BC382" s="207">
        <f>-0.086152</f>
        <v>-8.6152000000000006E-2</v>
      </c>
      <c r="BD382" s="389">
        <v>0</v>
      </c>
      <c r="BE382" s="389">
        <v>0</v>
      </c>
      <c r="BF382" s="516">
        <v>0</v>
      </c>
      <c r="BG382" s="207">
        <v>-8.6152000000000006E-2</v>
      </c>
      <c r="BH382" s="207">
        <f>0</f>
        <v>0</v>
      </c>
      <c r="BI382" s="389">
        <v>0</v>
      </c>
      <c r="BJ382" s="516">
        <v>0</v>
      </c>
      <c r="BK382" s="516">
        <v>0</v>
      </c>
      <c r="BL382" s="516">
        <v>0</v>
      </c>
      <c r="BM382" s="516">
        <v>0</v>
      </c>
      <c r="BN382" s="409">
        <f>0</f>
        <v>0</v>
      </c>
      <c r="BO382" s="207">
        <v>0</v>
      </c>
      <c r="BP382" s="389">
        <v>0</v>
      </c>
      <c r="BQ382" s="389">
        <v>0</v>
      </c>
      <c r="BR382" s="389">
        <v>0</v>
      </c>
      <c r="BS382" s="296">
        <v>0</v>
      </c>
      <c r="BT382" s="296">
        <v>0</v>
      </c>
      <c r="BU382" s="296">
        <v>0</v>
      </c>
      <c r="BV382" s="409">
        <f>0</f>
        <v>0</v>
      </c>
      <c r="BW382" s="296">
        <f t="shared" si="1828"/>
        <v>0</v>
      </c>
      <c r="BX382" s="439" t="s">
        <v>1869</v>
      </c>
    </row>
    <row r="383" spans="1:76" ht="108.95" hidden="1" customHeight="1" outlineLevel="1" x14ac:dyDescent="0.25">
      <c r="A383" s="678">
        <v>32</v>
      </c>
      <c r="B383" s="702" t="s">
        <v>1203</v>
      </c>
      <c r="C383" s="694" t="s">
        <v>1203</v>
      </c>
      <c r="D383" s="271">
        <v>44588</v>
      </c>
      <c r="E383" s="463" t="s">
        <v>1958</v>
      </c>
      <c r="F383" s="643" t="s">
        <v>1205</v>
      </c>
      <c r="G383" s="71" t="s">
        <v>211</v>
      </c>
      <c r="H383" s="311" t="s">
        <v>171</v>
      </c>
      <c r="I383" s="335"/>
      <c r="J383" s="294"/>
      <c r="K383" s="52">
        <f t="shared" si="1811"/>
        <v>0</v>
      </c>
      <c r="L383" s="52">
        <f t="shared" si="1812"/>
        <v>2.6368756121449563E-6</v>
      </c>
      <c r="M383" s="52">
        <f t="shared" si="1829"/>
        <v>2.7468413170420183E-6</v>
      </c>
      <c r="N383" s="52">
        <f t="shared" ref="N383:N384" si="1834">AU383/Z$8</f>
        <v>2.5649958277731185E-6</v>
      </c>
      <c r="O383" s="52">
        <f t="shared" si="1766"/>
        <v>1.1927838847466877E-5</v>
      </c>
      <c r="P383" s="52">
        <f t="shared" si="1767"/>
        <v>1.2262326504449763E-5</v>
      </c>
      <c r="Q383" s="52">
        <f t="shared" si="1768"/>
        <v>1.1927813491744654E-5</v>
      </c>
      <c r="R383" s="52">
        <f t="shared" si="1769"/>
        <v>0</v>
      </c>
      <c r="S383" s="527">
        <f t="shared" si="1813"/>
        <v>0</v>
      </c>
      <c r="T383" s="533">
        <f t="shared" si="1814"/>
        <v>0</v>
      </c>
      <c r="U383" s="375">
        <f t="shared" si="1815"/>
        <v>0</v>
      </c>
      <c r="V383" s="375">
        <f t="shared" si="1816"/>
        <v>-2.6368756121449563E-6</v>
      </c>
      <c r="W383" s="386">
        <f t="shared" si="1817"/>
        <v>0</v>
      </c>
      <c r="X383" s="386">
        <f t="shared" si="1818"/>
        <v>0</v>
      </c>
      <c r="Y383" s="386">
        <f t="shared" ref="Y383:Z385" si="1835">BF383/Y$8</f>
        <v>0</v>
      </c>
      <c r="Z383" s="375">
        <f t="shared" si="1835"/>
        <v>-2.5649958277731185E-6</v>
      </c>
      <c r="AA383" s="375">
        <f t="shared" si="1820"/>
        <v>-1.1927838847466877E-5</v>
      </c>
      <c r="AB383" s="386">
        <f t="shared" si="1821"/>
        <v>0</v>
      </c>
      <c r="AC383" s="386">
        <f t="shared" si="1780"/>
        <v>0</v>
      </c>
      <c r="AD383" s="386">
        <f t="shared" si="1781"/>
        <v>-1.382702919569448E-5</v>
      </c>
      <c r="AE383" s="386">
        <f t="shared" si="1782"/>
        <v>-1.2262326504449763E-5</v>
      </c>
      <c r="AF383" s="386">
        <f t="shared" si="1783"/>
        <v>-1.1927838847466877E-5</v>
      </c>
      <c r="AG383" s="375">
        <f t="shared" si="1784"/>
        <v>-1.2037107901737667E-5</v>
      </c>
      <c r="AH383" s="375">
        <f t="shared" si="1785"/>
        <v>0</v>
      </c>
      <c r="AI383" s="386">
        <f t="shared" si="1786"/>
        <v>0</v>
      </c>
      <c r="AJ383" s="386">
        <f t="shared" si="1787"/>
        <v>0</v>
      </c>
      <c r="AK383" s="386">
        <f t="shared" si="1788"/>
        <v>0</v>
      </c>
      <c r="AL383" s="377">
        <f t="shared" si="1789"/>
        <v>0</v>
      </c>
      <c r="AM383" s="377">
        <f t="shared" si="1790"/>
        <v>0</v>
      </c>
      <c r="AN383" s="377">
        <f t="shared" si="1791"/>
        <v>0</v>
      </c>
      <c r="AO383" s="283"/>
      <c r="AP383" s="295">
        <f t="shared" si="1831"/>
        <v>0.55657200000000007</v>
      </c>
      <c r="AQ383" s="20">
        <f t="shared" si="1822"/>
        <v>0</v>
      </c>
      <c r="AR383" s="95">
        <f t="shared" si="1823"/>
        <v>0</v>
      </c>
      <c r="AS383" s="94">
        <f t="shared" si="1824"/>
        <v>8.6152000000000006E-2</v>
      </c>
      <c r="AT383" s="94">
        <f t="shared" si="1832"/>
        <v>8.6152000000000006E-2</v>
      </c>
      <c r="AU383" s="94">
        <f t="shared" si="1833"/>
        <v>8.6152000000000006E-2</v>
      </c>
      <c r="AV383" s="94">
        <f t="shared" si="1808"/>
        <v>0.47042</v>
      </c>
      <c r="AW383" s="94">
        <f t="shared" ref="AW383:AW385" si="1836">-BH383</f>
        <v>0.47042</v>
      </c>
      <c r="AX383" s="94">
        <f t="shared" si="1809"/>
        <v>0.47041899999999998</v>
      </c>
      <c r="AY383" s="94">
        <f t="shared" si="1826"/>
        <v>0</v>
      </c>
      <c r="AZ383" s="433">
        <f t="shared" si="1827"/>
        <v>0</v>
      </c>
      <c r="BA383" s="657">
        <v>0</v>
      </c>
      <c r="BB383" s="327">
        <v>0</v>
      </c>
      <c r="BC383" s="207">
        <f>-0.086152</f>
        <v>-8.6152000000000006E-2</v>
      </c>
      <c r="BD383" s="389">
        <v>0</v>
      </c>
      <c r="BE383" s="389">
        <v>0</v>
      </c>
      <c r="BF383" s="516">
        <v>0</v>
      </c>
      <c r="BG383" s="207">
        <v>-8.6152000000000006E-2</v>
      </c>
      <c r="BH383" s="207">
        <f>-0.47042</f>
        <v>-0.47042</v>
      </c>
      <c r="BI383" s="389">
        <v>0</v>
      </c>
      <c r="BJ383" s="516">
        <v>0</v>
      </c>
      <c r="BK383" s="516">
        <v>-0.47042</v>
      </c>
      <c r="BL383" s="516">
        <v>-0.47042</v>
      </c>
      <c r="BM383" s="516">
        <v>-0.47042</v>
      </c>
      <c r="BN383" s="713">
        <f>-0.470419</f>
        <v>-0.47041899999999998</v>
      </c>
      <c r="BO383" s="207">
        <v>0</v>
      </c>
      <c r="BP383" s="389">
        <v>0</v>
      </c>
      <c r="BQ383" s="389">
        <v>0</v>
      </c>
      <c r="BR383" s="389">
        <v>0</v>
      </c>
      <c r="BS383" s="296">
        <v>0</v>
      </c>
      <c r="BT383" s="296">
        <v>0</v>
      </c>
      <c r="BU383" s="296">
        <v>0</v>
      </c>
      <c r="BV383" s="713">
        <v>0</v>
      </c>
      <c r="BW383" s="296">
        <f t="shared" si="1828"/>
        <v>0</v>
      </c>
      <c r="BX383" s="439" t="s">
        <v>1959</v>
      </c>
    </row>
    <row r="384" spans="1:76" ht="108.95" hidden="1" customHeight="1" outlineLevel="1" x14ac:dyDescent="0.25">
      <c r="A384" s="678">
        <v>33</v>
      </c>
      <c r="B384" s="702" t="s">
        <v>1203</v>
      </c>
      <c r="C384" s="694" t="s">
        <v>1203</v>
      </c>
      <c r="D384" s="271">
        <v>44638</v>
      </c>
      <c r="E384" s="463" t="s">
        <v>2096</v>
      </c>
      <c r="F384" s="643" t="s">
        <v>1205</v>
      </c>
      <c r="G384" s="71" t="s">
        <v>25</v>
      </c>
      <c r="H384" s="311" t="s">
        <v>171</v>
      </c>
      <c r="I384" s="335"/>
      <c r="J384" s="294"/>
      <c r="K384" s="52">
        <f t="shared" si="1811"/>
        <v>0</v>
      </c>
      <c r="L384" s="52">
        <f t="shared" si="1812"/>
        <v>2.6368756121449563E-6</v>
      </c>
      <c r="M384" s="52">
        <f t="shared" si="1829"/>
        <v>2.7468413170420183E-6</v>
      </c>
      <c r="N384" s="52">
        <f t="shared" si="1834"/>
        <v>2.5649958277731185E-6</v>
      </c>
      <c r="O384" s="52">
        <f t="shared" si="1766"/>
        <v>0</v>
      </c>
      <c r="P384" s="52">
        <f t="shared" si="1767"/>
        <v>0</v>
      </c>
      <c r="Q384" s="52">
        <f t="shared" si="1768"/>
        <v>0</v>
      </c>
      <c r="R384" s="52">
        <f t="shared" si="1769"/>
        <v>0</v>
      </c>
      <c r="S384" s="527">
        <f t="shared" si="1813"/>
        <v>0</v>
      </c>
      <c r="T384" s="533">
        <f t="shared" si="1814"/>
        <v>0</v>
      </c>
      <c r="U384" s="375">
        <f t="shared" si="1815"/>
        <v>0</v>
      </c>
      <c r="V384" s="375">
        <f t="shared" si="1816"/>
        <v>-2.6368756121449563E-6</v>
      </c>
      <c r="W384" s="386">
        <f t="shared" si="1817"/>
        <v>0</v>
      </c>
      <c r="X384" s="386">
        <f t="shared" si="1818"/>
        <v>0</v>
      </c>
      <c r="Y384" s="386">
        <f t="shared" si="1835"/>
        <v>0</v>
      </c>
      <c r="Z384" s="375">
        <f t="shared" si="1835"/>
        <v>-2.5649958277731185E-6</v>
      </c>
      <c r="AA384" s="375">
        <f t="shared" si="1820"/>
        <v>0</v>
      </c>
      <c r="AB384" s="386">
        <f t="shared" si="1821"/>
        <v>0</v>
      </c>
      <c r="AC384" s="386">
        <f t="shared" si="1780"/>
        <v>0</v>
      </c>
      <c r="AD384" s="386">
        <f t="shared" si="1781"/>
        <v>0</v>
      </c>
      <c r="AE384" s="386">
        <f t="shared" si="1782"/>
        <v>0</v>
      </c>
      <c r="AF384" s="386">
        <f t="shared" si="1783"/>
        <v>0</v>
      </c>
      <c r="AG384" s="375">
        <f t="shared" si="1784"/>
        <v>0</v>
      </c>
      <c r="AH384" s="375">
        <f t="shared" si="1785"/>
        <v>0</v>
      </c>
      <c r="AI384" s="386">
        <f t="shared" si="1786"/>
        <v>0</v>
      </c>
      <c r="AJ384" s="386">
        <f t="shared" si="1787"/>
        <v>0</v>
      </c>
      <c r="AK384" s="386">
        <f t="shared" si="1788"/>
        <v>0</v>
      </c>
      <c r="AL384" s="377">
        <f t="shared" si="1789"/>
        <v>0</v>
      </c>
      <c r="AM384" s="377">
        <f t="shared" si="1790"/>
        <v>0</v>
      </c>
      <c r="AN384" s="377">
        <f t="shared" si="1791"/>
        <v>0</v>
      </c>
      <c r="AO384" s="283"/>
      <c r="AP384" s="295">
        <f t="shared" si="1831"/>
        <v>8.6152000000000006E-2</v>
      </c>
      <c r="AQ384" s="20">
        <f t="shared" si="1822"/>
        <v>0</v>
      </c>
      <c r="AR384" s="95">
        <f t="shared" si="1823"/>
        <v>0</v>
      </c>
      <c r="AS384" s="94">
        <f t="shared" si="1824"/>
        <v>8.6152000000000006E-2</v>
      </c>
      <c r="AT384" s="94">
        <f t="shared" si="1832"/>
        <v>8.6152000000000006E-2</v>
      </c>
      <c r="AU384" s="94">
        <f t="shared" si="1833"/>
        <v>8.6152000000000006E-2</v>
      </c>
      <c r="AV384" s="94">
        <f t="shared" si="1808"/>
        <v>0</v>
      </c>
      <c r="AW384" s="94">
        <f t="shared" si="1836"/>
        <v>0</v>
      </c>
      <c r="AX384" s="94">
        <f t="shared" si="1809"/>
        <v>0</v>
      </c>
      <c r="AY384" s="94">
        <f t="shared" si="1826"/>
        <v>0</v>
      </c>
      <c r="AZ384" s="433">
        <f t="shared" si="1827"/>
        <v>0</v>
      </c>
      <c r="BA384" s="657">
        <v>0</v>
      </c>
      <c r="BB384" s="327">
        <v>0</v>
      </c>
      <c r="BC384" s="207">
        <f>-0.086152</f>
        <v>-8.6152000000000006E-2</v>
      </c>
      <c r="BD384" s="389">
        <v>0</v>
      </c>
      <c r="BE384" s="389">
        <v>0</v>
      </c>
      <c r="BF384" s="516">
        <v>0</v>
      </c>
      <c r="BG384" s="207">
        <v>-8.6152000000000006E-2</v>
      </c>
      <c r="BH384" s="207">
        <f>0</f>
        <v>0</v>
      </c>
      <c r="BI384" s="389">
        <v>0</v>
      </c>
      <c r="BJ384" s="516">
        <v>0</v>
      </c>
      <c r="BK384" s="516">
        <v>0</v>
      </c>
      <c r="BL384" s="516">
        <v>0</v>
      </c>
      <c r="BM384" s="516">
        <v>0</v>
      </c>
      <c r="BN384" s="409">
        <f>0</f>
        <v>0</v>
      </c>
      <c r="BO384" s="207">
        <v>0</v>
      </c>
      <c r="BP384" s="389">
        <v>0</v>
      </c>
      <c r="BQ384" s="389">
        <v>0</v>
      </c>
      <c r="BR384" s="389">
        <v>0</v>
      </c>
      <c r="BS384" s="296">
        <v>0</v>
      </c>
      <c r="BT384" s="296">
        <v>0</v>
      </c>
      <c r="BU384" s="296">
        <v>0</v>
      </c>
      <c r="BV384" s="409">
        <f>0</f>
        <v>0</v>
      </c>
      <c r="BW384" s="296">
        <f t="shared" si="1828"/>
        <v>0</v>
      </c>
      <c r="BX384" s="439" t="s">
        <v>2095</v>
      </c>
    </row>
    <row r="385" spans="1:76" ht="116.1" hidden="1" customHeight="1" outlineLevel="1" x14ac:dyDescent="0.25">
      <c r="A385" s="678">
        <v>34</v>
      </c>
      <c r="B385" s="702" t="s">
        <v>1203</v>
      </c>
      <c r="C385" s="694" t="s">
        <v>1203</v>
      </c>
      <c r="D385" s="1053">
        <v>44728</v>
      </c>
      <c r="E385" s="463" t="s">
        <v>2114</v>
      </c>
      <c r="F385" s="544" t="s">
        <v>1205</v>
      </c>
      <c r="G385" s="71" t="s">
        <v>27</v>
      </c>
      <c r="H385" s="311" t="s">
        <v>171</v>
      </c>
      <c r="I385" s="335"/>
      <c r="J385" s="294">
        <f t="shared" si="1761"/>
        <v>0</v>
      </c>
      <c r="K385" s="52">
        <f t="shared" si="1762"/>
        <v>0</v>
      </c>
      <c r="L385" s="52">
        <f t="shared" si="1763"/>
        <v>2.6368756121449563E-6</v>
      </c>
      <c r="M385" s="52">
        <f t="shared" si="1764"/>
        <v>2.7468413170420183E-6</v>
      </c>
      <c r="N385" s="52">
        <f t="shared" si="1765"/>
        <v>0</v>
      </c>
      <c r="O385" s="52">
        <f t="shared" si="1766"/>
        <v>4.5405835635427604E-5</v>
      </c>
      <c r="P385" s="52">
        <f t="shared" si="1767"/>
        <v>4.6679133486720224E-5</v>
      </c>
      <c r="Q385" s="52">
        <f t="shared" si="1768"/>
        <v>0</v>
      </c>
      <c r="R385" s="52">
        <f t="shared" si="1769"/>
        <v>0</v>
      </c>
      <c r="S385" s="527">
        <f t="shared" si="1770"/>
        <v>0</v>
      </c>
      <c r="T385" s="533">
        <f t="shared" si="1771"/>
        <v>0</v>
      </c>
      <c r="U385" s="375">
        <f t="shared" si="1772"/>
        <v>0</v>
      </c>
      <c r="V385" s="375">
        <f t="shared" si="1773"/>
        <v>-2.6368756121449563E-6</v>
      </c>
      <c r="W385" s="386">
        <f t="shared" si="1774"/>
        <v>0</v>
      </c>
      <c r="X385" s="386">
        <f t="shared" si="1775"/>
        <v>0</v>
      </c>
      <c r="Y385" s="386">
        <f t="shared" si="1835"/>
        <v>0</v>
      </c>
      <c r="Z385" s="375">
        <f t="shared" si="1835"/>
        <v>0</v>
      </c>
      <c r="AA385" s="375">
        <f t="shared" si="1778"/>
        <v>-4.5405835635427604E-5</v>
      </c>
      <c r="AB385" s="386">
        <f t="shared" si="1779"/>
        <v>0</v>
      </c>
      <c r="AC385" s="386">
        <f t="shared" si="1780"/>
        <v>0</v>
      </c>
      <c r="AD385" s="386">
        <f t="shared" si="1781"/>
        <v>0</v>
      </c>
      <c r="AE385" s="386">
        <f t="shared" si="1782"/>
        <v>-4.6679133486720224E-5</v>
      </c>
      <c r="AF385" s="386">
        <f t="shared" si="1783"/>
        <v>-4.5405835635427604E-5</v>
      </c>
      <c r="AG385" s="375">
        <f t="shared" si="1784"/>
        <v>0</v>
      </c>
      <c r="AH385" s="375">
        <f t="shared" si="1785"/>
        <v>0</v>
      </c>
      <c r="AI385" s="386">
        <f t="shared" si="1786"/>
        <v>0</v>
      </c>
      <c r="AJ385" s="386">
        <f t="shared" si="1787"/>
        <v>0</v>
      </c>
      <c r="AK385" s="386">
        <f t="shared" si="1788"/>
        <v>0</v>
      </c>
      <c r="AL385" s="377">
        <f t="shared" si="1789"/>
        <v>0</v>
      </c>
      <c r="AM385" s="377">
        <f t="shared" si="1790"/>
        <v>0</v>
      </c>
      <c r="AN385" s="377">
        <f t="shared" si="1791"/>
        <v>0</v>
      </c>
      <c r="AO385" s="283"/>
      <c r="AP385" s="295">
        <f t="shared" si="1792"/>
        <v>1.790753</v>
      </c>
      <c r="AQ385" s="20">
        <f t="shared" si="1800"/>
        <v>0</v>
      </c>
      <c r="AR385" s="95">
        <f t="shared" si="1801"/>
        <v>0</v>
      </c>
      <c r="AS385" s="94">
        <f t="shared" si="1802"/>
        <v>8.6152000000000006E-2</v>
      </c>
      <c r="AT385" s="94">
        <f t="shared" si="1793"/>
        <v>8.6152000000000006E-2</v>
      </c>
      <c r="AU385" s="94">
        <f t="shared" si="1794"/>
        <v>0</v>
      </c>
      <c r="AV385" s="94">
        <f t="shared" si="1808"/>
        <v>1.790753</v>
      </c>
      <c r="AW385" s="94">
        <f t="shared" si="1836"/>
        <v>1.790753</v>
      </c>
      <c r="AX385" s="94">
        <f t="shared" si="1809"/>
        <v>0</v>
      </c>
      <c r="AY385" s="94">
        <f t="shared" si="1805"/>
        <v>0</v>
      </c>
      <c r="AZ385" s="433">
        <f t="shared" si="1806"/>
        <v>0</v>
      </c>
      <c r="BA385" s="657">
        <v>0</v>
      </c>
      <c r="BB385" s="327">
        <v>0</v>
      </c>
      <c r="BC385" s="207">
        <f>-0.086152</f>
        <v>-8.6152000000000006E-2</v>
      </c>
      <c r="BD385" s="389">
        <v>0</v>
      </c>
      <c r="BE385" s="389">
        <v>0</v>
      </c>
      <c r="BF385" s="516">
        <v>0</v>
      </c>
      <c r="BG385" s="207">
        <v>0</v>
      </c>
      <c r="BH385" s="207">
        <f>-1.790753</f>
        <v>-1.790753</v>
      </c>
      <c r="BI385" s="389">
        <v>0</v>
      </c>
      <c r="BJ385" s="516">
        <v>0</v>
      </c>
      <c r="BK385" s="516">
        <v>0</v>
      </c>
      <c r="BL385" s="516">
        <v>-1.790753</v>
      </c>
      <c r="BM385" s="516">
        <v>-1.790753</v>
      </c>
      <c r="BN385" s="409">
        <f>0</f>
        <v>0</v>
      </c>
      <c r="BO385" s="207">
        <v>0</v>
      </c>
      <c r="BP385" s="389">
        <v>0</v>
      </c>
      <c r="BQ385" s="389">
        <v>0</v>
      </c>
      <c r="BR385" s="389">
        <v>0</v>
      </c>
      <c r="BS385" s="296">
        <v>0</v>
      </c>
      <c r="BT385" s="296">
        <v>0</v>
      </c>
      <c r="BU385" s="296">
        <v>0</v>
      </c>
      <c r="BV385" s="409">
        <f>0</f>
        <v>0</v>
      </c>
      <c r="BW385" s="296">
        <f>-BV385</f>
        <v>0</v>
      </c>
      <c r="BX385" s="439" t="s">
        <v>2115</v>
      </c>
    </row>
    <row r="386" spans="1:76" ht="18.75" collapsed="1" x14ac:dyDescent="0.25">
      <c r="A386" s="467">
        <v>7</v>
      </c>
      <c r="B386" s="708" t="s">
        <v>1729</v>
      </c>
      <c r="C386" s="689"/>
      <c r="D386" s="348"/>
      <c r="E386" s="460"/>
      <c r="F386" s="540"/>
      <c r="G386" s="400" t="s">
        <v>1730</v>
      </c>
      <c r="H386" s="401" t="s">
        <v>1730</v>
      </c>
      <c r="I386" s="349"/>
      <c r="J386" s="425">
        <f>SUM(J387:J389)</f>
        <v>0</v>
      </c>
      <c r="K386" s="426">
        <f t="shared" ref="K386:AN386" si="1837">SUM(K387:K389)</f>
        <v>2.2333102099769114E-6</v>
      </c>
      <c r="L386" s="426">
        <f t="shared" si="1837"/>
        <v>2.0019934867776683E-2</v>
      </c>
      <c r="M386" s="426">
        <f t="shared" si="1837"/>
        <v>2.0854826828394252E-2</v>
      </c>
      <c r="N386" s="426">
        <f>SUM(N387:N389)</f>
        <v>1.5277322965135415E-2</v>
      </c>
      <c r="O386" s="426">
        <f t="shared" ref="O386:P386" si="1838">SUM(O387:O389)</f>
        <v>4.0578030057275664E-3</v>
      </c>
      <c r="P386" s="426">
        <f t="shared" si="1838"/>
        <v>4.1715943670329022E-3</v>
      </c>
      <c r="Q386" s="426">
        <f t="shared" ref="Q386" si="1839">SUM(Q387:Q389)</f>
        <v>1.4129494210527824E-3</v>
      </c>
      <c r="R386" s="426">
        <f t="shared" si="1837"/>
        <v>0</v>
      </c>
      <c r="S386" s="428">
        <f t="shared" si="1837"/>
        <v>0</v>
      </c>
      <c r="T386" s="425">
        <f t="shared" si="1837"/>
        <v>0</v>
      </c>
      <c r="U386" s="426">
        <f t="shared" si="1837"/>
        <v>-2.2333102099769114E-6</v>
      </c>
      <c r="V386" s="426">
        <f t="shared" si="1837"/>
        <v>-2.0019934867776683E-2</v>
      </c>
      <c r="W386" s="427">
        <f t="shared" si="1837"/>
        <v>-1.0147279787674261E-2</v>
      </c>
      <c r="X386" s="427">
        <f t="shared" si="1837"/>
        <v>-1.7019499199519793E-2</v>
      </c>
      <c r="Y386" s="427">
        <f t="shared" si="1837"/>
        <v>-1.5984555505221529E-2</v>
      </c>
      <c r="Z386" s="426">
        <f t="shared" ref="Z386" si="1840">SUM(Z387:Z389)</f>
        <v>-1.5277322965135415E-2</v>
      </c>
      <c r="AA386" s="426">
        <f t="shared" si="1837"/>
        <v>-4.0578030057275664E-3</v>
      </c>
      <c r="AB386" s="427">
        <f t="shared" si="1837"/>
        <v>0</v>
      </c>
      <c r="AC386" s="427">
        <f t="shared" ref="AC386:AD386" si="1841">SUM(AC387:AC389)</f>
        <v>0</v>
      </c>
      <c r="AD386" s="427">
        <f t="shared" si="1841"/>
        <v>-1.7635767011216971E-3</v>
      </c>
      <c r="AE386" s="427">
        <f t="shared" si="1837"/>
        <v>-1.5090048921019446E-3</v>
      </c>
      <c r="AF386" s="427">
        <f t="shared" ref="AF386:AG386" si="1842">SUM(AF387:AF389)</f>
        <v>-1.4678427594061849E-3</v>
      </c>
      <c r="AG386" s="426">
        <f t="shared" si="1842"/>
        <v>-1.4258962594176521E-3</v>
      </c>
      <c r="AH386" s="426">
        <f t="shared" ref="AH386:AI386" si="1843">SUM(AH387:AH389)</f>
        <v>0</v>
      </c>
      <c r="AI386" s="427">
        <f t="shared" si="1843"/>
        <v>0</v>
      </c>
      <c r="AJ386" s="427">
        <f t="shared" ref="AJ386:AM386" si="1844">SUM(AJ387:AJ389)</f>
        <v>0</v>
      </c>
      <c r="AK386" s="427">
        <f t="shared" si="1844"/>
        <v>0</v>
      </c>
      <c r="AL386" s="428">
        <f t="shared" si="1844"/>
        <v>0</v>
      </c>
      <c r="AM386" s="428">
        <f t="shared" si="1844"/>
        <v>0</v>
      </c>
      <c r="AN386" s="428">
        <f t="shared" si="1837"/>
        <v>0</v>
      </c>
      <c r="AO386" s="337"/>
      <c r="AP386" s="350">
        <f t="shared" ref="AP386:BW386" si="1845">SUM(AP387:AP389)</f>
        <v>673.23094800000001</v>
      </c>
      <c r="AQ386" s="382">
        <f t="shared" si="1845"/>
        <v>0</v>
      </c>
      <c r="AR386" s="382">
        <f t="shared" si="1845"/>
        <v>6.7655999999999994E-2</v>
      </c>
      <c r="AS386" s="382">
        <f t="shared" si="1845"/>
        <v>654.0913119999999</v>
      </c>
      <c r="AT386" s="382">
        <f t="shared" si="1845"/>
        <v>654.0913119999999</v>
      </c>
      <c r="AU386" s="382">
        <f>SUM(AU387:AU389)</f>
        <v>513.12829199999999</v>
      </c>
      <c r="AV386" s="382">
        <f t="shared" ref="AV386" si="1846">SUM(AV387:AV389)</f>
        <v>160.035</v>
      </c>
      <c r="AW386" s="382">
        <f t="shared" si="1845"/>
        <v>160.035</v>
      </c>
      <c r="AX386" s="382">
        <f t="shared" ref="AX386" si="1847">SUM(AX387:AX389)</f>
        <v>55.725071</v>
      </c>
      <c r="AY386" s="382">
        <f t="shared" si="1845"/>
        <v>0</v>
      </c>
      <c r="AZ386" s="383">
        <f t="shared" si="1845"/>
        <v>0</v>
      </c>
      <c r="BA386" s="656">
        <f t="shared" si="1845"/>
        <v>0</v>
      </c>
      <c r="BB386" s="350">
        <f t="shared" si="1845"/>
        <v>-6.7655999999999994E-2</v>
      </c>
      <c r="BC386" s="382">
        <f t="shared" si="1845"/>
        <v>-654.0913119999999</v>
      </c>
      <c r="BD386" s="387">
        <f t="shared" si="1845"/>
        <v>-310.8</v>
      </c>
      <c r="BE386" s="387">
        <f t="shared" si="1845"/>
        <v>-533.79999999999995</v>
      </c>
      <c r="BF386" s="651">
        <f t="shared" si="1845"/>
        <v>-501.34</v>
      </c>
      <c r="BG386" s="360">
        <f t="shared" ref="BG386" si="1848">SUM(BG387:BG389)</f>
        <v>-513.12829199999999</v>
      </c>
      <c r="BH386" s="382">
        <f t="shared" si="1845"/>
        <v>-160.035</v>
      </c>
      <c r="BI386" s="387">
        <f t="shared" si="1845"/>
        <v>0</v>
      </c>
      <c r="BJ386" s="515">
        <f t="shared" ref="BJ386" si="1849">SUM(BJ387:BJ389)</f>
        <v>0</v>
      </c>
      <c r="BK386" s="515">
        <f t="shared" si="1845"/>
        <v>-60</v>
      </c>
      <c r="BL386" s="515">
        <f t="shared" ref="BL386:BN386" si="1850">SUM(BL387:BL389)</f>
        <v>-57.89</v>
      </c>
      <c r="BM386" s="515">
        <f t="shared" si="1850"/>
        <v>-57.89</v>
      </c>
      <c r="BN386" s="350">
        <f t="shared" si="1850"/>
        <v>-55.725071</v>
      </c>
      <c r="BO386" s="382">
        <f>SUM(BO387:BO389)</f>
        <v>0</v>
      </c>
      <c r="BP386" s="387">
        <f>SUM(BP387:BP389)</f>
        <v>0</v>
      </c>
      <c r="BQ386" s="387">
        <f>SUM(BQ387:BQ389)</f>
        <v>0</v>
      </c>
      <c r="BR386" s="387">
        <f>SUM(BR387:BR389)</f>
        <v>0</v>
      </c>
      <c r="BS386" s="383">
        <f t="shared" ref="BS386:BT386" si="1851">SUM(BS387:BS389)</f>
        <v>0</v>
      </c>
      <c r="BT386" s="383">
        <f t="shared" si="1851"/>
        <v>0</v>
      </c>
      <c r="BU386" s="383">
        <f t="shared" si="1845"/>
        <v>0</v>
      </c>
      <c r="BV386" s="350">
        <f t="shared" si="1845"/>
        <v>0</v>
      </c>
      <c r="BW386" s="383">
        <f t="shared" si="1845"/>
        <v>0</v>
      </c>
      <c r="BX386" s="351"/>
    </row>
    <row r="387" spans="1:76" ht="203.1" hidden="1" customHeight="1" outlineLevel="1" x14ac:dyDescent="0.25">
      <c r="A387" s="678">
        <v>1</v>
      </c>
      <c r="B387" s="709" t="s">
        <v>542</v>
      </c>
      <c r="C387" s="686" t="s">
        <v>542</v>
      </c>
      <c r="D387" s="63" t="s">
        <v>1682</v>
      </c>
      <c r="E387" s="463" t="s">
        <v>644</v>
      </c>
      <c r="F387" s="542" t="s">
        <v>406</v>
      </c>
      <c r="G387" s="242" t="s">
        <v>427</v>
      </c>
      <c r="H387" s="311" t="s">
        <v>127</v>
      </c>
      <c r="I387" s="335"/>
      <c r="J387" s="294">
        <f t="shared" ref="J387:J389" si="1852">AQ387/T$8</f>
        <v>0</v>
      </c>
      <c r="K387" s="52">
        <f t="shared" ref="K387:K389" si="1853">AR387/U$8</f>
        <v>7.4443673665897044E-7</v>
      </c>
      <c r="L387" s="52">
        <f t="shared" ref="L387:L389" si="1854">AS387/V$8</f>
        <v>1.6338148873653278E-2</v>
      </c>
      <c r="M387" s="52">
        <f t="shared" ref="M387:O389" si="1855">AT387/Y$8</f>
        <v>1.7019499199519793E-2</v>
      </c>
      <c r="N387" s="52">
        <f t="shared" si="1855"/>
        <v>1.4937367173740031E-2</v>
      </c>
      <c r="O387" s="52">
        <f t="shared" si="1855"/>
        <v>0</v>
      </c>
      <c r="P387" s="52">
        <f t="shared" ref="P387:Q389" si="1856">AW387/AE$8</f>
        <v>0</v>
      </c>
      <c r="Q387" s="52">
        <f t="shared" si="1856"/>
        <v>0</v>
      </c>
      <c r="R387" s="52">
        <f>AY387/AH$8</f>
        <v>0</v>
      </c>
      <c r="S387" s="527">
        <f t="shared" ref="S387:S389" si="1857">AZ387/AN$8</f>
        <v>0</v>
      </c>
      <c r="T387" s="533">
        <f>BA387/T$8</f>
        <v>0</v>
      </c>
      <c r="U387" s="375">
        <f t="shared" ref="U387:U389" si="1858">BB387/U$8</f>
        <v>-7.4443673665897044E-7</v>
      </c>
      <c r="V387" s="375">
        <f t="shared" ref="V387:V389" si="1859">BC387/V$8</f>
        <v>-1.6338148873653278E-2</v>
      </c>
      <c r="W387" s="386">
        <f t="shared" ref="W387:W389" si="1860">BD387/W$8</f>
        <v>-1.0147279787674261E-2</v>
      </c>
      <c r="X387" s="386">
        <f t="shared" ref="X387:X389" si="1861">BE387/X$8</f>
        <v>-1.7019499199519793E-2</v>
      </c>
      <c r="Y387" s="386">
        <f>BF387/Y$8</f>
        <v>-1.5984555505221529E-2</v>
      </c>
      <c r="Z387" s="375">
        <f>BG387/Z$8</f>
        <v>-1.4937367173740031E-2</v>
      </c>
      <c r="AA387" s="375">
        <f t="shared" ref="AA387:AA389" si="1862">BH387/AA$8</f>
        <v>0</v>
      </c>
      <c r="AB387" s="386">
        <f t="shared" ref="AB387:AB389" si="1863">BI387/AB$8</f>
        <v>0</v>
      </c>
      <c r="AC387" s="386">
        <f t="shared" ref="AC387:AF389" si="1864">BJ387/AC$8</f>
        <v>0</v>
      </c>
      <c r="AD387" s="386">
        <f t="shared" si="1864"/>
        <v>0</v>
      </c>
      <c r="AE387" s="386">
        <f t="shared" si="1864"/>
        <v>0</v>
      </c>
      <c r="AF387" s="386">
        <f t="shared" si="1864"/>
        <v>0</v>
      </c>
      <c r="AG387" s="375">
        <f>BN387/AG$8</f>
        <v>0</v>
      </c>
      <c r="AH387" s="375">
        <f t="shared" ref="AH387:AK389" si="1865">BO387/AH$8</f>
        <v>0</v>
      </c>
      <c r="AI387" s="386">
        <f t="shared" si="1865"/>
        <v>0</v>
      </c>
      <c r="AJ387" s="386">
        <f t="shared" si="1865"/>
        <v>0</v>
      </c>
      <c r="AK387" s="386">
        <f t="shared" si="1865"/>
        <v>0</v>
      </c>
      <c r="AL387" s="377">
        <f t="shared" ref="AL387:AN389" si="1866">BS387/AL$8</f>
        <v>0</v>
      </c>
      <c r="AM387" s="377">
        <f t="shared" si="1866"/>
        <v>0</v>
      </c>
      <c r="AN387" s="377">
        <f t="shared" si="1866"/>
        <v>0</v>
      </c>
      <c r="AO387" s="283"/>
      <c r="AP387" s="295">
        <f>AR387+AU387+AZ387+AW387+AY387</f>
        <v>501.732552</v>
      </c>
      <c r="AQ387" s="20">
        <f t="shared" ref="AQ387" si="1867">-BA387</f>
        <v>0</v>
      </c>
      <c r="AR387" s="95">
        <f t="shared" ref="AR387" si="1868">-BB387</f>
        <v>2.2551999999999999E-2</v>
      </c>
      <c r="AS387" s="94">
        <f t="shared" ref="AS387" si="1869">-BC387</f>
        <v>533.79999999999995</v>
      </c>
      <c r="AT387" s="94">
        <f>-BC387</f>
        <v>533.79999999999995</v>
      </c>
      <c r="AU387" s="94">
        <f t="shared" ref="AU387:AV389" si="1870">-BG387</f>
        <v>501.71</v>
      </c>
      <c r="AV387" s="94">
        <f t="shared" si="1870"/>
        <v>0</v>
      </c>
      <c r="AW387" s="94">
        <f t="shared" ref="AW387" si="1871">-BH387</f>
        <v>0</v>
      </c>
      <c r="AX387" s="94">
        <f>-BN387</f>
        <v>0</v>
      </c>
      <c r="AY387" s="94">
        <f t="shared" ref="AY387" si="1872">-BO387</f>
        <v>0</v>
      </c>
      <c r="AZ387" s="433">
        <f t="shared" ref="AZ387" si="1873">-BU387</f>
        <v>0</v>
      </c>
      <c r="BA387" s="657">
        <v>0</v>
      </c>
      <c r="BB387" s="327">
        <v>-2.2551999999999999E-2</v>
      </c>
      <c r="BC387" s="207">
        <f>-70.8-240-173-50</f>
        <v>-533.79999999999995</v>
      </c>
      <c r="BD387" s="389">
        <f>-70.8-240</f>
        <v>-310.8</v>
      </c>
      <c r="BE387" s="389">
        <v>-533.79999999999995</v>
      </c>
      <c r="BF387" s="516">
        <v>-501.34</v>
      </c>
      <c r="BG387" s="207">
        <v>-501.71</v>
      </c>
      <c r="BH387" s="207">
        <v>0</v>
      </c>
      <c r="BI387" s="389">
        <v>0</v>
      </c>
      <c r="BJ387" s="516">
        <v>0</v>
      </c>
      <c r="BK387" s="516">
        <v>0</v>
      </c>
      <c r="BL387" s="516">
        <v>0</v>
      </c>
      <c r="BM387" s="516">
        <v>0</v>
      </c>
      <c r="BN387" s="409">
        <v>0</v>
      </c>
      <c r="BO387" s="207">
        <v>0</v>
      </c>
      <c r="BP387" s="389">
        <v>0</v>
      </c>
      <c r="BQ387" s="389">
        <v>0</v>
      </c>
      <c r="BR387" s="389">
        <v>0</v>
      </c>
      <c r="BS387" s="296">
        <v>0</v>
      </c>
      <c r="BT387" s="296">
        <v>0</v>
      </c>
      <c r="BU387" s="296">
        <v>0</v>
      </c>
      <c r="BV387" s="409">
        <v>0</v>
      </c>
      <c r="BW387" s="296">
        <f t="shared" ref="BW387" si="1874">-BV387</f>
        <v>0</v>
      </c>
      <c r="BX387" s="439" t="s">
        <v>1418</v>
      </c>
    </row>
    <row r="388" spans="1:76" ht="153.94999999999999" hidden="1" customHeight="1" outlineLevel="1" x14ac:dyDescent="0.25">
      <c r="A388" s="678">
        <v>2</v>
      </c>
      <c r="B388" s="709" t="s">
        <v>542</v>
      </c>
      <c r="C388" s="686" t="s">
        <v>542</v>
      </c>
      <c r="D388" s="63" t="s">
        <v>1859</v>
      </c>
      <c r="E388" s="463" t="s">
        <v>1857</v>
      </c>
      <c r="F388" s="542" t="s">
        <v>1861</v>
      </c>
      <c r="G388" s="242" t="s">
        <v>427</v>
      </c>
      <c r="H388" s="311" t="s">
        <v>127</v>
      </c>
      <c r="I388" s="335"/>
      <c r="J388" s="294">
        <f t="shared" ref="J388" si="1875">AQ388/T$8</f>
        <v>0</v>
      </c>
      <c r="K388" s="52">
        <f t="shared" ref="K388" si="1876">AR388/U$8</f>
        <v>7.4443673665897044E-7</v>
      </c>
      <c r="L388" s="52">
        <f t="shared" ref="L388" si="1877">AS388/V$8</f>
        <v>3.6728697355533791E-3</v>
      </c>
      <c r="M388" s="52">
        <f t="shared" si="1855"/>
        <v>3.8260395352985675E-3</v>
      </c>
      <c r="N388" s="52">
        <f t="shared" si="1855"/>
        <v>3.3995579139538458E-4</v>
      </c>
      <c r="O388" s="52">
        <f t="shared" si="1855"/>
        <v>4.0578030057275664E-3</v>
      </c>
      <c r="P388" s="52">
        <f t="shared" si="1856"/>
        <v>4.1715943670329022E-3</v>
      </c>
      <c r="Q388" s="52">
        <f t="shared" si="1856"/>
        <v>1.4129494210527824E-3</v>
      </c>
      <c r="R388" s="52">
        <f>AY388/AH$8</f>
        <v>0</v>
      </c>
      <c r="S388" s="527">
        <f t="shared" ref="S388" si="1878">AZ388/AN$8</f>
        <v>0</v>
      </c>
      <c r="T388" s="533">
        <f>BA388/T$8</f>
        <v>0</v>
      </c>
      <c r="U388" s="375">
        <f t="shared" ref="U388" si="1879">BB388/U$8</f>
        <v>-7.4443673665897044E-7</v>
      </c>
      <c r="V388" s="375">
        <f t="shared" ref="V388" si="1880">BC388/V$8</f>
        <v>-3.6728697355533791E-3</v>
      </c>
      <c r="W388" s="386">
        <f t="shared" ref="W388" si="1881">BD388/W$8</f>
        <v>0</v>
      </c>
      <c r="X388" s="386">
        <f t="shared" ref="X388" si="1882">BE388/X$8</f>
        <v>0</v>
      </c>
      <c r="Y388" s="386">
        <f t="shared" ref="Y388" si="1883">BF388/Y$8</f>
        <v>0</v>
      </c>
      <c r="Z388" s="375">
        <f>BG388/Z$8</f>
        <v>-3.3995579139538458E-4</v>
      </c>
      <c r="AA388" s="375">
        <f>BH388/AA$8</f>
        <v>-4.0578030057275664E-3</v>
      </c>
      <c r="AB388" s="386">
        <f t="shared" ref="AB388" si="1884">BI388/AB$8</f>
        <v>0</v>
      </c>
      <c r="AC388" s="386">
        <f t="shared" si="1864"/>
        <v>0</v>
      </c>
      <c r="AD388" s="386">
        <f t="shared" si="1864"/>
        <v>-1.7635767011216971E-3</v>
      </c>
      <c r="AE388" s="386">
        <f t="shared" si="1864"/>
        <v>-1.5090048921019446E-3</v>
      </c>
      <c r="AF388" s="386">
        <f t="shared" si="1864"/>
        <v>-1.4678427594061849E-3</v>
      </c>
      <c r="AG388" s="375">
        <f>BN388/AG$8</f>
        <v>-1.4258962594176521E-3</v>
      </c>
      <c r="AH388" s="375">
        <f t="shared" si="1865"/>
        <v>0</v>
      </c>
      <c r="AI388" s="386">
        <f t="shared" si="1865"/>
        <v>0</v>
      </c>
      <c r="AJ388" s="386">
        <f t="shared" si="1865"/>
        <v>0</v>
      </c>
      <c r="AK388" s="386">
        <f t="shared" si="1865"/>
        <v>0</v>
      </c>
      <c r="AL388" s="377">
        <f t="shared" si="1866"/>
        <v>0</v>
      </c>
      <c r="AM388" s="377">
        <f t="shared" si="1866"/>
        <v>0</v>
      </c>
      <c r="AN388" s="377">
        <f t="shared" si="1866"/>
        <v>0</v>
      </c>
      <c r="AO388" s="283"/>
      <c r="AP388" s="295">
        <f>AR388+AU388+AZ388+AW388+AY388</f>
        <v>171.475844</v>
      </c>
      <c r="AQ388" s="20">
        <f t="shared" ref="AQ388:AS389" si="1885">-BA388</f>
        <v>0</v>
      </c>
      <c r="AR388" s="95">
        <f t="shared" si="1885"/>
        <v>2.2551999999999999E-2</v>
      </c>
      <c r="AS388" s="94">
        <f t="shared" si="1885"/>
        <v>120</v>
      </c>
      <c r="AT388" s="94">
        <f>-BC388</f>
        <v>120</v>
      </c>
      <c r="AU388" s="94">
        <f t="shared" si="1870"/>
        <v>11.418291999999999</v>
      </c>
      <c r="AV388" s="94">
        <f t="shared" si="1870"/>
        <v>160.035</v>
      </c>
      <c r="AW388" s="94">
        <f>-BH388</f>
        <v>160.035</v>
      </c>
      <c r="AX388" s="94">
        <f>-BN388</f>
        <v>55.725071</v>
      </c>
      <c r="AY388" s="94">
        <f>-BO388</f>
        <v>0</v>
      </c>
      <c r="AZ388" s="433">
        <f>-BU388</f>
        <v>0</v>
      </c>
      <c r="BA388" s="657">
        <v>0</v>
      </c>
      <c r="BB388" s="327">
        <v>-2.2551999999999999E-2</v>
      </c>
      <c r="BC388" s="207">
        <f>-120</f>
        <v>-120</v>
      </c>
      <c r="BD388" s="389">
        <f>0</f>
        <v>0</v>
      </c>
      <c r="BE388" s="389">
        <v>0</v>
      </c>
      <c r="BF388" s="516">
        <v>0</v>
      </c>
      <c r="BG388" s="207">
        <v>-11.418291999999999</v>
      </c>
      <c r="BH388" s="1039">
        <f>-120-30-8.4-1.635</f>
        <v>-160.035</v>
      </c>
      <c r="BI388" s="389">
        <v>0</v>
      </c>
      <c r="BJ388" s="516">
        <v>0</v>
      </c>
      <c r="BK388" s="516">
        <v>-60</v>
      </c>
      <c r="BL388" s="516">
        <v>-57.89</v>
      </c>
      <c r="BM388" s="516">
        <v>-57.89</v>
      </c>
      <c r="BN388" s="713">
        <v>-55.725071</v>
      </c>
      <c r="BO388" s="207">
        <v>0</v>
      </c>
      <c r="BP388" s="389">
        <v>0</v>
      </c>
      <c r="BQ388" s="389">
        <v>0</v>
      </c>
      <c r="BR388" s="389">
        <v>0</v>
      </c>
      <c r="BS388" s="296">
        <v>0</v>
      </c>
      <c r="BT388" s="296">
        <v>0</v>
      </c>
      <c r="BU388" s="296">
        <v>0</v>
      </c>
      <c r="BV388" s="713">
        <v>0</v>
      </c>
      <c r="BW388" s="296">
        <f>-BV388</f>
        <v>0</v>
      </c>
      <c r="BX388" s="439" t="s">
        <v>1948</v>
      </c>
    </row>
    <row r="389" spans="1:76" ht="72.599999999999994" hidden="1" customHeight="1" outlineLevel="1" x14ac:dyDescent="0.25">
      <c r="A389" s="678">
        <v>3</v>
      </c>
      <c r="B389" s="709" t="s">
        <v>542</v>
      </c>
      <c r="C389" s="686" t="s">
        <v>542</v>
      </c>
      <c r="D389" s="63">
        <v>44511</v>
      </c>
      <c r="E389" s="463" t="s">
        <v>1857</v>
      </c>
      <c r="F389" s="542" t="s">
        <v>1858</v>
      </c>
      <c r="G389" s="242" t="s">
        <v>427</v>
      </c>
      <c r="H389" s="311" t="s">
        <v>127</v>
      </c>
      <c r="I389" s="335"/>
      <c r="J389" s="294">
        <f t="shared" si="1852"/>
        <v>0</v>
      </c>
      <c r="K389" s="52">
        <f t="shared" si="1853"/>
        <v>7.4443673665897044E-7</v>
      </c>
      <c r="L389" s="52">
        <f t="shared" si="1854"/>
        <v>8.9162585700293835E-6</v>
      </c>
      <c r="M389" s="52">
        <f t="shared" si="1855"/>
        <v>9.2880935758908018E-6</v>
      </c>
      <c r="N389" s="52">
        <f t="shared" si="1855"/>
        <v>0</v>
      </c>
      <c r="O389" s="52">
        <f t="shared" si="1855"/>
        <v>0</v>
      </c>
      <c r="P389" s="52">
        <f t="shared" si="1856"/>
        <v>0</v>
      </c>
      <c r="Q389" s="52">
        <f t="shared" si="1856"/>
        <v>0</v>
      </c>
      <c r="R389" s="52">
        <f>AY389/AH$8</f>
        <v>0</v>
      </c>
      <c r="S389" s="527">
        <f t="shared" si="1857"/>
        <v>0</v>
      </c>
      <c r="T389" s="533">
        <f>BA389/T$8</f>
        <v>0</v>
      </c>
      <c r="U389" s="375">
        <f t="shared" si="1858"/>
        <v>-7.4443673665897044E-7</v>
      </c>
      <c r="V389" s="375">
        <f t="shared" si="1859"/>
        <v>-8.9162585700293835E-6</v>
      </c>
      <c r="W389" s="386">
        <f t="shared" si="1860"/>
        <v>0</v>
      </c>
      <c r="X389" s="386">
        <f t="shared" si="1861"/>
        <v>0</v>
      </c>
      <c r="Y389" s="386">
        <f>BF389/Y$8</f>
        <v>0</v>
      </c>
      <c r="Z389" s="375">
        <f>BG389/Z$8</f>
        <v>0</v>
      </c>
      <c r="AA389" s="375">
        <f t="shared" si="1862"/>
        <v>0</v>
      </c>
      <c r="AB389" s="386">
        <f t="shared" si="1863"/>
        <v>0</v>
      </c>
      <c r="AC389" s="386">
        <f t="shared" si="1864"/>
        <v>0</v>
      </c>
      <c r="AD389" s="386">
        <f t="shared" si="1864"/>
        <v>0</v>
      </c>
      <c r="AE389" s="386">
        <f t="shared" si="1864"/>
        <v>0</v>
      </c>
      <c r="AF389" s="386">
        <f t="shared" si="1864"/>
        <v>0</v>
      </c>
      <c r="AG389" s="375">
        <f>BN389/AG$8</f>
        <v>0</v>
      </c>
      <c r="AH389" s="375">
        <f t="shared" si="1865"/>
        <v>0</v>
      </c>
      <c r="AI389" s="386">
        <f t="shared" si="1865"/>
        <v>0</v>
      </c>
      <c r="AJ389" s="386">
        <f t="shared" si="1865"/>
        <v>0</v>
      </c>
      <c r="AK389" s="386">
        <f t="shared" si="1865"/>
        <v>0</v>
      </c>
      <c r="AL389" s="377">
        <f t="shared" si="1866"/>
        <v>0</v>
      </c>
      <c r="AM389" s="377">
        <f t="shared" si="1866"/>
        <v>0</v>
      </c>
      <c r="AN389" s="377">
        <f t="shared" si="1866"/>
        <v>0</v>
      </c>
      <c r="AO389" s="283"/>
      <c r="AP389" s="295">
        <f>AR389+AU389+AZ389+AW389+AY389</f>
        <v>2.2551999999999999E-2</v>
      </c>
      <c r="AQ389" s="20">
        <f t="shared" si="1885"/>
        <v>0</v>
      </c>
      <c r="AR389" s="95">
        <f t="shared" si="1885"/>
        <v>2.2551999999999999E-2</v>
      </c>
      <c r="AS389" s="94">
        <f t="shared" si="1885"/>
        <v>0.29131200000000002</v>
      </c>
      <c r="AT389" s="94">
        <f>-BC389</f>
        <v>0.29131200000000002</v>
      </c>
      <c r="AU389" s="94">
        <f t="shared" si="1870"/>
        <v>0</v>
      </c>
      <c r="AV389" s="94">
        <f t="shared" si="1870"/>
        <v>0</v>
      </c>
      <c r="AW389" s="94">
        <f>-BH389</f>
        <v>0</v>
      </c>
      <c r="AX389" s="94">
        <f>-BN389</f>
        <v>0</v>
      </c>
      <c r="AY389" s="94">
        <f>-BO389</f>
        <v>0</v>
      </c>
      <c r="AZ389" s="433">
        <f>-BU389</f>
        <v>0</v>
      </c>
      <c r="BA389" s="657">
        <v>0</v>
      </c>
      <c r="BB389" s="327">
        <v>-2.2551999999999999E-2</v>
      </c>
      <c r="BC389" s="207">
        <f>-0.291312</f>
        <v>-0.29131200000000002</v>
      </c>
      <c r="BD389" s="389">
        <f>0</f>
        <v>0</v>
      </c>
      <c r="BE389" s="389">
        <v>0</v>
      </c>
      <c r="BF389" s="516">
        <v>0</v>
      </c>
      <c r="BG389" s="207">
        <f>0</f>
        <v>0</v>
      </c>
      <c r="BH389" s="207">
        <f>0</f>
        <v>0</v>
      </c>
      <c r="BI389" s="389">
        <v>0</v>
      </c>
      <c r="BJ389" s="516">
        <v>0</v>
      </c>
      <c r="BK389" s="516">
        <v>0</v>
      </c>
      <c r="BL389" s="516">
        <v>0</v>
      </c>
      <c r="BM389" s="516">
        <v>0</v>
      </c>
      <c r="BN389" s="409">
        <f>0</f>
        <v>0</v>
      </c>
      <c r="BO389" s="207">
        <v>0</v>
      </c>
      <c r="BP389" s="389">
        <v>0</v>
      </c>
      <c r="BQ389" s="389">
        <v>0</v>
      </c>
      <c r="BR389" s="389">
        <v>0</v>
      </c>
      <c r="BS389" s="296">
        <v>0</v>
      </c>
      <c r="BT389" s="296">
        <v>0</v>
      </c>
      <c r="BU389" s="296">
        <v>0</v>
      </c>
      <c r="BV389" s="409">
        <f>0</f>
        <v>0</v>
      </c>
      <c r="BW389" s="296">
        <f>-BV389</f>
        <v>0</v>
      </c>
      <c r="BX389" s="439" t="s">
        <v>1860</v>
      </c>
    </row>
    <row r="390" spans="1:76" ht="18.75" collapsed="1" x14ac:dyDescent="0.25">
      <c r="A390" s="467">
        <v>8</v>
      </c>
      <c r="B390" s="708" t="s">
        <v>1723</v>
      </c>
      <c r="C390" s="689"/>
      <c r="D390" s="348"/>
      <c r="E390" s="460"/>
      <c r="F390" s="540"/>
      <c r="G390" s="400" t="s">
        <v>1730</v>
      </c>
      <c r="H390" s="401" t="s">
        <v>1730</v>
      </c>
      <c r="I390" s="349"/>
      <c r="J390" s="425">
        <f t="shared" ref="J390:AN390" si="1886">SUM(J391:J490)</f>
        <v>5.2098716038873538E-4</v>
      </c>
      <c r="K390" s="426">
        <f t="shared" si="1886"/>
        <v>3.1536240868461113E-4</v>
      </c>
      <c r="L390" s="426">
        <f t="shared" si="1886"/>
        <v>2.7008725208129279E-3</v>
      </c>
      <c r="M390" s="426">
        <f t="shared" si="1886"/>
        <v>2.8135070907639548E-3</v>
      </c>
      <c r="N390" s="426">
        <f>SUM(N391:N490)</f>
        <v>1.3203589163124859E-3</v>
      </c>
      <c r="O390" s="426">
        <f t="shared" ref="O390:P390" si="1887">SUM(O391:O490)</f>
        <v>1.5103556339147433E-3</v>
      </c>
      <c r="P390" s="426">
        <f t="shared" si="1887"/>
        <v>1.5527099382995932E-3</v>
      </c>
      <c r="Q390" s="426">
        <f t="shared" ref="Q390" si="1888">SUM(Q391:Q490)</f>
        <v>4.6793431768408155E-4</v>
      </c>
      <c r="R390" s="426">
        <f t="shared" si="1886"/>
        <v>0</v>
      </c>
      <c r="S390" s="428">
        <f t="shared" si="1886"/>
        <v>0</v>
      </c>
      <c r="T390" s="425">
        <f t="shared" si="1886"/>
        <v>-5.2567773285096134E-4</v>
      </c>
      <c r="U390" s="426">
        <f t="shared" si="1886"/>
        <v>-3.1536240868461113E-4</v>
      </c>
      <c r="V390" s="426">
        <f t="shared" si="1886"/>
        <v>-2.7008725208129279E-3</v>
      </c>
      <c r="W390" s="427">
        <f t="shared" si="1886"/>
        <v>-1.8371342829384761E-3</v>
      </c>
      <c r="X390" s="427">
        <f t="shared" si="1886"/>
        <v>-3.3330528745268572E-3</v>
      </c>
      <c r="Y390" s="427">
        <f t="shared" si="1886"/>
        <v>-2.6787363466652145E-3</v>
      </c>
      <c r="Z390" s="426">
        <f t="shared" si="1886"/>
        <v>-1.3203589163124859E-3</v>
      </c>
      <c r="AA390" s="426">
        <f t="shared" si="1886"/>
        <v>-1.5103556339147433E-3</v>
      </c>
      <c r="AB390" s="427">
        <f t="shared" si="1886"/>
        <v>-4.3605315723584497E-6</v>
      </c>
      <c r="AC390" s="427">
        <f t="shared" si="1886"/>
        <v>-4.3605315723584522E-6</v>
      </c>
      <c r="AD390" s="427">
        <f t="shared" ref="AD390" si="1889">SUM(AD391:AD490)</f>
        <v>-4.6273233981979913E-4</v>
      </c>
      <c r="AE390" s="427">
        <f t="shared" si="1886"/>
        <v>-4.9420376811390844E-4</v>
      </c>
      <c r="AF390" s="427">
        <f t="shared" ref="AF390:AG390" si="1890">SUM(AF391:AF490)</f>
        <v>-4.8072304237980329E-4</v>
      </c>
      <c r="AG390" s="426">
        <f t="shared" si="1890"/>
        <v>-4.722219941473462E-4</v>
      </c>
      <c r="AH390" s="426">
        <f t="shared" ref="AH390:AI390" si="1891">SUM(AH391:AH490)</f>
        <v>0</v>
      </c>
      <c r="AI390" s="427">
        <f t="shared" si="1891"/>
        <v>0</v>
      </c>
      <c r="AJ390" s="427">
        <f t="shared" ref="AJ390:AK390" si="1892">SUM(AJ391:AJ490)</f>
        <v>0</v>
      </c>
      <c r="AK390" s="427">
        <f t="shared" si="1892"/>
        <v>0</v>
      </c>
      <c r="AL390" s="428">
        <f t="shared" ref="AL390:AM390" si="1893">SUM(AL391:AL490)</f>
        <v>0</v>
      </c>
      <c r="AM390" s="428">
        <f t="shared" si="1893"/>
        <v>0</v>
      </c>
      <c r="AN390" s="428">
        <f t="shared" si="1886"/>
        <v>0</v>
      </c>
      <c r="AO390" s="337"/>
      <c r="AP390" s="350">
        <f t="shared" ref="AP390:BW390" si="1894">SUM(AP391:AP490)</f>
        <v>113.46792041000003</v>
      </c>
      <c r="AQ390" s="382">
        <f t="shared" si="1894"/>
        <v>14.820957999999999</v>
      </c>
      <c r="AR390" s="382">
        <f t="shared" si="1894"/>
        <v>9.553602999999999</v>
      </c>
      <c r="AS390" s="382">
        <f t="shared" si="1894"/>
        <v>88.242907000000002</v>
      </c>
      <c r="AT390" s="382">
        <f t="shared" si="1894"/>
        <v>88.242907000000002</v>
      </c>
      <c r="AU390" s="382">
        <f>SUM(AU391:AU490)</f>
        <v>44.347659409999991</v>
      </c>
      <c r="AV390" s="382">
        <f t="shared" ref="AV390" si="1895">SUM(AV391:AV490)</f>
        <v>59.566658000000004</v>
      </c>
      <c r="AW390" s="382">
        <f t="shared" si="1894"/>
        <v>59.566658000000004</v>
      </c>
      <c r="AX390" s="382">
        <f t="shared" ref="AX390" si="1896">SUM(AX391:AX490)</f>
        <v>18.454781670000003</v>
      </c>
      <c r="AY390" s="382">
        <f t="shared" si="1894"/>
        <v>0</v>
      </c>
      <c r="AZ390" s="383">
        <f t="shared" si="1894"/>
        <v>0</v>
      </c>
      <c r="BA390" s="656">
        <f t="shared" si="1894"/>
        <v>-14.820957999999999</v>
      </c>
      <c r="BB390" s="350">
        <f t="shared" si="1894"/>
        <v>-9.553602999999999</v>
      </c>
      <c r="BC390" s="382">
        <f t="shared" si="1894"/>
        <v>-88.242907000000002</v>
      </c>
      <c r="BD390" s="387">
        <f t="shared" si="1894"/>
        <v>-56.269398999999993</v>
      </c>
      <c r="BE390" s="387">
        <f t="shared" si="1894"/>
        <v>-104.53795400000001</v>
      </c>
      <c r="BF390" s="651">
        <f t="shared" si="1894"/>
        <v>-84.015954000000022</v>
      </c>
      <c r="BG390" s="360">
        <f t="shared" si="1894"/>
        <v>-44.347659409999991</v>
      </c>
      <c r="BH390" s="382">
        <f t="shared" si="1894"/>
        <v>-59.566658000000004</v>
      </c>
      <c r="BI390" s="387">
        <f t="shared" si="1894"/>
        <v>-0.14835300000000001</v>
      </c>
      <c r="BJ390" s="515">
        <f t="shared" si="1894"/>
        <v>-0.14835300000000001</v>
      </c>
      <c r="BK390" s="515">
        <f t="shared" si="1894"/>
        <v>-15.742973000000001</v>
      </c>
      <c r="BL390" s="515">
        <f t="shared" ref="BL390:BN390" si="1897">SUM(BL391:BL490)</f>
        <v>-18.959154000000005</v>
      </c>
      <c r="BM390" s="515">
        <f t="shared" si="1897"/>
        <v>-18.959154000000005</v>
      </c>
      <c r="BN390" s="350">
        <f t="shared" si="1897"/>
        <v>-18.454781670000003</v>
      </c>
      <c r="BO390" s="382">
        <f t="shared" si="1894"/>
        <v>0</v>
      </c>
      <c r="BP390" s="387">
        <f t="shared" ref="BP390:BQ390" si="1898">SUM(BP391:BP490)</f>
        <v>0</v>
      </c>
      <c r="BQ390" s="387">
        <f t="shared" si="1898"/>
        <v>0</v>
      </c>
      <c r="BR390" s="387">
        <f t="shared" ref="BR390:BT390" si="1899">SUM(BR391:BR490)</f>
        <v>0</v>
      </c>
      <c r="BS390" s="383">
        <f t="shared" si="1899"/>
        <v>0</v>
      </c>
      <c r="BT390" s="383">
        <f t="shared" si="1899"/>
        <v>0</v>
      </c>
      <c r="BU390" s="383">
        <f t="shared" si="1894"/>
        <v>0</v>
      </c>
      <c r="BV390" s="350">
        <f t="shared" si="1894"/>
        <v>0</v>
      </c>
      <c r="BW390" s="383">
        <f t="shared" si="1894"/>
        <v>0</v>
      </c>
      <c r="BX390" s="351"/>
    </row>
    <row r="391" spans="1:76" ht="95.25" hidden="1" customHeight="1" outlineLevel="1" x14ac:dyDescent="0.25">
      <c r="A391" s="678">
        <v>1</v>
      </c>
      <c r="B391" s="702" t="s">
        <v>72</v>
      </c>
      <c r="C391" s="694" t="s">
        <v>72</v>
      </c>
      <c r="D391" s="86" t="s">
        <v>704</v>
      </c>
      <c r="E391" s="476" t="s">
        <v>9</v>
      </c>
      <c r="F391" s="542" t="s">
        <v>74</v>
      </c>
      <c r="G391" s="71" t="s">
        <v>28</v>
      </c>
      <c r="H391" s="311" t="s">
        <v>127</v>
      </c>
      <c r="I391" s="335"/>
      <c r="J391" s="294">
        <f t="shared" ref="J391:J471" si="1900">AQ391/T$8</f>
        <v>2.2345179825494785E-6</v>
      </c>
      <c r="K391" s="52">
        <f t="shared" ref="K391:K471" si="1901">AR391/U$8</f>
        <v>2.0796166375272764E-6</v>
      </c>
      <c r="L391" s="52">
        <f t="shared" ref="L391:L471" si="1902">AS391/V$8</f>
        <v>2.6016160626836435E-6</v>
      </c>
      <c r="M391" s="52">
        <f t="shared" ref="M391:M422" si="1903">AT391/Y$8</f>
        <v>2.710111337503152E-6</v>
      </c>
      <c r="N391" s="52">
        <f t="shared" ref="N391:N422" si="1904">AU391/Z$8</f>
        <v>2.5306974343104638E-6</v>
      </c>
      <c r="O391" s="52">
        <f t="shared" ref="O391:O422" si="1905">AV391/AA$8</f>
        <v>0</v>
      </c>
      <c r="P391" s="52">
        <f t="shared" ref="P391:P422" si="1906">AW391/AE$8</f>
        <v>0</v>
      </c>
      <c r="Q391" s="52">
        <f t="shared" ref="Q391:Q422" si="1907">AX391/AF$8</f>
        <v>0</v>
      </c>
      <c r="R391" s="52">
        <f t="shared" ref="R391:R422" si="1908">AY391/AH$8</f>
        <v>0</v>
      </c>
      <c r="S391" s="527">
        <f t="shared" ref="S391:S471" si="1909">AZ391/AN$8</f>
        <v>0</v>
      </c>
      <c r="T391" s="533">
        <f t="shared" ref="T391:T422" si="1910">BA391/T$8</f>
        <v>-2.2345179825494785E-6</v>
      </c>
      <c r="U391" s="375">
        <f t="shared" ref="U391:U471" si="1911">BB391/U$8</f>
        <v>-2.0796166375272764E-6</v>
      </c>
      <c r="V391" s="375">
        <f t="shared" ref="V391:V471" si="1912">BC391/V$8</f>
        <v>-2.6016160626836435E-6</v>
      </c>
      <c r="W391" s="386">
        <f t="shared" ref="W391:W471" si="1913">BD391/W$8</f>
        <v>-2.7751569560885207E-6</v>
      </c>
      <c r="X391" s="386">
        <f t="shared" ref="X391:X471" si="1914">BE391/X$8</f>
        <v>-2.710111337503152E-6</v>
      </c>
      <c r="Y391" s="386">
        <f t="shared" ref="Y391:Y428" si="1915">BF391/Y$8</f>
        <v>-2.710111337503152E-6</v>
      </c>
      <c r="Z391" s="375">
        <f t="shared" ref="Z391:Z428" si="1916">BG391/Z$8</f>
        <v>-2.5306974343104638E-6</v>
      </c>
      <c r="AA391" s="375">
        <f t="shared" ref="AA391:AA471" si="1917">BH391/AA$8</f>
        <v>0</v>
      </c>
      <c r="AB391" s="386">
        <f t="shared" ref="AB391:AB471" si="1918">BI391/AB$8</f>
        <v>0</v>
      </c>
      <c r="AC391" s="386">
        <f t="shared" ref="AC391:AC422" si="1919">BJ391/AC$8</f>
        <v>0</v>
      </c>
      <c r="AD391" s="386">
        <f t="shared" ref="AD391:AD422" si="1920">BK391/AD$8</f>
        <v>0</v>
      </c>
      <c r="AE391" s="386">
        <f t="shared" ref="AE391:AE422" si="1921">BL391/AE$8</f>
        <v>0</v>
      </c>
      <c r="AF391" s="386">
        <f t="shared" ref="AF391:AF422" si="1922">BM391/AF$8</f>
        <v>0</v>
      </c>
      <c r="AG391" s="375">
        <f t="shared" ref="AG391:AG422" si="1923">BN391/AG$8</f>
        <v>0</v>
      </c>
      <c r="AH391" s="375">
        <f t="shared" ref="AH391:AH422" si="1924">BO391/AH$8</f>
        <v>0</v>
      </c>
      <c r="AI391" s="386">
        <f t="shared" ref="AI391:AI422" si="1925">BP391/AI$8</f>
        <v>0</v>
      </c>
      <c r="AJ391" s="386">
        <f t="shared" ref="AJ391:AJ422" si="1926">BQ391/AJ$8</f>
        <v>0</v>
      </c>
      <c r="AK391" s="386">
        <f t="shared" ref="AK391:AK422" si="1927">BR391/AK$8</f>
        <v>0</v>
      </c>
      <c r="AL391" s="377">
        <f t="shared" ref="AL391:AL422" si="1928">BS391/AL$8</f>
        <v>0</v>
      </c>
      <c r="AM391" s="377">
        <f t="shared" ref="AM391:AM422" si="1929">BT391/AM$8</f>
        <v>0</v>
      </c>
      <c r="AN391" s="377">
        <f t="shared" ref="AN391:AN422" si="1930">BU391/AN$8</f>
        <v>0</v>
      </c>
      <c r="AO391" s="283"/>
      <c r="AP391" s="295">
        <f t="shared" ref="AP391:AP422" si="1931">AR391+AU391+AZ391+AW391+AY391</f>
        <v>0.14800000000000002</v>
      </c>
      <c r="AQ391" s="183">
        <f t="shared" si="1485"/>
        <v>6.3E-2</v>
      </c>
      <c r="AR391" s="94">
        <f>-BB391</f>
        <v>6.3E-2</v>
      </c>
      <c r="AS391" s="94">
        <f t="shared" si="1485"/>
        <v>8.5000000000000006E-2</v>
      </c>
      <c r="AT391" s="94">
        <f>-BC391</f>
        <v>8.5000000000000006E-2</v>
      </c>
      <c r="AU391" s="94">
        <f>-BG391</f>
        <v>8.5000000000000006E-2</v>
      </c>
      <c r="AV391" s="94">
        <f>-BH391</f>
        <v>0</v>
      </c>
      <c r="AW391" s="94">
        <f t="shared" si="1489"/>
        <v>0</v>
      </c>
      <c r="AX391" s="94">
        <f>-BN391</f>
        <v>0</v>
      </c>
      <c r="AY391" s="94">
        <f t="shared" si="1491"/>
        <v>0</v>
      </c>
      <c r="AZ391" s="433">
        <f t="shared" si="1492"/>
        <v>0</v>
      </c>
      <c r="BA391" s="1008">
        <v>-6.3E-2</v>
      </c>
      <c r="BB391" s="409">
        <v>-6.3E-2</v>
      </c>
      <c r="BC391" s="207">
        <v>-8.5000000000000006E-2</v>
      </c>
      <c r="BD391" s="132">
        <v>-8.5000000000000006E-2</v>
      </c>
      <c r="BE391" s="132">
        <v>-8.5000000000000006E-2</v>
      </c>
      <c r="BF391" s="132">
        <v>-8.5000000000000006E-2</v>
      </c>
      <c r="BG391" s="207">
        <v>-8.5000000000000006E-2</v>
      </c>
      <c r="BH391" s="207">
        <v>0</v>
      </c>
      <c r="BI391" s="132">
        <v>0</v>
      </c>
      <c r="BJ391" s="132">
        <v>0</v>
      </c>
      <c r="BK391" s="132">
        <v>0</v>
      </c>
      <c r="BL391" s="132">
        <v>0</v>
      </c>
      <c r="BM391" s="132">
        <v>0</v>
      </c>
      <c r="BN391" s="409">
        <v>0</v>
      </c>
      <c r="BO391" s="207">
        <v>0</v>
      </c>
      <c r="BP391" s="389">
        <v>0</v>
      </c>
      <c r="BQ391" s="389">
        <v>0</v>
      </c>
      <c r="BR391" s="389">
        <v>0</v>
      </c>
      <c r="BS391" s="296">
        <v>0</v>
      </c>
      <c r="BT391" s="296">
        <v>0</v>
      </c>
      <c r="BU391" s="296">
        <v>0</v>
      </c>
      <c r="BV391" s="409">
        <v>0</v>
      </c>
      <c r="BW391" s="296">
        <f t="shared" si="1493"/>
        <v>0</v>
      </c>
      <c r="BX391" s="439" t="s">
        <v>643</v>
      </c>
    </row>
    <row r="392" spans="1:76" ht="138.75" hidden="1" customHeight="1" outlineLevel="1" x14ac:dyDescent="0.25">
      <c r="A392" s="678">
        <v>2</v>
      </c>
      <c r="B392" s="702" t="s">
        <v>72</v>
      </c>
      <c r="C392" s="694" t="s">
        <v>72</v>
      </c>
      <c r="D392" s="86">
        <v>43909</v>
      </c>
      <c r="E392" s="463" t="s">
        <v>75</v>
      </c>
      <c r="F392" s="542" t="s">
        <v>71</v>
      </c>
      <c r="G392" s="71" t="s">
        <v>77</v>
      </c>
      <c r="H392" s="311" t="s">
        <v>129</v>
      </c>
      <c r="I392" s="335"/>
      <c r="J392" s="294">
        <f t="shared" si="1900"/>
        <v>9.1956089948215948E-6</v>
      </c>
      <c r="K392" s="52">
        <f t="shared" si="1901"/>
        <v>6.9392846019737543E-6</v>
      </c>
      <c r="L392" s="52">
        <f t="shared" si="1902"/>
        <v>0</v>
      </c>
      <c r="M392" s="52">
        <f t="shared" si="1903"/>
        <v>0</v>
      </c>
      <c r="N392" s="52">
        <f t="shared" si="1904"/>
        <v>0</v>
      </c>
      <c r="O392" s="52">
        <f t="shared" si="1905"/>
        <v>0</v>
      </c>
      <c r="P392" s="52">
        <f t="shared" si="1906"/>
        <v>0</v>
      </c>
      <c r="Q392" s="52">
        <f t="shared" si="1907"/>
        <v>0</v>
      </c>
      <c r="R392" s="52">
        <f t="shared" si="1908"/>
        <v>0</v>
      </c>
      <c r="S392" s="527">
        <f t="shared" si="1909"/>
        <v>0</v>
      </c>
      <c r="T392" s="533">
        <f t="shared" si="1910"/>
        <v>-9.1956089948215948E-6</v>
      </c>
      <c r="U392" s="375">
        <f t="shared" si="1911"/>
        <v>-6.9392846019737543E-6</v>
      </c>
      <c r="V392" s="375">
        <f t="shared" si="1912"/>
        <v>0</v>
      </c>
      <c r="W392" s="386">
        <f t="shared" si="1913"/>
        <v>0</v>
      </c>
      <c r="X392" s="386">
        <f t="shared" si="1914"/>
        <v>0</v>
      </c>
      <c r="Y392" s="386">
        <f t="shared" si="1915"/>
        <v>0</v>
      </c>
      <c r="Z392" s="375">
        <f t="shared" si="1916"/>
        <v>0</v>
      </c>
      <c r="AA392" s="375">
        <f t="shared" si="1917"/>
        <v>0</v>
      </c>
      <c r="AB392" s="386">
        <f t="shared" si="1918"/>
        <v>0</v>
      </c>
      <c r="AC392" s="386">
        <f t="shared" si="1919"/>
        <v>0</v>
      </c>
      <c r="AD392" s="386">
        <f t="shared" si="1920"/>
        <v>0</v>
      </c>
      <c r="AE392" s="386">
        <f t="shared" si="1921"/>
        <v>0</v>
      </c>
      <c r="AF392" s="386">
        <f t="shared" si="1922"/>
        <v>0</v>
      </c>
      <c r="AG392" s="375">
        <f t="shared" si="1923"/>
        <v>0</v>
      </c>
      <c r="AH392" s="375">
        <f t="shared" si="1924"/>
        <v>0</v>
      </c>
      <c r="AI392" s="386">
        <f t="shared" si="1925"/>
        <v>0</v>
      </c>
      <c r="AJ392" s="386">
        <f t="shared" si="1926"/>
        <v>0</v>
      </c>
      <c r="AK392" s="386">
        <f t="shared" si="1927"/>
        <v>0</v>
      </c>
      <c r="AL392" s="377">
        <f t="shared" si="1928"/>
        <v>0</v>
      </c>
      <c r="AM392" s="377">
        <f t="shared" si="1929"/>
        <v>0</v>
      </c>
      <c r="AN392" s="377">
        <f t="shared" si="1930"/>
        <v>0</v>
      </c>
      <c r="AO392" s="283"/>
      <c r="AP392" s="295">
        <f t="shared" si="1931"/>
        <v>0.21021899999999999</v>
      </c>
      <c r="AQ392" s="183">
        <f t="shared" ref="AQ392:AS407" si="1932">-BA392</f>
        <v>0.25926100000000002</v>
      </c>
      <c r="AR392" s="94">
        <f t="shared" si="1932"/>
        <v>0.21021899999999999</v>
      </c>
      <c r="AS392" s="94">
        <v>0</v>
      </c>
      <c r="AT392" s="94">
        <v>0</v>
      </c>
      <c r="AU392" s="94">
        <v>0</v>
      </c>
      <c r="AV392" s="94">
        <v>0</v>
      </c>
      <c r="AW392" s="94">
        <v>0</v>
      </c>
      <c r="AX392" s="94">
        <v>0</v>
      </c>
      <c r="AY392" s="94">
        <v>0</v>
      </c>
      <c r="AZ392" s="433">
        <v>0</v>
      </c>
      <c r="BA392" s="657">
        <v>-0.25926100000000002</v>
      </c>
      <c r="BB392" s="327">
        <v>-0.21021899999999999</v>
      </c>
      <c r="BC392" s="207">
        <v>0</v>
      </c>
      <c r="BD392" s="132">
        <v>0</v>
      </c>
      <c r="BE392" s="132">
        <v>0</v>
      </c>
      <c r="BF392" s="132">
        <v>0</v>
      </c>
      <c r="BG392" s="207">
        <v>0</v>
      </c>
      <c r="BH392" s="207">
        <v>0</v>
      </c>
      <c r="BI392" s="132">
        <v>0</v>
      </c>
      <c r="BJ392" s="132">
        <v>0</v>
      </c>
      <c r="BK392" s="132">
        <v>0</v>
      </c>
      <c r="BL392" s="132">
        <v>0</v>
      </c>
      <c r="BM392" s="132">
        <v>0</v>
      </c>
      <c r="BN392" s="409">
        <v>0</v>
      </c>
      <c r="BO392" s="207">
        <v>0</v>
      </c>
      <c r="BP392" s="389">
        <v>0</v>
      </c>
      <c r="BQ392" s="389">
        <v>0</v>
      </c>
      <c r="BR392" s="389">
        <v>0</v>
      </c>
      <c r="BS392" s="296">
        <v>0</v>
      </c>
      <c r="BT392" s="296">
        <v>0</v>
      </c>
      <c r="BU392" s="296">
        <v>0</v>
      </c>
      <c r="BV392" s="409">
        <v>0</v>
      </c>
      <c r="BW392" s="296">
        <f t="shared" si="1493"/>
        <v>0</v>
      </c>
      <c r="BX392" s="439" t="s">
        <v>347</v>
      </c>
    </row>
    <row r="393" spans="1:76" ht="197.1" hidden="1" customHeight="1" outlineLevel="1" x14ac:dyDescent="0.25">
      <c r="A393" s="678">
        <v>3</v>
      </c>
      <c r="B393" s="702" t="s">
        <v>72</v>
      </c>
      <c r="C393" s="694" t="s">
        <v>72</v>
      </c>
      <c r="D393" s="86">
        <v>43928</v>
      </c>
      <c r="E393" s="463" t="s">
        <v>76</v>
      </c>
      <c r="F393" s="542" t="s">
        <v>275</v>
      </c>
      <c r="G393" s="71" t="s">
        <v>138</v>
      </c>
      <c r="H393" s="311" t="s">
        <v>127</v>
      </c>
      <c r="I393" s="335"/>
      <c r="J393" s="294">
        <f t="shared" si="1900"/>
        <v>3.692019578633752E-5</v>
      </c>
      <c r="K393" s="52">
        <f t="shared" si="1901"/>
        <v>3.4332721166816778E-5</v>
      </c>
      <c r="L393" s="52">
        <f t="shared" si="1902"/>
        <v>0</v>
      </c>
      <c r="M393" s="52">
        <f t="shared" si="1903"/>
        <v>0</v>
      </c>
      <c r="N393" s="52">
        <f t="shared" si="1904"/>
        <v>0</v>
      </c>
      <c r="O393" s="52">
        <f t="shared" si="1905"/>
        <v>0</v>
      </c>
      <c r="P393" s="52">
        <f t="shared" si="1906"/>
        <v>0</v>
      </c>
      <c r="Q393" s="52">
        <f t="shared" si="1907"/>
        <v>0</v>
      </c>
      <c r="R393" s="52">
        <f t="shared" si="1908"/>
        <v>0</v>
      </c>
      <c r="S393" s="527">
        <f t="shared" si="1909"/>
        <v>0</v>
      </c>
      <c r="T393" s="533">
        <f t="shared" si="1910"/>
        <v>-3.692019578633752E-5</v>
      </c>
      <c r="U393" s="375">
        <f t="shared" si="1911"/>
        <v>-3.4332721166816778E-5</v>
      </c>
      <c r="V393" s="375">
        <f t="shared" si="1912"/>
        <v>0</v>
      </c>
      <c r="W393" s="386">
        <f t="shared" si="1913"/>
        <v>0</v>
      </c>
      <c r="X393" s="386">
        <f t="shared" si="1914"/>
        <v>0</v>
      </c>
      <c r="Y393" s="386">
        <f t="shared" si="1915"/>
        <v>0</v>
      </c>
      <c r="Z393" s="375">
        <f t="shared" si="1916"/>
        <v>0</v>
      </c>
      <c r="AA393" s="375">
        <f t="shared" si="1917"/>
        <v>0</v>
      </c>
      <c r="AB393" s="386">
        <f t="shared" si="1918"/>
        <v>0</v>
      </c>
      <c r="AC393" s="386">
        <f t="shared" si="1919"/>
        <v>0</v>
      </c>
      <c r="AD393" s="386">
        <f t="shared" si="1920"/>
        <v>0</v>
      </c>
      <c r="AE393" s="386">
        <f t="shared" si="1921"/>
        <v>0</v>
      </c>
      <c r="AF393" s="386">
        <f t="shared" si="1922"/>
        <v>0</v>
      </c>
      <c r="AG393" s="375">
        <f t="shared" si="1923"/>
        <v>0</v>
      </c>
      <c r="AH393" s="375">
        <f t="shared" si="1924"/>
        <v>0</v>
      </c>
      <c r="AI393" s="386">
        <f t="shared" si="1925"/>
        <v>0</v>
      </c>
      <c r="AJ393" s="386">
        <f t="shared" si="1926"/>
        <v>0</v>
      </c>
      <c r="AK393" s="386">
        <f t="shared" si="1927"/>
        <v>0</v>
      </c>
      <c r="AL393" s="377">
        <f t="shared" si="1928"/>
        <v>0</v>
      </c>
      <c r="AM393" s="377">
        <f t="shared" si="1929"/>
        <v>0</v>
      </c>
      <c r="AN393" s="377">
        <f t="shared" si="1930"/>
        <v>0</v>
      </c>
      <c r="AO393" s="283"/>
      <c r="AP393" s="295">
        <f t="shared" si="1931"/>
        <v>1.0400769999999999</v>
      </c>
      <c r="AQ393" s="183">
        <f t="shared" si="1932"/>
        <v>1.0409280000000001</v>
      </c>
      <c r="AR393" s="94">
        <f t="shared" si="1932"/>
        <v>1.0400769999999999</v>
      </c>
      <c r="AS393" s="94">
        <v>0</v>
      </c>
      <c r="AT393" s="94">
        <v>0</v>
      </c>
      <c r="AU393" s="94">
        <v>0</v>
      </c>
      <c r="AV393" s="94">
        <v>0</v>
      </c>
      <c r="AW393" s="94">
        <v>0</v>
      </c>
      <c r="AX393" s="94">
        <v>0</v>
      </c>
      <c r="AY393" s="94">
        <v>0</v>
      </c>
      <c r="AZ393" s="433">
        <v>0</v>
      </c>
      <c r="BA393" s="657">
        <v>-1.0409280000000001</v>
      </c>
      <c r="BB393" s="327">
        <v>-1.0400769999999999</v>
      </c>
      <c r="BC393" s="207">
        <v>0</v>
      </c>
      <c r="BD393" s="132">
        <v>0</v>
      </c>
      <c r="BE393" s="132">
        <v>0</v>
      </c>
      <c r="BF393" s="132">
        <v>0</v>
      </c>
      <c r="BG393" s="207">
        <v>0</v>
      </c>
      <c r="BH393" s="207">
        <v>0</v>
      </c>
      <c r="BI393" s="132">
        <v>0</v>
      </c>
      <c r="BJ393" s="132">
        <v>0</v>
      </c>
      <c r="BK393" s="132">
        <v>0</v>
      </c>
      <c r="BL393" s="132">
        <v>0</v>
      </c>
      <c r="BM393" s="132">
        <v>0</v>
      </c>
      <c r="BN393" s="409">
        <v>0</v>
      </c>
      <c r="BO393" s="207">
        <v>0</v>
      </c>
      <c r="BP393" s="389">
        <v>0</v>
      </c>
      <c r="BQ393" s="389">
        <v>0</v>
      </c>
      <c r="BR393" s="389">
        <v>0</v>
      </c>
      <c r="BS393" s="296">
        <v>0</v>
      </c>
      <c r="BT393" s="296">
        <v>0</v>
      </c>
      <c r="BU393" s="296">
        <v>0</v>
      </c>
      <c r="BV393" s="409">
        <v>0</v>
      </c>
      <c r="BW393" s="296">
        <f t="shared" si="1493"/>
        <v>0</v>
      </c>
      <c r="BX393" s="439" t="s">
        <v>298</v>
      </c>
    </row>
    <row r="394" spans="1:76" ht="72.599999999999994" hidden="1" customHeight="1" outlineLevel="1" x14ac:dyDescent="0.25">
      <c r="A394" s="678">
        <v>4</v>
      </c>
      <c r="B394" s="702" t="s">
        <v>72</v>
      </c>
      <c r="C394" s="694" t="s">
        <v>72</v>
      </c>
      <c r="D394" s="86">
        <v>43928</v>
      </c>
      <c r="E394" s="463" t="s">
        <v>76</v>
      </c>
      <c r="F394" s="559" t="s">
        <v>317</v>
      </c>
      <c r="G394" s="242" t="s">
        <v>77</v>
      </c>
      <c r="H394" s="311" t="s">
        <v>127</v>
      </c>
      <c r="I394" s="335"/>
      <c r="J394" s="294">
        <f t="shared" si="1900"/>
        <v>3.5468539405547281E-5</v>
      </c>
      <c r="K394" s="52">
        <f t="shared" si="1901"/>
        <v>3.3009787897258357E-5</v>
      </c>
      <c r="L394" s="52">
        <f t="shared" si="1902"/>
        <v>0</v>
      </c>
      <c r="M394" s="52">
        <f t="shared" si="1903"/>
        <v>0</v>
      </c>
      <c r="N394" s="52">
        <f t="shared" si="1904"/>
        <v>0</v>
      </c>
      <c r="O394" s="52">
        <f t="shared" si="1905"/>
        <v>0</v>
      </c>
      <c r="P394" s="52">
        <f t="shared" si="1906"/>
        <v>0</v>
      </c>
      <c r="Q394" s="52">
        <f t="shared" si="1907"/>
        <v>0</v>
      </c>
      <c r="R394" s="52">
        <f t="shared" si="1908"/>
        <v>0</v>
      </c>
      <c r="S394" s="527">
        <f t="shared" si="1909"/>
        <v>0</v>
      </c>
      <c r="T394" s="533">
        <f t="shared" si="1910"/>
        <v>-3.5468539405547281E-5</v>
      </c>
      <c r="U394" s="375">
        <f t="shared" si="1911"/>
        <v>-3.3009787897258357E-5</v>
      </c>
      <c r="V394" s="375">
        <f t="shared" si="1912"/>
        <v>0</v>
      </c>
      <c r="W394" s="386">
        <f t="shared" si="1913"/>
        <v>0</v>
      </c>
      <c r="X394" s="386">
        <f t="shared" si="1914"/>
        <v>0</v>
      </c>
      <c r="Y394" s="386">
        <f t="shared" si="1915"/>
        <v>0</v>
      </c>
      <c r="Z394" s="375">
        <f t="shared" si="1916"/>
        <v>0</v>
      </c>
      <c r="AA394" s="375">
        <f t="shared" si="1917"/>
        <v>0</v>
      </c>
      <c r="AB394" s="386">
        <f t="shared" si="1918"/>
        <v>0</v>
      </c>
      <c r="AC394" s="386">
        <f t="shared" si="1919"/>
        <v>0</v>
      </c>
      <c r="AD394" s="386">
        <f t="shared" si="1920"/>
        <v>0</v>
      </c>
      <c r="AE394" s="386">
        <f t="shared" si="1921"/>
        <v>0</v>
      </c>
      <c r="AF394" s="386">
        <f t="shared" si="1922"/>
        <v>0</v>
      </c>
      <c r="AG394" s="375">
        <f t="shared" si="1923"/>
        <v>0</v>
      </c>
      <c r="AH394" s="375">
        <f t="shared" si="1924"/>
        <v>0</v>
      </c>
      <c r="AI394" s="386">
        <f t="shared" si="1925"/>
        <v>0</v>
      </c>
      <c r="AJ394" s="386">
        <f t="shared" si="1926"/>
        <v>0</v>
      </c>
      <c r="AK394" s="386">
        <f t="shared" si="1927"/>
        <v>0</v>
      </c>
      <c r="AL394" s="377">
        <f t="shared" si="1928"/>
        <v>0</v>
      </c>
      <c r="AM394" s="377">
        <f t="shared" si="1929"/>
        <v>0</v>
      </c>
      <c r="AN394" s="377">
        <f t="shared" si="1930"/>
        <v>0</v>
      </c>
      <c r="AO394" s="283"/>
      <c r="AP394" s="295">
        <f t="shared" si="1931"/>
        <v>1</v>
      </c>
      <c r="AQ394" s="183">
        <f t="shared" si="1932"/>
        <v>1</v>
      </c>
      <c r="AR394" s="94">
        <f t="shared" si="1932"/>
        <v>1</v>
      </c>
      <c r="AS394" s="94">
        <f t="shared" si="1932"/>
        <v>0</v>
      </c>
      <c r="AT394" s="94">
        <f t="shared" ref="AT394:AT403" si="1933">-BC394</f>
        <v>0</v>
      </c>
      <c r="AU394" s="94">
        <f t="shared" ref="AU394:AU403" si="1934">-BG394</f>
        <v>0</v>
      </c>
      <c r="AV394" s="94">
        <f t="shared" ref="AV394:AV403" si="1935">-BH394</f>
        <v>0</v>
      </c>
      <c r="AW394" s="94">
        <f t="shared" ref="AW394:AW403" si="1936">-BH394</f>
        <v>0</v>
      </c>
      <c r="AX394" s="94">
        <f t="shared" ref="AX394:AX403" si="1937">-BN394</f>
        <v>0</v>
      </c>
      <c r="AY394" s="94">
        <f t="shared" ref="AY394:AY403" si="1938">-BO394</f>
        <v>0</v>
      </c>
      <c r="AZ394" s="433">
        <f t="shared" ref="AZ394:AZ400" si="1939">-BU394</f>
        <v>0</v>
      </c>
      <c r="BA394" s="657">
        <v>-1</v>
      </c>
      <c r="BB394" s="327">
        <v>-1</v>
      </c>
      <c r="BC394" s="207">
        <v>0</v>
      </c>
      <c r="BD394" s="132">
        <v>0</v>
      </c>
      <c r="BE394" s="132">
        <v>0</v>
      </c>
      <c r="BF394" s="132">
        <v>0</v>
      </c>
      <c r="BG394" s="207">
        <v>0</v>
      </c>
      <c r="BH394" s="207">
        <v>0</v>
      </c>
      <c r="BI394" s="132">
        <v>0</v>
      </c>
      <c r="BJ394" s="132">
        <v>0</v>
      </c>
      <c r="BK394" s="132">
        <v>0</v>
      </c>
      <c r="BL394" s="132">
        <v>0</v>
      </c>
      <c r="BM394" s="132">
        <v>0</v>
      </c>
      <c r="BN394" s="409">
        <v>0</v>
      </c>
      <c r="BO394" s="207">
        <v>0</v>
      </c>
      <c r="BP394" s="389">
        <v>0</v>
      </c>
      <c r="BQ394" s="389">
        <v>0</v>
      </c>
      <c r="BR394" s="389">
        <v>0</v>
      </c>
      <c r="BS394" s="296">
        <v>0</v>
      </c>
      <c r="BT394" s="296">
        <v>0</v>
      </c>
      <c r="BU394" s="296">
        <v>0</v>
      </c>
      <c r="BV394" s="409">
        <v>0</v>
      </c>
      <c r="BW394" s="296">
        <f t="shared" si="1493"/>
        <v>0</v>
      </c>
      <c r="BX394" s="439" t="s">
        <v>141</v>
      </c>
    </row>
    <row r="395" spans="1:76" ht="43.5" hidden="1" customHeight="1" outlineLevel="1" x14ac:dyDescent="0.25">
      <c r="A395" s="678">
        <v>5</v>
      </c>
      <c r="B395" s="702" t="s">
        <v>72</v>
      </c>
      <c r="C395" s="694" t="s">
        <v>72</v>
      </c>
      <c r="D395" s="86">
        <v>43938</v>
      </c>
      <c r="E395" s="477" t="s">
        <v>146</v>
      </c>
      <c r="F395" s="559" t="s">
        <v>230</v>
      </c>
      <c r="G395" s="71" t="s">
        <v>138</v>
      </c>
      <c r="H395" s="311" t="s">
        <v>127</v>
      </c>
      <c r="I395" s="335"/>
      <c r="J395" s="294">
        <f t="shared" si="1900"/>
        <v>5.4945023763921396E-6</v>
      </c>
      <c r="K395" s="52">
        <f t="shared" si="1901"/>
        <v>5.1136122627400868E-6</v>
      </c>
      <c r="L395" s="52">
        <f t="shared" si="1902"/>
        <v>0</v>
      </c>
      <c r="M395" s="52">
        <f t="shared" si="1903"/>
        <v>0</v>
      </c>
      <c r="N395" s="52">
        <f t="shared" si="1904"/>
        <v>0</v>
      </c>
      <c r="O395" s="52">
        <f t="shared" si="1905"/>
        <v>0</v>
      </c>
      <c r="P395" s="52">
        <f t="shared" si="1906"/>
        <v>0</v>
      </c>
      <c r="Q395" s="52">
        <f t="shared" si="1907"/>
        <v>0</v>
      </c>
      <c r="R395" s="52">
        <f t="shared" si="1908"/>
        <v>0</v>
      </c>
      <c r="S395" s="527">
        <f t="shared" si="1909"/>
        <v>0</v>
      </c>
      <c r="T395" s="533">
        <f t="shared" si="1910"/>
        <v>-5.4945023763921396E-6</v>
      </c>
      <c r="U395" s="375">
        <f t="shared" si="1911"/>
        <v>-5.1136122627400868E-6</v>
      </c>
      <c r="V395" s="375">
        <f t="shared" si="1912"/>
        <v>0</v>
      </c>
      <c r="W395" s="386">
        <f t="shared" si="1913"/>
        <v>0</v>
      </c>
      <c r="X395" s="386">
        <f t="shared" si="1914"/>
        <v>0</v>
      </c>
      <c r="Y395" s="386">
        <f t="shared" si="1915"/>
        <v>0</v>
      </c>
      <c r="Z395" s="375">
        <f t="shared" si="1916"/>
        <v>0</v>
      </c>
      <c r="AA395" s="375">
        <f t="shared" si="1917"/>
        <v>0</v>
      </c>
      <c r="AB395" s="386">
        <f t="shared" si="1918"/>
        <v>0</v>
      </c>
      <c r="AC395" s="386">
        <f t="shared" si="1919"/>
        <v>0</v>
      </c>
      <c r="AD395" s="386">
        <f t="shared" si="1920"/>
        <v>0</v>
      </c>
      <c r="AE395" s="386">
        <f t="shared" si="1921"/>
        <v>0</v>
      </c>
      <c r="AF395" s="386">
        <f t="shared" si="1922"/>
        <v>0</v>
      </c>
      <c r="AG395" s="375">
        <f t="shared" si="1923"/>
        <v>0</v>
      </c>
      <c r="AH395" s="375">
        <f t="shared" si="1924"/>
        <v>0</v>
      </c>
      <c r="AI395" s="386">
        <f t="shared" si="1925"/>
        <v>0</v>
      </c>
      <c r="AJ395" s="386">
        <f t="shared" si="1926"/>
        <v>0</v>
      </c>
      <c r="AK395" s="386">
        <f t="shared" si="1927"/>
        <v>0</v>
      </c>
      <c r="AL395" s="377">
        <f t="shared" si="1928"/>
        <v>0</v>
      </c>
      <c r="AM395" s="377">
        <f t="shared" si="1929"/>
        <v>0</v>
      </c>
      <c r="AN395" s="377">
        <f t="shared" si="1930"/>
        <v>0</v>
      </c>
      <c r="AO395" s="283"/>
      <c r="AP395" s="295">
        <f t="shared" si="1931"/>
        <v>0.15491199999999999</v>
      </c>
      <c r="AQ395" s="183">
        <f t="shared" si="1932"/>
        <v>0.15491199999999999</v>
      </c>
      <c r="AR395" s="94">
        <f t="shared" si="1932"/>
        <v>0.15491199999999999</v>
      </c>
      <c r="AS395" s="94">
        <f t="shared" si="1932"/>
        <v>0</v>
      </c>
      <c r="AT395" s="94">
        <f t="shared" si="1933"/>
        <v>0</v>
      </c>
      <c r="AU395" s="94">
        <f t="shared" si="1934"/>
        <v>0</v>
      </c>
      <c r="AV395" s="94">
        <f t="shared" si="1935"/>
        <v>0</v>
      </c>
      <c r="AW395" s="94">
        <f t="shared" si="1936"/>
        <v>0</v>
      </c>
      <c r="AX395" s="94">
        <f t="shared" si="1937"/>
        <v>0</v>
      </c>
      <c r="AY395" s="94">
        <f t="shared" si="1938"/>
        <v>0</v>
      </c>
      <c r="AZ395" s="433">
        <f t="shared" si="1939"/>
        <v>0</v>
      </c>
      <c r="BA395" s="657">
        <v>-0.15491199999999999</v>
      </c>
      <c r="BB395" s="327">
        <v>-0.15491199999999999</v>
      </c>
      <c r="BC395" s="207">
        <v>0</v>
      </c>
      <c r="BD395" s="132">
        <v>0</v>
      </c>
      <c r="BE395" s="132">
        <v>0</v>
      </c>
      <c r="BF395" s="132">
        <v>0</v>
      </c>
      <c r="BG395" s="207">
        <v>0</v>
      </c>
      <c r="BH395" s="207">
        <v>0</v>
      </c>
      <c r="BI395" s="132">
        <v>0</v>
      </c>
      <c r="BJ395" s="132">
        <v>0</v>
      </c>
      <c r="BK395" s="132">
        <v>0</v>
      </c>
      <c r="BL395" s="132">
        <v>0</v>
      </c>
      <c r="BM395" s="132">
        <v>0</v>
      </c>
      <c r="BN395" s="409">
        <v>0</v>
      </c>
      <c r="BO395" s="207">
        <v>0</v>
      </c>
      <c r="BP395" s="389">
        <v>0</v>
      </c>
      <c r="BQ395" s="389">
        <v>0</v>
      </c>
      <c r="BR395" s="389">
        <v>0</v>
      </c>
      <c r="BS395" s="296">
        <v>0</v>
      </c>
      <c r="BT395" s="296">
        <v>0</v>
      </c>
      <c r="BU395" s="296">
        <v>0</v>
      </c>
      <c r="BV395" s="409">
        <v>0</v>
      </c>
      <c r="BW395" s="296">
        <f t="shared" si="1493"/>
        <v>0</v>
      </c>
      <c r="BX395" s="439" t="s">
        <v>39</v>
      </c>
    </row>
    <row r="396" spans="1:76" ht="101.45" hidden="1" customHeight="1" outlineLevel="1" x14ac:dyDescent="0.25">
      <c r="A396" s="678">
        <v>6</v>
      </c>
      <c r="B396" s="702" t="s">
        <v>72</v>
      </c>
      <c r="C396" s="694" t="s">
        <v>72</v>
      </c>
      <c r="D396" s="86">
        <v>44123</v>
      </c>
      <c r="E396" s="463" t="s">
        <v>386</v>
      </c>
      <c r="F396" s="544" t="s">
        <v>385</v>
      </c>
      <c r="G396" s="242" t="s">
        <v>77</v>
      </c>
      <c r="H396" s="311" t="s">
        <v>129</v>
      </c>
      <c r="I396" s="335"/>
      <c r="J396" s="294">
        <f t="shared" si="1900"/>
        <v>1.0970419238135772E-6</v>
      </c>
      <c r="K396" s="52">
        <f t="shared" si="1901"/>
        <v>1.0209927396622009E-6</v>
      </c>
      <c r="L396" s="52">
        <f t="shared" si="1902"/>
        <v>0</v>
      </c>
      <c r="M396" s="52">
        <f t="shared" si="1903"/>
        <v>0</v>
      </c>
      <c r="N396" s="52">
        <f t="shared" si="1904"/>
        <v>0</v>
      </c>
      <c r="O396" s="52">
        <f t="shared" si="1905"/>
        <v>0</v>
      </c>
      <c r="P396" s="52">
        <f t="shared" si="1906"/>
        <v>0</v>
      </c>
      <c r="Q396" s="52">
        <f t="shared" si="1907"/>
        <v>0</v>
      </c>
      <c r="R396" s="52">
        <f t="shared" si="1908"/>
        <v>0</v>
      </c>
      <c r="S396" s="527">
        <f t="shared" si="1909"/>
        <v>0</v>
      </c>
      <c r="T396" s="533">
        <f t="shared" si="1910"/>
        <v>-1.0970419238135772E-6</v>
      </c>
      <c r="U396" s="375">
        <f t="shared" si="1911"/>
        <v>-1.0209927396622009E-6</v>
      </c>
      <c r="V396" s="375">
        <f t="shared" si="1912"/>
        <v>0</v>
      </c>
      <c r="W396" s="386">
        <f t="shared" si="1913"/>
        <v>0</v>
      </c>
      <c r="X396" s="386">
        <f t="shared" si="1914"/>
        <v>0</v>
      </c>
      <c r="Y396" s="386">
        <f t="shared" si="1915"/>
        <v>0</v>
      </c>
      <c r="Z396" s="375">
        <f t="shared" si="1916"/>
        <v>0</v>
      </c>
      <c r="AA396" s="375">
        <f t="shared" si="1917"/>
        <v>0</v>
      </c>
      <c r="AB396" s="386">
        <f t="shared" si="1918"/>
        <v>0</v>
      </c>
      <c r="AC396" s="386">
        <f t="shared" si="1919"/>
        <v>0</v>
      </c>
      <c r="AD396" s="386">
        <f t="shared" si="1920"/>
        <v>0</v>
      </c>
      <c r="AE396" s="386">
        <f t="shared" si="1921"/>
        <v>0</v>
      </c>
      <c r="AF396" s="386">
        <f t="shared" si="1922"/>
        <v>0</v>
      </c>
      <c r="AG396" s="375">
        <f t="shared" si="1923"/>
        <v>0</v>
      </c>
      <c r="AH396" s="375">
        <f t="shared" si="1924"/>
        <v>0</v>
      </c>
      <c r="AI396" s="386">
        <f t="shared" si="1925"/>
        <v>0</v>
      </c>
      <c r="AJ396" s="386">
        <f t="shared" si="1926"/>
        <v>0</v>
      </c>
      <c r="AK396" s="386">
        <f t="shared" si="1927"/>
        <v>0</v>
      </c>
      <c r="AL396" s="377">
        <f t="shared" si="1928"/>
        <v>0</v>
      </c>
      <c r="AM396" s="377">
        <f t="shared" si="1929"/>
        <v>0</v>
      </c>
      <c r="AN396" s="377">
        <f t="shared" si="1930"/>
        <v>0</v>
      </c>
      <c r="AO396" s="283"/>
      <c r="AP396" s="295">
        <f t="shared" si="1931"/>
        <v>3.0929999999999999E-2</v>
      </c>
      <c r="AQ396" s="183">
        <f t="shared" si="1932"/>
        <v>3.0929999999999999E-2</v>
      </c>
      <c r="AR396" s="94">
        <f t="shared" si="1932"/>
        <v>3.0929999999999999E-2</v>
      </c>
      <c r="AS396" s="94">
        <f t="shared" si="1932"/>
        <v>0</v>
      </c>
      <c r="AT396" s="94">
        <f t="shared" si="1933"/>
        <v>0</v>
      </c>
      <c r="AU396" s="94">
        <f t="shared" si="1934"/>
        <v>0</v>
      </c>
      <c r="AV396" s="94">
        <f t="shared" si="1935"/>
        <v>0</v>
      </c>
      <c r="AW396" s="94">
        <f t="shared" si="1936"/>
        <v>0</v>
      </c>
      <c r="AX396" s="94">
        <f t="shared" si="1937"/>
        <v>0</v>
      </c>
      <c r="AY396" s="94">
        <f t="shared" si="1938"/>
        <v>0</v>
      </c>
      <c r="AZ396" s="433">
        <f t="shared" si="1939"/>
        <v>0</v>
      </c>
      <c r="BA396" s="657">
        <v>-3.0929999999999999E-2</v>
      </c>
      <c r="BB396" s="327">
        <v>-3.0929999999999999E-2</v>
      </c>
      <c r="BC396" s="207">
        <v>0</v>
      </c>
      <c r="BD396" s="132">
        <v>0</v>
      </c>
      <c r="BE396" s="132">
        <v>0</v>
      </c>
      <c r="BF396" s="132">
        <v>0</v>
      </c>
      <c r="BG396" s="207">
        <v>0</v>
      </c>
      <c r="BH396" s="207">
        <v>0</v>
      </c>
      <c r="BI396" s="132">
        <v>0</v>
      </c>
      <c r="BJ396" s="132">
        <v>0</v>
      </c>
      <c r="BK396" s="132">
        <v>0</v>
      </c>
      <c r="BL396" s="132">
        <v>0</v>
      </c>
      <c r="BM396" s="132">
        <v>0</v>
      </c>
      <c r="BN396" s="409">
        <v>0</v>
      </c>
      <c r="BO396" s="207">
        <v>0</v>
      </c>
      <c r="BP396" s="389">
        <v>0</v>
      </c>
      <c r="BQ396" s="389">
        <v>0</v>
      </c>
      <c r="BR396" s="389">
        <v>0</v>
      </c>
      <c r="BS396" s="296">
        <v>0</v>
      </c>
      <c r="BT396" s="296">
        <v>0</v>
      </c>
      <c r="BU396" s="296">
        <v>0</v>
      </c>
      <c r="BV396" s="409">
        <v>0</v>
      </c>
      <c r="BW396" s="296">
        <f t="shared" si="1493"/>
        <v>0</v>
      </c>
      <c r="BX396" s="439" t="s">
        <v>384</v>
      </c>
    </row>
    <row r="397" spans="1:76" ht="43.5" hidden="1" customHeight="1" outlineLevel="1" x14ac:dyDescent="0.25">
      <c r="A397" s="678">
        <v>7</v>
      </c>
      <c r="B397" s="702" t="s">
        <v>72</v>
      </c>
      <c r="C397" s="694" t="s">
        <v>72</v>
      </c>
      <c r="D397" s="63" t="s">
        <v>714</v>
      </c>
      <c r="E397" s="463" t="s">
        <v>715</v>
      </c>
      <c r="F397" s="542" t="s">
        <v>514</v>
      </c>
      <c r="G397" s="71" t="s">
        <v>192</v>
      </c>
      <c r="H397" s="311" t="s">
        <v>129</v>
      </c>
      <c r="I397" s="335"/>
      <c r="J397" s="294">
        <f t="shared" si="1900"/>
        <v>1.5793431226502092E-6</v>
      </c>
      <c r="K397" s="52">
        <f t="shared" si="1901"/>
        <v>0</v>
      </c>
      <c r="L397" s="52">
        <f t="shared" si="1902"/>
        <v>1.4369490695396669E-6</v>
      </c>
      <c r="M397" s="52">
        <f t="shared" si="1903"/>
        <v>1.4968742008599761E-6</v>
      </c>
      <c r="N397" s="52">
        <f t="shared" si="1904"/>
        <v>1.3977786252471486E-6</v>
      </c>
      <c r="O397" s="52">
        <f t="shared" si="1905"/>
        <v>0</v>
      </c>
      <c r="P397" s="52">
        <f t="shared" si="1906"/>
        <v>0</v>
      </c>
      <c r="Q397" s="52">
        <f t="shared" si="1907"/>
        <v>0</v>
      </c>
      <c r="R397" s="52">
        <f t="shared" si="1908"/>
        <v>0</v>
      </c>
      <c r="S397" s="527">
        <f t="shared" si="1909"/>
        <v>0</v>
      </c>
      <c r="T397" s="533">
        <f t="shared" si="1910"/>
        <v>-1.5793431226502092E-6</v>
      </c>
      <c r="U397" s="375">
        <f t="shared" si="1911"/>
        <v>0</v>
      </c>
      <c r="V397" s="375">
        <f t="shared" si="1912"/>
        <v>-1.4369490695396669E-6</v>
      </c>
      <c r="W397" s="386">
        <f t="shared" si="1913"/>
        <v>-1.5328008091111043E-6</v>
      </c>
      <c r="X397" s="386">
        <f t="shared" si="1914"/>
        <v>-1.4968742008599761E-6</v>
      </c>
      <c r="Y397" s="386">
        <f t="shared" si="1915"/>
        <v>-1.4968742008599761E-6</v>
      </c>
      <c r="Z397" s="375">
        <f t="shared" si="1916"/>
        <v>-1.3977786252471486E-6</v>
      </c>
      <c r="AA397" s="375">
        <f t="shared" si="1917"/>
        <v>0</v>
      </c>
      <c r="AB397" s="386">
        <f t="shared" si="1918"/>
        <v>0</v>
      </c>
      <c r="AC397" s="386">
        <f t="shared" si="1919"/>
        <v>0</v>
      </c>
      <c r="AD397" s="386">
        <f t="shared" si="1920"/>
        <v>0</v>
      </c>
      <c r="AE397" s="386">
        <f t="shared" si="1921"/>
        <v>0</v>
      </c>
      <c r="AF397" s="386">
        <f t="shared" si="1922"/>
        <v>0</v>
      </c>
      <c r="AG397" s="375">
        <f t="shared" si="1923"/>
        <v>0</v>
      </c>
      <c r="AH397" s="375">
        <f t="shared" si="1924"/>
        <v>0</v>
      </c>
      <c r="AI397" s="386">
        <f t="shared" si="1925"/>
        <v>0</v>
      </c>
      <c r="AJ397" s="386">
        <f t="shared" si="1926"/>
        <v>0</v>
      </c>
      <c r="AK397" s="386">
        <f t="shared" si="1927"/>
        <v>0</v>
      </c>
      <c r="AL397" s="377">
        <f t="shared" si="1928"/>
        <v>0</v>
      </c>
      <c r="AM397" s="377">
        <f t="shared" si="1929"/>
        <v>0</v>
      </c>
      <c r="AN397" s="377">
        <f t="shared" si="1930"/>
        <v>0</v>
      </c>
      <c r="AO397" s="283"/>
      <c r="AP397" s="295">
        <f t="shared" si="1931"/>
        <v>4.6947999999999997E-2</v>
      </c>
      <c r="AQ397" s="20">
        <f t="shared" si="1932"/>
        <v>4.4527999999999998E-2</v>
      </c>
      <c r="AR397" s="95">
        <f t="shared" si="1932"/>
        <v>0</v>
      </c>
      <c r="AS397" s="94">
        <f t="shared" si="1932"/>
        <v>4.6947999999999997E-2</v>
      </c>
      <c r="AT397" s="94">
        <f t="shared" si="1933"/>
        <v>4.6947999999999997E-2</v>
      </c>
      <c r="AU397" s="94">
        <f t="shared" si="1934"/>
        <v>4.6947999999999997E-2</v>
      </c>
      <c r="AV397" s="94">
        <f t="shared" si="1935"/>
        <v>0</v>
      </c>
      <c r="AW397" s="94">
        <f t="shared" si="1936"/>
        <v>0</v>
      </c>
      <c r="AX397" s="94">
        <f t="shared" si="1937"/>
        <v>0</v>
      </c>
      <c r="AY397" s="94">
        <f t="shared" si="1938"/>
        <v>0</v>
      </c>
      <c r="AZ397" s="433">
        <f t="shared" si="1939"/>
        <v>0</v>
      </c>
      <c r="BA397" s="657">
        <v>-4.4527999999999998E-2</v>
      </c>
      <c r="BB397" s="327">
        <v>0</v>
      </c>
      <c r="BC397" s="207">
        <v>-4.6947999999999997E-2</v>
      </c>
      <c r="BD397" s="132">
        <v>-4.6947999999999997E-2</v>
      </c>
      <c r="BE397" s="132">
        <v>-4.6947999999999997E-2</v>
      </c>
      <c r="BF397" s="132">
        <v>-4.6947999999999997E-2</v>
      </c>
      <c r="BG397" s="207">
        <v>-4.6947999999999997E-2</v>
      </c>
      <c r="BH397" s="207">
        <v>0</v>
      </c>
      <c r="BI397" s="132">
        <v>0</v>
      </c>
      <c r="BJ397" s="132">
        <v>0</v>
      </c>
      <c r="BK397" s="132">
        <v>0</v>
      </c>
      <c r="BL397" s="132">
        <v>0</v>
      </c>
      <c r="BM397" s="132">
        <v>0</v>
      </c>
      <c r="BN397" s="409">
        <v>0</v>
      </c>
      <c r="BO397" s="207">
        <v>0</v>
      </c>
      <c r="BP397" s="389">
        <v>0</v>
      </c>
      <c r="BQ397" s="389">
        <v>0</v>
      </c>
      <c r="BR397" s="389">
        <v>0</v>
      </c>
      <c r="BS397" s="296">
        <v>0</v>
      </c>
      <c r="BT397" s="296">
        <v>0</v>
      </c>
      <c r="BU397" s="296">
        <v>0</v>
      </c>
      <c r="BV397" s="409">
        <v>0</v>
      </c>
      <c r="BW397" s="296">
        <f t="shared" si="1493"/>
        <v>0</v>
      </c>
      <c r="BX397" s="442" t="s">
        <v>716</v>
      </c>
    </row>
    <row r="398" spans="1:76" ht="96.6" hidden="1" customHeight="1" outlineLevel="1" x14ac:dyDescent="0.25">
      <c r="A398" s="678">
        <v>8</v>
      </c>
      <c r="B398" s="702" t="s">
        <v>72</v>
      </c>
      <c r="C398" s="694" t="s">
        <v>72</v>
      </c>
      <c r="D398" s="63">
        <v>44253</v>
      </c>
      <c r="E398" s="463" t="s">
        <v>1154</v>
      </c>
      <c r="F398" s="542" t="s">
        <v>1152</v>
      </c>
      <c r="G398" s="71" t="s">
        <v>211</v>
      </c>
      <c r="H398" s="311" t="s">
        <v>127</v>
      </c>
      <c r="I398" s="335"/>
      <c r="J398" s="294">
        <f t="shared" si="1900"/>
        <v>0</v>
      </c>
      <c r="K398" s="52">
        <f t="shared" si="1901"/>
        <v>0</v>
      </c>
      <c r="L398" s="52">
        <f t="shared" si="1902"/>
        <v>9.9729646180215462E-5</v>
      </c>
      <c r="M398" s="52">
        <f t="shared" si="1903"/>
        <v>1.0388867468760156E-4</v>
      </c>
      <c r="N398" s="52">
        <f t="shared" si="1904"/>
        <v>9.3870326289370259E-5</v>
      </c>
      <c r="O398" s="52">
        <f t="shared" si="1905"/>
        <v>0</v>
      </c>
      <c r="P398" s="52">
        <f t="shared" si="1906"/>
        <v>0</v>
      </c>
      <c r="Q398" s="52">
        <f t="shared" si="1907"/>
        <v>0</v>
      </c>
      <c r="R398" s="52">
        <f t="shared" si="1908"/>
        <v>0</v>
      </c>
      <c r="S398" s="527">
        <f t="shared" si="1909"/>
        <v>0</v>
      </c>
      <c r="T398" s="533">
        <f t="shared" si="1910"/>
        <v>0</v>
      </c>
      <c r="U398" s="375">
        <f t="shared" si="1911"/>
        <v>0</v>
      </c>
      <c r="V398" s="375">
        <f t="shared" si="1912"/>
        <v>-9.9729646180215462E-5</v>
      </c>
      <c r="W398" s="386">
        <f t="shared" si="1913"/>
        <v>-1.0638211582987393E-4</v>
      </c>
      <c r="X398" s="386">
        <f t="shared" si="1914"/>
        <v>-1.0388867468760156E-4</v>
      </c>
      <c r="Y398" s="386">
        <f t="shared" si="1915"/>
        <v>-1.0388867468760156E-4</v>
      </c>
      <c r="Z398" s="375">
        <f t="shared" si="1916"/>
        <v>-9.3870326289370259E-5</v>
      </c>
      <c r="AA398" s="375">
        <f t="shared" si="1917"/>
        <v>0</v>
      </c>
      <c r="AB398" s="386">
        <f t="shared" si="1918"/>
        <v>0</v>
      </c>
      <c r="AC398" s="386">
        <f t="shared" si="1919"/>
        <v>0</v>
      </c>
      <c r="AD398" s="386">
        <f t="shared" si="1920"/>
        <v>0</v>
      </c>
      <c r="AE398" s="386">
        <f t="shared" si="1921"/>
        <v>0</v>
      </c>
      <c r="AF398" s="386">
        <f t="shared" si="1922"/>
        <v>0</v>
      </c>
      <c r="AG398" s="375">
        <f t="shared" si="1923"/>
        <v>0</v>
      </c>
      <c r="AH398" s="375">
        <f t="shared" si="1924"/>
        <v>0</v>
      </c>
      <c r="AI398" s="386">
        <f t="shared" si="1925"/>
        <v>0</v>
      </c>
      <c r="AJ398" s="386">
        <f t="shared" si="1926"/>
        <v>0</v>
      </c>
      <c r="AK398" s="386">
        <f t="shared" si="1927"/>
        <v>0</v>
      </c>
      <c r="AL398" s="377">
        <f t="shared" si="1928"/>
        <v>0</v>
      </c>
      <c r="AM398" s="377">
        <f t="shared" si="1929"/>
        <v>0</v>
      </c>
      <c r="AN398" s="377">
        <f t="shared" si="1930"/>
        <v>0</v>
      </c>
      <c r="AO398" s="283"/>
      <c r="AP398" s="295">
        <f t="shared" si="1931"/>
        <v>3.1528770000000002</v>
      </c>
      <c r="AQ398" s="20">
        <f t="shared" si="1932"/>
        <v>0</v>
      </c>
      <c r="AR398" s="95">
        <f t="shared" si="1932"/>
        <v>0</v>
      </c>
      <c r="AS398" s="94">
        <f t="shared" si="1932"/>
        <v>3.2583669999999998</v>
      </c>
      <c r="AT398" s="94">
        <f t="shared" si="1933"/>
        <v>3.2583669999999998</v>
      </c>
      <c r="AU398" s="94">
        <f t="shared" si="1934"/>
        <v>3.1528770000000002</v>
      </c>
      <c r="AV398" s="94">
        <f t="shared" si="1935"/>
        <v>0</v>
      </c>
      <c r="AW398" s="94">
        <f t="shared" si="1936"/>
        <v>0</v>
      </c>
      <c r="AX398" s="94">
        <f t="shared" si="1937"/>
        <v>0</v>
      </c>
      <c r="AY398" s="94">
        <f t="shared" si="1938"/>
        <v>0</v>
      </c>
      <c r="AZ398" s="433">
        <f t="shared" si="1939"/>
        <v>0</v>
      </c>
      <c r="BA398" s="657">
        <v>0</v>
      </c>
      <c r="BB398" s="327">
        <v>0</v>
      </c>
      <c r="BC398" s="207">
        <v>-3.2583669999999998</v>
      </c>
      <c r="BD398" s="132">
        <v>-3.2583669999999998</v>
      </c>
      <c r="BE398" s="132">
        <v>-3.2583669999999998</v>
      </c>
      <c r="BF398" s="132">
        <v>-3.2583669999999998</v>
      </c>
      <c r="BG398" s="207">
        <f>-3.152877</f>
        <v>-3.1528770000000002</v>
      </c>
      <c r="BH398" s="207">
        <v>0</v>
      </c>
      <c r="BI398" s="132">
        <v>0</v>
      </c>
      <c r="BJ398" s="132">
        <v>0</v>
      </c>
      <c r="BK398" s="132">
        <v>0</v>
      </c>
      <c r="BL398" s="132">
        <v>0</v>
      </c>
      <c r="BM398" s="132">
        <v>0</v>
      </c>
      <c r="BN398" s="409">
        <v>0</v>
      </c>
      <c r="BO398" s="207">
        <v>0</v>
      </c>
      <c r="BP398" s="389">
        <v>0</v>
      </c>
      <c r="BQ398" s="389">
        <v>0</v>
      </c>
      <c r="BR398" s="389">
        <v>0</v>
      </c>
      <c r="BS398" s="296">
        <v>0</v>
      </c>
      <c r="BT398" s="296">
        <v>0</v>
      </c>
      <c r="BU398" s="296">
        <v>0</v>
      </c>
      <c r="BV398" s="409">
        <v>0</v>
      </c>
      <c r="BW398" s="296">
        <f t="shared" si="1493"/>
        <v>0</v>
      </c>
      <c r="BX398" s="326" t="s">
        <v>1153</v>
      </c>
    </row>
    <row r="399" spans="1:76" ht="57.95" hidden="1" customHeight="1" outlineLevel="1" x14ac:dyDescent="0.25">
      <c r="A399" s="678">
        <v>9</v>
      </c>
      <c r="B399" s="702" t="s">
        <v>72</v>
      </c>
      <c r="C399" s="694" t="s">
        <v>72</v>
      </c>
      <c r="D399" s="63">
        <v>44260</v>
      </c>
      <c r="E399" s="463" t="s">
        <v>1189</v>
      </c>
      <c r="F399" s="542" t="s">
        <v>1168</v>
      </c>
      <c r="G399" s="71" t="s">
        <v>216</v>
      </c>
      <c r="H399" s="311" t="s">
        <v>127</v>
      </c>
      <c r="I399" s="335"/>
      <c r="J399" s="294">
        <f t="shared" si="1900"/>
        <v>0</v>
      </c>
      <c r="K399" s="52">
        <f t="shared" si="1901"/>
        <v>0</v>
      </c>
      <c r="L399" s="52">
        <f t="shared" si="1902"/>
        <v>3.6276016160626836E-6</v>
      </c>
      <c r="M399" s="52">
        <f t="shared" si="1903"/>
        <v>3.7788835980260127E-6</v>
      </c>
      <c r="N399" s="52">
        <f t="shared" si="1904"/>
        <v>3.528685410758543E-6</v>
      </c>
      <c r="O399" s="52">
        <f t="shared" si="1905"/>
        <v>0</v>
      </c>
      <c r="P399" s="52">
        <f t="shared" si="1906"/>
        <v>0</v>
      </c>
      <c r="Q399" s="52">
        <f t="shared" si="1907"/>
        <v>0</v>
      </c>
      <c r="R399" s="52">
        <f t="shared" si="1908"/>
        <v>0</v>
      </c>
      <c r="S399" s="527">
        <f t="shared" si="1909"/>
        <v>0</v>
      </c>
      <c r="T399" s="533">
        <f t="shared" si="1910"/>
        <v>0</v>
      </c>
      <c r="U399" s="375">
        <f t="shared" si="1911"/>
        <v>0</v>
      </c>
      <c r="V399" s="375">
        <f t="shared" si="1912"/>
        <v>-3.6276016160626836E-6</v>
      </c>
      <c r="W399" s="386">
        <f t="shared" si="1913"/>
        <v>-3.8695809128537359E-6</v>
      </c>
      <c r="X399" s="386">
        <f t="shared" si="1914"/>
        <v>-3.7788835980260127E-6</v>
      </c>
      <c r="Y399" s="386">
        <f t="shared" si="1915"/>
        <v>-3.7788835980260127E-6</v>
      </c>
      <c r="Z399" s="375">
        <f t="shared" si="1916"/>
        <v>-3.528685410758543E-6</v>
      </c>
      <c r="AA399" s="375">
        <f t="shared" si="1917"/>
        <v>0</v>
      </c>
      <c r="AB399" s="386">
        <f t="shared" si="1918"/>
        <v>0</v>
      </c>
      <c r="AC399" s="386">
        <f t="shared" si="1919"/>
        <v>0</v>
      </c>
      <c r="AD399" s="386">
        <f t="shared" si="1920"/>
        <v>0</v>
      </c>
      <c r="AE399" s="386">
        <f t="shared" si="1921"/>
        <v>0</v>
      </c>
      <c r="AF399" s="386">
        <f t="shared" si="1922"/>
        <v>0</v>
      </c>
      <c r="AG399" s="375">
        <f t="shared" si="1923"/>
        <v>0</v>
      </c>
      <c r="AH399" s="375">
        <f t="shared" si="1924"/>
        <v>0</v>
      </c>
      <c r="AI399" s="386">
        <f t="shared" si="1925"/>
        <v>0</v>
      </c>
      <c r="AJ399" s="386">
        <f t="shared" si="1926"/>
        <v>0</v>
      </c>
      <c r="AK399" s="386">
        <f t="shared" si="1927"/>
        <v>0</v>
      </c>
      <c r="AL399" s="377">
        <f t="shared" si="1928"/>
        <v>0</v>
      </c>
      <c r="AM399" s="377">
        <f t="shared" si="1929"/>
        <v>0</v>
      </c>
      <c r="AN399" s="377">
        <f t="shared" si="1930"/>
        <v>0</v>
      </c>
      <c r="AO399" s="283"/>
      <c r="AP399" s="295">
        <f t="shared" si="1931"/>
        <v>0.11852</v>
      </c>
      <c r="AQ399" s="20">
        <f t="shared" si="1932"/>
        <v>0</v>
      </c>
      <c r="AR399" s="95">
        <f t="shared" si="1932"/>
        <v>0</v>
      </c>
      <c r="AS399" s="94">
        <f t="shared" si="1932"/>
        <v>0.118521</v>
      </c>
      <c r="AT399" s="94">
        <f t="shared" si="1933"/>
        <v>0.118521</v>
      </c>
      <c r="AU399" s="94">
        <f t="shared" si="1934"/>
        <v>0.11852</v>
      </c>
      <c r="AV399" s="94">
        <f t="shared" si="1935"/>
        <v>0</v>
      </c>
      <c r="AW399" s="94">
        <f t="shared" si="1936"/>
        <v>0</v>
      </c>
      <c r="AX399" s="94">
        <f t="shared" si="1937"/>
        <v>0</v>
      </c>
      <c r="AY399" s="94">
        <f t="shared" si="1938"/>
        <v>0</v>
      </c>
      <c r="AZ399" s="433">
        <f t="shared" si="1939"/>
        <v>0</v>
      </c>
      <c r="BA399" s="657">
        <v>0</v>
      </c>
      <c r="BB399" s="327">
        <v>0</v>
      </c>
      <c r="BC399" s="207">
        <v>-0.118521</v>
      </c>
      <c r="BD399" s="132">
        <v>-0.118521</v>
      </c>
      <c r="BE399" s="132">
        <v>-0.118521</v>
      </c>
      <c r="BF399" s="132">
        <v>-0.118521</v>
      </c>
      <c r="BG399" s="207">
        <v>-0.11852</v>
      </c>
      <c r="BH399" s="207">
        <v>0</v>
      </c>
      <c r="BI399" s="132">
        <v>0</v>
      </c>
      <c r="BJ399" s="132">
        <v>0</v>
      </c>
      <c r="BK399" s="132">
        <v>0</v>
      </c>
      <c r="BL399" s="132">
        <v>0</v>
      </c>
      <c r="BM399" s="132">
        <v>0</v>
      </c>
      <c r="BN399" s="409">
        <v>0</v>
      </c>
      <c r="BO399" s="207">
        <v>0</v>
      </c>
      <c r="BP399" s="389">
        <v>0</v>
      </c>
      <c r="BQ399" s="389">
        <v>0</v>
      </c>
      <c r="BR399" s="389">
        <v>0</v>
      </c>
      <c r="BS399" s="296">
        <v>0</v>
      </c>
      <c r="BT399" s="296">
        <v>0</v>
      </c>
      <c r="BU399" s="296">
        <v>0</v>
      </c>
      <c r="BV399" s="409">
        <v>0</v>
      </c>
      <c r="BW399" s="296">
        <f t="shared" si="1493"/>
        <v>0</v>
      </c>
      <c r="BX399" s="452" t="s">
        <v>1169</v>
      </c>
    </row>
    <row r="400" spans="1:76" ht="43.5" hidden="1" customHeight="1" outlineLevel="1" x14ac:dyDescent="0.25">
      <c r="A400" s="678">
        <v>10</v>
      </c>
      <c r="B400" s="702" t="s">
        <v>72</v>
      </c>
      <c r="C400" s="694" t="s">
        <v>72</v>
      </c>
      <c r="D400" s="63">
        <v>44265</v>
      </c>
      <c r="E400" s="463" t="s">
        <v>1198</v>
      </c>
      <c r="F400" s="542" t="s">
        <v>1197</v>
      </c>
      <c r="G400" s="71" t="s">
        <v>28</v>
      </c>
      <c r="H400" s="311" t="s">
        <v>127</v>
      </c>
      <c r="I400" s="335"/>
      <c r="J400" s="294">
        <f t="shared" si="1900"/>
        <v>0</v>
      </c>
      <c r="K400" s="52">
        <f t="shared" si="1901"/>
        <v>0</v>
      </c>
      <c r="L400" s="52">
        <f t="shared" si="1902"/>
        <v>1.0100391772771793E-5</v>
      </c>
      <c r="M400" s="52">
        <f t="shared" si="1903"/>
        <v>1.052160872207106E-5</v>
      </c>
      <c r="N400" s="52">
        <f t="shared" si="1904"/>
        <v>7.0821418834623359E-6</v>
      </c>
      <c r="O400" s="52">
        <f t="shared" si="1905"/>
        <v>0</v>
      </c>
      <c r="P400" s="52">
        <f t="shared" si="1906"/>
        <v>0</v>
      </c>
      <c r="Q400" s="52">
        <f t="shared" si="1907"/>
        <v>0</v>
      </c>
      <c r="R400" s="52">
        <f t="shared" si="1908"/>
        <v>0</v>
      </c>
      <c r="S400" s="527">
        <f t="shared" si="1909"/>
        <v>0</v>
      </c>
      <c r="T400" s="533">
        <f t="shared" si="1910"/>
        <v>0</v>
      </c>
      <c r="U400" s="375">
        <f t="shared" si="1911"/>
        <v>0</v>
      </c>
      <c r="V400" s="375">
        <f t="shared" si="1912"/>
        <v>-1.0100391772771793E-5</v>
      </c>
      <c r="W400" s="386">
        <f t="shared" si="1913"/>
        <v>-1.077413877069661E-5</v>
      </c>
      <c r="X400" s="386">
        <f t="shared" si="1914"/>
        <v>-1.052160872207106E-5</v>
      </c>
      <c r="Y400" s="386">
        <f t="shared" si="1915"/>
        <v>-1.052160872207106E-5</v>
      </c>
      <c r="Z400" s="375">
        <f t="shared" si="1916"/>
        <v>-7.0821418834623359E-6</v>
      </c>
      <c r="AA400" s="375">
        <f t="shared" si="1917"/>
        <v>0</v>
      </c>
      <c r="AB400" s="386">
        <f t="shared" si="1918"/>
        <v>0</v>
      </c>
      <c r="AC400" s="386">
        <f t="shared" si="1919"/>
        <v>0</v>
      </c>
      <c r="AD400" s="386">
        <f t="shared" si="1920"/>
        <v>0</v>
      </c>
      <c r="AE400" s="386">
        <f t="shared" si="1921"/>
        <v>0</v>
      </c>
      <c r="AF400" s="386">
        <f t="shared" si="1922"/>
        <v>0</v>
      </c>
      <c r="AG400" s="375">
        <f t="shared" si="1923"/>
        <v>0</v>
      </c>
      <c r="AH400" s="375">
        <f t="shared" si="1924"/>
        <v>0</v>
      </c>
      <c r="AI400" s="386">
        <f t="shared" si="1925"/>
        <v>0</v>
      </c>
      <c r="AJ400" s="386">
        <f t="shared" si="1926"/>
        <v>0</v>
      </c>
      <c r="AK400" s="386">
        <f t="shared" si="1927"/>
        <v>0</v>
      </c>
      <c r="AL400" s="377">
        <f t="shared" si="1928"/>
        <v>0</v>
      </c>
      <c r="AM400" s="377">
        <f t="shared" si="1929"/>
        <v>0</v>
      </c>
      <c r="AN400" s="377">
        <f t="shared" si="1930"/>
        <v>0</v>
      </c>
      <c r="AO400" s="283"/>
      <c r="AP400" s="295">
        <f t="shared" si="1931"/>
        <v>0.237872</v>
      </c>
      <c r="AQ400" s="20">
        <f t="shared" si="1932"/>
        <v>0</v>
      </c>
      <c r="AR400" s="95">
        <f t="shared" si="1932"/>
        <v>0</v>
      </c>
      <c r="AS400" s="94">
        <f t="shared" si="1932"/>
        <v>0.33</v>
      </c>
      <c r="AT400" s="94">
        <f t="shared" si="1933"/>
        <v>0.33</v>
      </c>
      <c r="AU400" s="94">
        <f t="shared" si="1934"/>
        <v>0.237872</v>
      </c>
      <c r="AV400" s="94">
        <f t="shared" si="1935"/>
        <v>0</v>
      </c>
      <c r="AW400" s="94">
        <f t="shared" si="1936"/>
        <v>0</v>
      </c>
      <c r="AX400" s="94">
        <f t="shared" si="1937"/>
        <v>0</v>
      </c>
      <c r="AY400" s="94">
        <f t="shared" si="1938"/>
        <v>0</v>
      </c>
      <c r="AZ400" s="433">
        <f t="shared" si="1939"/>
        <v>0</v>
      </c>
      <c r="BA400" s="657">
        <v>0</v>
      </c>
      <c r="BB400" s="327">
        <v>0</v>
      </c>
      <c r="BC400" s="207">
        <v>-0.33</v>
      </c>
      <c r="BD400" s="132">
        <v>-0.33</v>
      </c>
      <c r="BE400" s="132">
        <v>-0.33</v>
      </c>
      <c r="BF400" s="132">
        <v>-0.33</v>
      </c>
      <c r="BG400" s="207">
        <f>-0.237872</f>
        <v>-0.237872</v>
      </c>
      <c r="BH400" s="207">
        <v>0</v>
      </c>
      <c r="BI400" s="132">
        <v>0</v>
      </c>
      <c r="BJ400" s="132">
        <v>0</v>
      </c>
      <c r="BK400" s="132">
        <v>0</v>
      </c>
      <c r="BL400" s="132">
        <v>0</v>
      </c>
      <c r="BM400" s="132">
        <v>0</v>
      </c>
      <c r="BN400" s="409">
        <v>0</v>
      </c>
      <c r="BO400" s="207">
        <v>0</v>
      </c>
      <c r="BP400" s="389">
        <v>0</v>
      </c>
      <c r="BQ400" s="389">
        <v>0</v>
      </c>
      <c r="BR400" s="389">
        <v>0</v>
      </c>
      <c r="BS400" s="296">
        <v>0</v>
      </c>
      <c r="BT400" s="296">
        <v>0</v>
      </c>
      <c r="BU400" s="296">
        <v>0</v>
      </c>
      <c r="BV400" s="409">
        <v>0</v>
      </c>
      <c r="BW400" s="296">
        <f t="shared" si="1493"/>
        <v>0</v>
      </c>
      <c r="BX400" s="452" t="s">
        <v>1199</v>
      </c>
    </row>
    <row r="401" spans="1:76" ht="57.95" hidden="1" customHeight="1" outlineLevel="1" x14ac:dyDescent="0.25">
      <c r="A401" s="678">
        <v>11</v>
      </c>
      <c r="B401" s="702" t="s">
        <v>72</v>
      </c>
      <c r="C401" s="694" t="s">
        <v>72</v>
      </c>
      <c r="D401" s="63">
        <v>44287</v>
      </c>
      <c r="E401" s="463" t="s">
        <v>1342</v>
      </c>
      <c r="F401" s="542" t="s">
        <v>1229</v>
      </c>
      <c r="G401" s="71" t="s">
        <v>192</v>
      </c>
      <c r="H401" s="311" t="s">
        <v>127</v>
      </c>
      <c r="I401" s="335"/>
      <c r="J401" s="294">
        <f t="shared" si="1900"/>
        <v>0</v>
      </c>
      <c r="K401" s="52">
        <f t="shared" si="1901"/>
        <v>0</v>
      </c>
      <c r="L401" s="52">
        <f t="shared" si="1902"/>
        <v>8.5366674828599406E-7</v>
      </c>
      <c r="M401" s="52">
        <f t="shared" si="1903"/>
        <v>8.8926723899176945E-7</v>
      </c>
      <c r="N401" s="52">
        <f t="shared" si="1904"/>
        <v>7.9669332523192584E-7</v>
      </c>
      <c r="O401" s="52">
        <f t="shared" si="1905"/>
        <v>0</v>
      </c>
      <c r="P401" s="52">
        <f t="shared" si="1906"/>
        <v>0</v>
      </c>
      <c r="Q401" s="52">
        <f t="shared" si="1907"/>
        <v>0</v>
      </c>
      <c r="R401" s="52">
        <f t="shared" si="1908"/>
        <v>0</v>
      </c>
      <c r="S401" s="527">
        <f t="shared" si="1909"/>
        <v>0</v>
      </c>
      <c r="T401" s="533">
        <f t="shared" si="1910"/>
        <v>0</v>
      </c>
      <c r="U401" s="375">
        <f t="shared" si="1911"/>
        <v>0</v>
      </c>
      <c r="V401" s="375">
        <f t="shared" si="1912"/>
        <v>-8.5366674828599406E-7</v>
      </c>
      <c r="W401" s="386">
        <f t="shared" si="1913"/>
        <v>0</v>
      </c>
      <c r="X401" s="386">
        <f t="shared" si="1914"/>
        <v>-8.8926723899176945E-7</v>
      </c>
      <c r="Y401" s="386">
        <f t="shared" si="1915"/>
        <v>-8.8926723899176945E-7</v>
      </c>
      <c r="Z401" s="375">
        <f t="shared" si="1916"/>
        <v>-7.9669332523192584E-7</v>
      </c>
      <c r="AA401" s="375">
        <f t="shared" si="1917"/>
        <v>0</v>
      </c>
      <c r="AB401" s="386">
        <f t="shared" si="1918"/>
        <v>0</v>
      </c>
      <c r="AC401" s="386">
        <f t="shared" si="1919"/>
        <v>0</v>
      </c>
      <c r="AD401" s="386">
        <f t="shared" si="1920"/>
        <v>0</v>
      </c>
      <c r="AE401" s="386">
        <f t="shared" si="1921"/>
        <v>0</v>
      </c>
      <c r="AF401" s="386">
        <f t="shared" si="1922"/>
        <v>0</v>
      </c>
      <c r="AG401" s="375">
        <f t="shared" si="1923"/>
        <v>0</v>
      </c>
      <c r="AH401" s="375">
        <f t="shared" si="1924"/>
        <v>0</v>
      </c>
      <c r="AI401" s="386">
        <f t="shared" si="1925"/>
        <v>0</v>
      </c>
      <c r="AJ401" s="386">
        <f t="shared" si="1926"/>
        <v>0</v>
      </c>
      <c r="AK401" s="386">
        <f t="shared" si="1927"/>
        <v>0</v>
      </c>
      <c r="AL401" s="377">
        <f t="shared" si="1928"/>
        <v>0</v>
      </c>
      <c r="AM401" s="377">
        <f t="shared" si="1929"/>
        <v>0</v>
      </c>
      <c r="AN401" s="377">
        <f t="shared" si="1930"/>
        <v>0</v>
      </c>
      <c r="AO401" s="283"/>
      <c r="AP401" s="295">
        <f t="shared" si="1931"/>
        <v>2.6759000000000002E-2</v>
      </c>
      <c r="AQ401" s="20">
        <f t="shared" ref="AQ401:AQ402" si="1940">-BA401</f>
        <v>0</v>
      </c>
      <c r="AR401" s="95">
        <f t="shared" ref="AR401:AR402" si="1941">-BB401</f>
        <v>0</v>
      </c>
      <c r="AS401" s="94">
        <f t="shared" ref="AS401" si="1942">-BC401</f>
        <v>2.7890999999999999E-2</v>
      </c>
      <c r="AT401" s="94">
        <f t="shared" si="1933"/>
        <v>2.7890999999999999E-2</v>
      </c>
      <c r="AU401" s="94">
        <f t="shared" si="1934"/>
        <v>2.6759000000000002E-2</v>
      </c>
      <c r="AV401" s="94">
        <f t="shared" si="1935"/>
        <v>0</v>
      </c>
      <c r="AW401" s="94">
        <f t="shared" ref="AW401:AW402" si="1943">-BH401</f>
        <v>0</v>
      </c>
      <c r="AX401" s="94">
        <f t="shared" si="1937"/>
        <v>0</v>
      </c>
      <c r="AY401" s="94">
        <f t="shared" ref="AY401:AY402" si="1944">-BO401</f>
        <v>0</v>
      </c>
      <c r="AZ401" s="433">
        <f t="shared" ref="AZ401:AZ402" si="1945">-BU401</f>
        <v>0</v>
      </c>
      <c r="BA401" s="657">
        <v>0</v>
      </c>
      <c r="BB401" s="327">
        <v>0</v>
      </c>
      <c r="BC401" s="207">
        <v>-2.7890999999999999E-2</v>
      </c>
      <c r="BD401" s="132">
        <v>0</v>
      </c>
      <c r="BE401" s="132">
        <v>-2.7890999999999999E-2</v>
      </c>
      <c r="BF401" s="132">
        <v>-2.7890999999999999E-2</v>
      </c>
      <c r="BG401" s="207">
        <v>-2.6759000000000002E-2</v>
      </c>
      <c r="BH401" s="207">
        <v>0</v>
      </c>
      <c r="BI401" s="132">
        <v>0</v>
      </c>
      <c r="BJ401" s="132">
        <v>0</v>
      </c>
      <c r="BK401" s="132">
        <v>0</v>
      </c>
      <c r="BL401" s="132">
        <v>0</v>
      </c>
      <c r="BM401" s="132">
        <v>0</v>
      </c>
      <c r="BN401" s="409">
        <v>0</v>
      </c>
      <c r="BO401" s="207">
        <v>0</v>
      </c>
      <c r="BP401" s="389">
        <v>0</v>
      </c>
      <c r="BQ401" s="389">
        <v>0</v>
      </c>
      <c r="BR401" s="389">
        <v>0</v>
      </c>
      <c r="BS401" s="296">
        <v>0</v>
      </c>
      <c r="BT401" s="296">
        <v>0</v>
      </c>
      <c r="BU401" s="296">
        <v>0</v>
      </c>
      <c r="BV401" s="409">
        <v>0</v>
      </c>
      <c r="BW401" s="296">
        <f t="shared" ref="BW401:BW402" si="1946">-BV401</f>
        <v>0</v>
      </c>
      <c r="BX401" s="452" t="s">
        <v>1228</v>
      </c>
    </row>
    <row r="402" spans="1:76" ht="72.599999999999994" hidden="1" customHeight="1" outlineLevel="1" x14ac:dyDescent="0.25">
      <c r="A402" s="678">
        <v>12</v>
      </c>
      <c r="B402" s="702" t="s">
        <v>72</v>
      </c>
      <c r="C402" s="694" t="s">
        <v>72</v>
      </c>
      <c r="D402" s="273">
        <v>44424</v>
      </c>
      <c r="E402" s="475" t="s">
        <v>1614</v>
      </c>
      <c r="F402" s="542" t="s">
        <v>1586</v>
      </c>
      <c r="G402" s="71" t="s">
        <v>138</v>
      </c>
      <c r="H402" s="311" t="s">
        <v>127</v>
      </c>
      <c r="I402" s="335"/>
      <c r="J402" s="294">
        <f t="shared" si="1900"/>
        <v>0</v>
      </c>
      <c r="K402" s="52">
        <f t="shared" si="1901"/>
        <v>0</v>
      </c>
      <c r="L402" s="52">
        <f t="shared" si="1902"/>
        <v>1.2242899118511265E-5</v>
      </c>
      <c r="M402" s="52">
        <f t="shared" si="1903"/>
        <v>1.2753465117661892E-5</v>
      </c>
      <c r="N402" s="52">
        <f t="shared" si="1904"/>
        <v>9.271611984894774E-6</v>
      </c>
      <c r="O402" s="52">
        <f t="shared" si="1905"/>
        <v>0</v>
      </c>
      <c r="P402" s="52">
        <f t="shared" si="1906"/>
        <v>0</v>
      </c>
      <c r="Q402" s="52">
        <f t="shared" si="1907"/>
        <v>0</v>
      </c>
      <c r="R402" s="52">
        <f t="shared" si="1908"/>
        <v>0</v>
      </c>
      <c r="S402" s="527">
        <f t="shared" si="1909"/>
        <v>0</v>
      </c>
      <c r="T402" s="533">
        <f t="shared" si="1910"/>
        <v>0</v>
      </c>
      <c r="U402" s="375">
        <f t="shared" si="1911"/>
        <v>0</v>
      </c>
      <c r="V402" s="375">
        <f t="shared" si="1912"/>
        <v>-1.2242899118511265E-5</v>
      </c>
      <c r="W402" s="386">
        <f t="shared" si="1913"/>
        <v>0</v>
      </c>
      <c r="X402" s="386">
        <f t="shared" si="1914"/>
        <v>-8.8926723899176945E-7</v>
      </c>
      <c r="Y402" s="386">
        <f t="shared" si="1915"/>
        <v>-8.8926723899176945E-7</v>
      </c>
      <c r="Z402" s="375">
        <f t="shared" si="1916"/>
        <v>-9.271611984894774E-6</v>
      </c>
      <c r="AA402" s="375">
        <f t="shared" si="1917"/>
        <v>0</v>
      </c>
      <c r="AB402" s="386">
        <f t="shared" si="1918"/>
        <v>0</v>
      </c>
      <c r="AC402" s="386">
        <f t="shared" si="1919"/>
        <v>0</v>
      </c>
      <c r="AD402" s="386">
        <f t="shared" si="1920"/>
        <v>0</v>
      </c>
      <c r="AE402" s="386">
        <f t="shared" si="1921"/>
        <v>0</v>
      </c>
      <c r="AF402" s="386">
        <f t="shared" si="1922"/>
        <v>0</v>
      </c>
      <c r="AG402" s="375">
        <f t="shared" si="1923"/>
        <v>0</v>
      </c>
      <c r="AH402" s="375">
        <f t="shared" si="1924"/>
        <v>0</v>
      </c>
      <c r="AI402" s="386">
        <f t="shared" si="1925"/>
        <v>0</v>
      </c>
      <c r="AJ402" s="386">
        <f t="shared" si="1926"/>
        <v>0</v>
      </c>
      <c r="AK402" s="386">
        <f t="shared" si="1927"/>
        <v>0</v>
      </c>
      <c r="AL402" s="377">
        <f t="shared" si="1928"/>
        <v>0</v>
      </c>
      <c r="AM402" s="377">
        <f t="shared" si="1929"/>
        <v>0</v>
      </c>
      <c r="AN402" s="377">
        <f t="shared" si="1930"/>
        <v>0</v>
      </c>
      <c r="AO402" s="283"/>
      <c r="AP402" s="295">
        <f t="shared" si="1931"/>
        <v>0.31141099999999999</v>
      </c>
      <c r="AQ402" s="20">
        <f t="shared" si="1940"/>
        <v>0</v>
      </c>
      <c r="AR402" s="95">
        <f t="shared" si="1941"/>
        <v>0</v>
      </c>
      <c r="AS402" s="94">
        <f>-BC402</f>
        <v>0.4</v>
      </c>
      <c r="AT402" s="94">
        <f t="shared" si="1933"/>
        <v>0.4</v>
      </c>
      <c r="AU402" s="94">
        <f t="shared" si="1934"/>
        <v>0.31141099999999999</v>
      </c>
      <c r="AV402" s="94">
        <f t="shared" si="1935"/>
        <v>0</v>
      </c>
      <c r="AW402" s="94">
        <f t="shared" si="1943"/>
        <v>0</v>
      </c>
      <c r="AX402" s="94">
        <f t="shared" si="1937"/>
        <v>0</v>
      </c>
      <c r="AY402" s="94">
        <f t="shared" si="1944"/>
        <v>0</v>
      </c>
      <c r="AZ402" s="433">
        <f t="shared" si="1945"/>
        <v>0</v>
      </c>
      <c r="BA402" s="657">
        <v>0</v>
      </c>
      <c r="BB402" s="327">
        <v>0</v>
      </c>
      <c r="BC402" s="207">
        <v>-0.4</v>
      </c>
      <c r="BD402" s="132">
        <v>0</v>
      </c>
      <c r="BE402" s="132">
        <v>-2.7890999999999999E-2</v>
      </c>
      <c r="BF402" s="132">
        <v>-2.7890999999999999E-2</v>
      </c>
      <c r="BG402" s="207">
        <f>-0.311411</f>
        <v>-0.31141099999999999</v>
      </c>
      <c r="BH402" s="207">
        <v>0</v>
      </c>
      <c r="BI402" s="132">
        <v>0</v>
      </c>
      <c r="BJ402" s="132">
        <v>0</v>
      </c>
      <c r="BK402" s="132">
        <v>0</v>
      </c>
      <c r="BL402" s="132">
        <v>0</v>
      </c>
      <c r="BM402" s="132">
        <v>0</v>
      </c>
      <c r="BN402" s="409">
        <v>0</v>
      </c>
      <c r="BO402" s="207">
        <v>0</v>
      </c>
      <c r="BP402" s="389">
        <v>0</v>
      </c>
      <c r="BQ402" s="389">
        <v>0</v>
      </c>
      <c r="BR402" s="389">
        <v>0</v>
      </c>
      <c r="BS402" s="296">
        <v>0</v>
      </c>
      <c r="BT402" s="296">
        <v>0</v>
      </c>
      <c r="BU402" s="296">
        <v>0</v>
      </c>
      <c r="BV402" s="409">
        <v>0</v>
      </c>
      <c r="BW402" s="296">
        <f t="shared" si="1946"/>
        <v>0</v>
      </c>
      <c r="BX402" s="453" t="s">
        <v>1585</v>
      </c>
    </row>
    <row r="403" spans="1:76" ht="67.5" hidden="1" customHeight="1" outlineLevel="1" x14ac:dyDescent="0.25">
      <c r="A403" s="678">
        <v>13</v>
      </c>
      <c r="B403" s="702" t="s">
        <v>72</v>
      </c>
      <c r="C403" s="694" t="s">
        <v>72</v>
      </c>
      <c r="D403" s="273">
        <v>44467</v>
      </c>
      <c r="E403" s="478" t="s">
        <v>1660</v>
      </c>
      <c r="F403" s="542" t="s">
        <v>1661</v>
      </c>
      <c r="G403" s="71" t="s">
        <v>28</v>
      </c>
      <c r="H403" s="311" t="s">
        <v>127</v>
      </c>
      <c r="I403" s="335"/>
      <c r="J403" s="294">
        <f t="shared" si="1900"/>
        <v>0</v>
      </c>
      <c r="K403" s="52">
        <f t="shared" si="1901"/>
        <v>0</v>
      </c>
      <c r="L403" s="52">
        <f t="shared" si="1902"/>
        <v>1.4993878550440744E-6</v>
      </c>
      <c r="M403" s="52">
        <f t="shared" si="1903"/>
        <v>1.5619168729600517E-6</v>
      </c>
      <c r="N403" s="52">
        <f t="shared" si="1904"/>
        <v>1.4585153636705998E-6</v>
      </c>
      <c r="O403" s="52">
        <f t="shared" si="1905"/>
        <v>0</v>
      </c>
      <c r="P403" s="52">
        <f t="shared" si="1906"/>
        <v>0</v>
      </c>
      <c r="Q403" s="52">
        <f t="shared" si="1907"/>
        <v>0</v>
      </c>
      <c r="R403" s="52">
        <f t="shared" si="1908"/>
        <v>0</v>
      </c>
      <c r="S403" s="527">
        <f t="shared" si="1909"/>
        <v>0</v>
      </c>
      <c r="T403" s="533">
        <f t="shared" si="1910"/>
        <v>0</v>
      </c>
      <c r="U403" s="375">
        <f t="shared" si="1911"/>
        <v>0</v>
      </c>
      <c r="V403" s="375">
        <f t="shared" si="1912"/>
        <v>-1.4993878550440744E-6</v>
      </c>
      <c r="W403" s="386">
        <f t="shared" si="1913"/>
        <v>0</v>
      </c>
      <c r="X403" s="386">
        <f t="shared" si="1914"/>
        <v>-8.8926723899176945E-7</v>
      </c>
      <c r="Y403" s="386">
        <f t="shared" si="1915"/>
        <v>-8.8926723899176945E-7</v>
      </c>
      <c r="Z403" s="375">
        <f t="shared" si="1916"/>
        <v>-1.4585153636705998E-6</v>
      </c>
      <c r="AA403" s="375">
        <f t="shared" si="1917"/>
        <v>0</v>
      </c>
      <c r="AB403" s="386">
        <f t="shared" si="1918"/>
        <v>0</v>
      </c>
      <c r="AC403" s="386">
        <f t="shared" si="1919"/>
        <v>0</v>
      </c>
      <c r="AD403" s="386">
        <f t="shared" si="1920"/>
        <v>0</v>
      </c>
      <c r="AE403" s="386">
        <f t="shared" si="1921"/>
        <v>0</v>
      </c>
      <c r="AF403" s="386">
        <f t="shared" si="1922"/>
        <v>0</v>
      </c>
      <c r="AG403" s="375">
        <f t="shared" si="1923"/>
        <v>0</v>
      </c>
      <c r="AH403" s="375">
        <f t="shared" si="1924"/>
        <v>0</v>
      </c>
      <c r="AI403" s="386">
        <f t="shared" si="1925"/>
        <v>0</v>
      </c>
      <c r="AJ403" s="386">
        <f t="shared" si="1926"/>
        <v>0</v>
      </c>
      <c r="AK403" s="386">
        <f t="shared" si="1927"/>
        <v>0</v>
      </c>
      <c r="AL403" s="377">
        <f t="shared" si="1928"/>
        <v>0</v>
      </c>
      <c r="AM403" s="377">
        <f t="shared" si="1929"/>
        <v>0</v>
      </c>
      <c r="AN403" s="377">
        <f t="shared" si="1930"/>
        <v>0</v>
      </c>
      <c r="AO403" s="283"/>
      <c r="AP403" s="295">
        <f t="shared" si="1931"/>
        <v>4.8987999999999997E-2</v>
      </c>
      <c r="AQ403" s="20">
        <f t="shared" si="1932"/>
        <v>0</v>
      </c>
      <c r="AR403" s="95">
        <f t="shared" si="1932"/>
        <v>0</v>
      </c>
      <c r="AS403" s="94">
        <f t="shared" si="1932"/>
        <v>4.8987999999999997E-2</v>
      </c>
      <c r="AT403" s="94">
        <f t="shared" si="1933"/>
        <v>4.8987999999999997E-2</v>
      </c>
      <c r="AU403" s="94">
        <f t="shared" si="1934"/>
        <v>4.8987999999999997E-2</v>
      </c>
      <c r="AV403" s="94">
        <f t="shared" si="1935"/>
        <v>0</v>
      </c>
      <c r="AW403" s="94">
        <f t="shared" si="1936"/>
        <v>0</v>
      </c>
      <c r="AX403" s="94">
        <f t="shared" si="1937"/>
        <v>0</v>
      </c>
      <c r="AY403" s="94">
        <f t="shared" si="1938"/>
        <v>0</v>
      </c>
      <c r="AZ403" s="433">
        <f>-BU403</f>
        <v>0</v>
      </c>
      <c r="BA403" s="657">
        <v>0</v>
      </c>
      <c r="BB403" s="327">
        <v>0</v>
      </c>
      <c r="BC403" s="207">
        <v>-4.8987999999999997E-2</v>
      </c>
      <c r="BD403" s="132">
        <v>0</v>
      </c>
      <c r="BE403" s="132">
        <v>-2.7890999999999999E-2</v>
      </c>
      <c r="BF403" s="132">
        <v>-2.7890999999999999E-2</v>
      </c>
      <c r="BG403" s="207">
        <v>-4.8987999999999997E-2</v>
      </c>
      <c r="BH403" s="207">
        <v>0</v>
      </c>
      <c r="BI403" s="132">
        <v>0</v>
      </c>
      <c r="BJ403" s="132">
        <v>0</v>
      </c>
      <c r="BK403" s="132">
        <v>0</v>
      </c>
      <c r="BL403" s="132">
        <v>0</v>
      </c>
      <c r="BM403" s="132">
        <v>0</v>
      </c>
      <c r="BN403" s="409">
        <v>0</v>
      </c>
      <c r="BO403" s="207">
        <v>0</v>
      </c>
      <c r="BP403" s="389">
        <v>0</v>
      </c>
      <c r="BQ403" s="389">
        <v>0</v>
      </c>
      <c r="BR403" s="389">
        <v>0</v>
      </c>
      <c r="BS403" s="296">
        <v>0</v>
      </c>
      <c r="BT403" s="296">
        <v>0</v>
      </c>
      <c r="BU403" s="296">
        <v>0</v>
      </c>
      <c r="BV403" s="409">
        <v>0</v>
      </c>
      <c r="BW403" s="296">
        <f t="shared" si="1493"/>
        <v>0</v>
      </c>
      <c r="BX403" s="454" t="s">
        <v>1659</v>
      </c>
    </row>
    <row r="404" spans="1:76" ht="174.6" hidden="1" customHeight="1" outlineLevel="1" x14ac:dyDescent="0.25">
      <c r="A404" s="678">
        <v>14</v>
      </c>
      <c r="B404" s="702" t="s">
        <v>538</v>
      </c>
      <c r="C404" s="686" t="s">
        <v>538</v>
      </c>
      <c r="D404" s="86" t="s">
        <v>498</v>
      </c>
      <c r="E404" s="463" t="s">
        <v>78</v>
      </c>
      <c r="F404" s="542" t="s">
        <v>79</v>
      </c>
      <c r="G404" s="71" t="s">
        <v>38</v>
      </c>
      <c r="H404" s="311" t="s">
        <v>127</v>
      </c>
      <c r="I404" s="335"/>
      <c r="J404" s="294">
        <f t="shared" si="1900"/>
        <v>0</v>
      </c>
      <c r="K404" s="52">
        <f t="shared" si="1901"/>
        <v>0</v>
      </c>
      <c r="L404" s="52">
        <f t="shared" si="1902"/>
        <v>0</v>
      </c>
      <c r="M404" s="52">
        <f t="shared" si="1903"/>
        <v>0</v>
      </c>
      <c r="N404" s="52">
        <f t="shared" si="1904"/>
        <v>0</v>
      </c>
      <c r="O404" s="52">
        <f t="shared" si="1905"/>
        <v>0</v>
      </c>
      <c r="P404" s="52">
        <f t="shared" si="1906"/>
        <v>0</v>
      </c>
      <c r="Q404" s="52">
        <f t="shared" si="1907"/>
        <v>0</v>
      </c>
      <c r="R404" s="52">
        <f t="shared" si="1908"/>
        <v>0</v>
      </c>
      <c r="S404" s="527">
        <f t="shared" si="1909"/>
        <v>0</v>
      </c>
      <c r="T404" s="533">
        <f t="shared" si="1910"/>
        <v>0</v>
      </c>
      <c r="U404" s="375">
        <f t="shared" si="1911"/>
        <v>0</v>
      </c>
      <c r="V404" s="375">
        <f t="shared" si="1912"/>
        <v>0</v>
      </c>
      <c r="W404" s="386">
        <f t="shared" si="1913"/>
        <v>0</v>
      </c>
      <c r="X404" s="386">
        <f t="shared" si="1914"/>
        <v>0</v>
      </c>
      <c r="Y404" s="386">
        <f t="shared" si="1915"/>
        <v>0</v>
      </c>
      <c r="Z404" s="375">
        <f t="shared" si="1916"/>
        <v>0</v>
      </c>
      <c r="AA404" s="375">
        <f t="shared" si="1917"/>
        <v>0</v>
      </c>
      <c r="AB404" s="386">
        <f t="shared" si="1918"/>
        <v>0</v>
      </c>
      <c r="AC404" s="386">
        <f t="shared" si="1919"/>
        <v>0</v>
      </c>
      <c r="AD404" s="386">
        <f t="shared" si="1920"/>
        <v>0</v>
      </c>
      <c r="AE404" s="386">
        <f t="shared" si="1921"/>
        <v>0</v>
      </c>
      <c r="AF404" s="386">
        <f t="shared" si="1922"/>
        <v>0</v>
      </c>
      <c r="AG404" s="375">
        <f t="shared" si="1923"/>
        <v>0</v>
      </c>
      <c r="AH404" s="375">
        <f t="shared" si="1924"/>
        <v>0</v>
      </c>
      <c r="AI404" s="386">
        <f t="shared" si="1925"/>
        <v>0</v>
      </c>
      <c r="AJ404" s="386">
        <f t="shared" si="1926"/>
        <v>0</v>
      </c>
      <c r="AK404" s="386">
        <f t="shared" si="1927"/>
        <v>0</v>
      </c>
      <c r="AL404" s="377">
        <f t="shared" si="1928"/>
        <v>0</v>
      </c>
      <c r="AM404" s="377">
        <f t="shared" si="1929"/>
        <v>0</v>
      </c>
      <c r="AN404" s="377">
        <f t="shared" si="1930"/>
        <v>0</v>
      </c>
      <c r="AO404" s="283"/>
      <c r="AP404" s="295">
        <f t="shared" si="1931"/>
        <v>0</v>
      </c>
      <c r="AQ404" s="20">
        <v>0</v>
      </c>
      <c r="AR404" s="95">
        <f t="shared" si="1932"/>
        <v>0</v>
      </c>
      <c r="AS404" s="94">
        <v>0</v>
      </c>
      <c r="AT404" s="94">
        <v>0</v>
      </c>
      <c r="AU404" s="94">
        <v>0</v>
      </c>
      <c r="AV404" s="94">
        <v>0</v>
      </c>
      <c r="AW404" s="94">
        <v>0</v>
      </c>
      <c r="AX404" s="94">
        <v>0</v>
      </c>
      <c r="AY404" s="94">
        <v>0</v>
      </c>
      <c r="AZ404" s="433">
        <v>0</v>
      </c>
      <c r="BA404" s="657">
        <v>0</v>
      </c>
      <c r="BB404" s="327">
        <v>0</v>
      </c>
      <c r="BC404" s="207">
        <v>0</v>
      </c>
      <c r="BD404" s="132">
        <v>0</v>
      </c>
      <c r="BE404" s="132">
        <v>0</v>
      </c>
      <c r="BF404" s="132">
        <v>0</v>
      </c>
      <c r="BG404" s="207">
        <v>0</v>
      </c>
      <c r="BH404" s="207">
        <v>0</v>
      </c>
      <c r="BI404" s="132">
        <v>0</v>
      </c>
      <c r="BJ404" s="132">
        <v>0</v>
      </c>
      <c r="BK404" s="132">
        <v>0</v>
      </c>
      <c r="BL404" s="132">
        <v>0</v>
      </c>
      <c r="BM404" s="132">
        <v>0</v>
      </c>
      <c r="BN404" s="409">
        <v>0</v>
      </c>
      <c r="BO404" s="207">
        <v>0</v>
      </c>
      <c r="BP404" s="389">
        <v>0</v>
      </c>
      <c r="BQ404" s="389">
        <v>0</v>
      </c>
      <c r="BR404" s="389">
        <v>0</v>
      </c>
      <c r="BS404" s="296">
        <v>0</v>
      </c>
      <c r="BT404" s="296">
        <v>0</v>
      </c>
      <c r="BU404" s="296">
        <v>0</v>
      </c>
      <c r="BV404" s="409">
        <v>0</v>
      </c>
      <c r="BW404" s="296">
        <f t="shared" si="1493"/>
        <v>0</v>
      </c>
      <c r="BX404" s="439" t="s">
        <v>499</v>
      </c>
    </row>
    <row r="405" spans="1:76" ht="72.599999999999994" hidden="1" customHeight="1" outlineLevel="1" x14ac:dyDescent="0.25">
      <c r="A405" s="678">
        <v>15</v>
      </c>
      <c r="B405" s="702" t="s">
        <v>133</v>
      </c>
      <c r="C405" s="697" t="s">
        <v>133</v>
      </c>
      <c r="D405" s="63">
        <v>44056</v>
      </c>
      <c r="E405" s="475" t="s">
        <v>331</v>
      </c>
      <c r="F405" s="559" t="s">
        <v>134</v>
      </c>
      <c r="G405" s="71" t="s">
        <v>27</v>
      </c>
      <c r="H405" s="311" t="s">
        <v>130</v>
      </c>
      <c r="I405" s="335"/>
      <c r="J405" s="294">
        <f t="shared" si="1900"/>
        <v>2.3661169043058806E-5</v>
      </c>
      <c r="K405" s="52">
        <f t="shared" si="1901"/>
        <v>2.2020928535624741E-5</v>
      </c>
      <c r="L405" s="52">
        <f t="shared" si="1902"/>
        <v>0</v>
      </c>
      <c r="M405" s="52">
        <f t="shared" si="1903"/>
        <v>0</v>
      </c>
      <c r="N405" s="52">
        <f t="shared" si="1904"/>
        <v>0</v>
      </c>
      <c r="O405" s="52">
        <f t="shared" si="1905"/>
        <v>0</v>
      </c>
      <c r="P405" s="52">
        <f t="shared" si="1906"/>
        <v>0</v>
      </c>
      <c r="Q405" s="52">
        <f t="shared" si="1907"/>
        <v>0</v>
      </c>
      <c r="R405" s="52">
        <f t="shared" si="1908"/>
        <v>0</v>
      </c>
      <c r="S405" s="527">
        <f t="shared" si="1909"/>
        <v>0</v>
      </c>
      <c r="T405" s="533">
        <f t="shared" si="1910"/>
        <v>-2.3661169043058806E-5</v>
      </c>
      <c r="U405" s="375">
        <f t="shared" si="1911"/>
        <v>-2.2020928535624741E-5</v>
      </c>
      <c r="V405" s="375">
        <f t="shared" si="1912"/>
        <v>0</v>
      </c>
      <c r="W405" s="386">
        <f t="shared" si="1913"/>
        <v>0</v>
      </c>
      <c r="X405" s="386">
        <f t="shared" si="1914"/>
        <v>0</v>
      </c>
      <c r="Y405" s="386">
        <f t="shared" si="1915"/>
        <v>0</v>
      </c>
      <c r="Z405" s="375">
        <f t="shared" si="1916"/>
        <v>0</v>
      </c>
      <c r="AA405" s="375">
        <f t="shared" si="1917"/>
        <v>0</v>
      </c>
      <c r="AB405" s="386">
        <f t="shared" si="1918"/>
        <v>0</v>
      </c>
      <c r="AC405" s="386">
        <f t="shared" si="1919"/>
        <v>0</v>
      </c>
      <c r="AD405" s="386">
        <f t="shared" si="1920"/>
        <v>0</v>
      </c>
      <c r="AE405" s="386">
        <f t="shared" si="1921"/>
        <v>0</v>
      </c>
      <c r="AF405" s="386">
        <f t="shared" si="1922"/>
        <v>0</v>
      </c>
      <c r="AG405" s="375">
        <f t="shared" si="1923"/>
        <v>0</v>
      </c>
      <c r="AH405" s="375">
        <f t="shared" si="1924"/>
        <v>0</v>
      </c>
      <c r="AI405" s="386">
        <f t="shared" si="1925"/>
        <v>0</v>
      </c>
      <c r="AJ405" s="386">
        <f t="shared" si="1926"/>
        <v>0</v>
      </c>
      <c r="AK405" s="386">
        <f t="shared" si="1927"/>
        <v>0</v>
      </c>
      <c r="AL405" s="377">
        <f t="shared" si="1928"/>
        <v>0</v>
      </c>
      <c r="AM405" s="377">
        <f t="shared" si="1929"/>
        <v>0</v>
      </c>
      <c r="AN405" s="377">
        <f t="shared" si="1930"/>
        <v>0</v>
      </c>
      <c r="AO405" s="283"/>
      <c r="AP405" s="295">
        <f t="shared" si="1931"/>
        <v>0.667103</v>
      </c>
      <c r="AQ405" s="20">
        <f t="shared" ref="AQ405:AQ413" si="1947">-BA405</f>
        <v>0.667103</v>
      </c>
      <c r="AR405" s="95">
        <f t="shared" si="1932"/>
        <v>0.667103</v>
      </c>
      <c r="AS405" s="94">
        <f t="shared" si="1932"/>
        <v>0</v>
      </c>
      <c r="AT405" s="94">
        <f t="shared" ref="AT405:AT437" si="1948">-BC405</f>
        <v>0</v>
      </c>
      <c r="AU405" s="94">
        <f t="shared" ref="AU405:AU437" si="1949">-BG405</f>
        <v>0</v>
      </c>
      <c r="AV405" s="94">
        <f t="shared" ref="AV405:AV436" si="1950">-BH405</f>
        <v>0</v>
      </c>
      <c r="AW405" s="94">
        <f t="shared" ref="AW405:AW418" si="1951">-BH405</f>
        <v>0</v>
      </c>
      <c r="AX405" s="94">
        <f t="shared" ref="AX405:AX436" si="1952">-BN405</f>
        <v>0</v>
      </c>
      <c r="AY405" s="94">
        <f t="shared" ref="AY405:AY418" si="1953">-BO405</f>
        <v>0</v>
      </c>
      <c r="AZ405" s="433">
        <f t="shared" ref="AZ405:AZ418" si="1954">-BU405</f>
        <v>0</v>
      </c>
      <c r="BA405" s="657">
        <v>-0.667103</v>
      </c>
      <c r="BB405" s="327">
        <v>-0.667103</v>
      </c>
      <c r="BC405" s="207">
        <v>0</v>
      </c>
      <c r="BD405" s="132">
        <v>0</v>
      </c>
      <c r="BE405" s="132">
        <v>0</v>
      </c>
      <c r="BF405" s="132">
        <v>0</v>
      </c>
      <c r="BG405" s="207">
        <v>0</v>
      </c>
      <c r="BH405" s="207">
        <v>0</v>
      </c>
      <c r="BI405" s="132">
        <v>0</v>
      </c>
      <c r="BJ405" s="132">
        <v>0</v>
      </c>
      <c r="BK405" s="132">
        <v>0</v>
      </c>
      <c r="BL405" s="132">
        <v>0</v>
      </c>
      <c r="BM405" s="132">
        <v>0</v>
      </c>
      <c r="BN405" s="409">
        <v>0</v>
      </c>
      <c r="BO405" s="207">
        <v>0</v>
      </c>
      <c r="BP405" s="389">
        <v>0</v>
      </c>
      <c r="BQ405" s="389">
        <v>0</v>
      </c>
      <c r="BR405" s="389">
        <v>0</v>
      </c>
      <c r="BS405" s="296">
        <v>0</v>
      </c>
      <c r="BT405" s="296">
        <v>0</v>
      </c>
      <c r="BU405" s="296">
        <v>0</v>
      </c>
      <c r="BV405" s="409">
        <v>0</v>
      </c>
      <c r="BW405" s="296">
        <f t="shared" ref="BW405:BW441" si="1955">-BV405</f>
        <v>0</v>
      </c>
      <c r="BX405" s="446" t="s">
        <v>332</v>
      </c>
    </row>
    <row r="406" spans="1:76" ht="101.45" hidden="1" customHeight="1" outlineLevel="1" x14ac:dyDescent="0.25">
      <c r="A406" s="678">
        <v>16</v>
      </c>
      <c r="B406" s="702" t="s">
        <v>133</v>
      </c>
      <c r="C406" s="697" t="s">
        <v>133</v>
      </c>
      <c r="D406" s="63" t="s">
        <v>645</v>
      </c>
      <c r="E406" s="475" t="s">
        <v>416</v>
      </c>
      <c r="F406" s="559" t="s">
        <v>1555</v>
      </c>
      <c r="G406" s="71" t="s">
        <v>27</v>
      </c>
      <c r="H406" s="311" t="s">
        <v>130</v>
      </c>
      <c r="I406" s="335"/>
      <c r="J406" s="294">
        <f t="shared" si="1900"/>
        <v>2.4877385259275026E-5</v>
      </c>
      <c r="K406" s="52">
        <f t="shared" si="1901"/>
        <v>2.3152834162621733E-5</v>
      </c>
      <c r="L406" s="52">
        <f t="shared" si="1902"/>
        <v>0</v>
      </c>
      <c r="M406" s="52">
        <f t="shared" si="1903"/>
        <v>0</v>
      </c>
      <c r="N406" s="52">
        <f t="shared" si="1904"/>
        <v>0</v>
      </c>
      <c r="O406" s="52">
        <f t="shared" si="1905"/>
        <v>0</v>
      </c>
      <c r="P406" s="52">
        <f t="shared" si="1906"/>
        <v>0</v>
      </c>
      <c r="Q406" s="52">
        <f t="shared" si="1907"/>
        <v>0</v>
      </c>
      <c r="R406" s="52">
        <f t="shared" si="1908"/>
        <v>0</v>
      </c>
      <c r="S406" s="527">
        <f t="shared" si="1909"/>
        <v>0</v>
      </c>
      <c r="T406" s="533">
        <f t="shared" si="1910"/>
        <v>-2.4877385259275026E-5</v>
      </c>
      <c r="U406" s="375">
        <f t="shared" si="1911"/>
        <v>-2.3152834162621733E-5</v>
      </c>
      <c r="V406" s="375">
        <f t="shared" si="1912"/>
        <v>0</v>
      </c>
      <c r="W406" s="386">
        <f t="shared" si="1913"/>
        <v>0</v>
      </c>
      <c r="X406" s="386">
        <f t="shared" si="1914"/>
        <v>0</v>
      </c>
      <c r="Y406" s="386">
        <f t="shared" si="1915"/>
        <v>0</v>
      </c>
      <c r="Z406" s="375">
        <f t="shared" si="1916"/>
        <v>0</v>
      </c>
      <c r="AA406" s="375">
        <f t="shared" si="1917"/>
        <v>0</v>
      </c>
      <c r="AB406" s="386">
        <f t="shared" si="1918"/>
        <v>0</v>
      </c>
      <c r="AC406" s="386">
        <f t="shared" si="1919"/>
        <v>0</v>
      </c>
      <c r="AD406" s="386">
        <f t="shared" si="1920"/>
        <v>0</v>
      </c>
      <c r="AE406" s="386">
        <f t="shared" si="1921"/>
        <v>0</v>
      </c>
      <c r="AF406" s="386">
        <f t="shared" si="1922"/>
        <v>0</v>
      </c>
      <c r="AG406" s="375">
        <f t="shared" si="1923"/>
        <v>0</v>
      </c>
      <c r="AH406" s="375">
        <f t="shared" si="1924"/>
        <v>0</v>
      </c>
      <c r="AI406" s="386">
        <f t="shared" si="1925"/>
        <v>0</v>
      </c>
      <c r="AJ406" s="386">
        <f t="shared" si="1926"/>
        <v>0</v>
      </c>
      <c r="AK406" s="386">
        <f t="shared" si="1927"/>
        <v>0</v>
      </c>
      <c r="AL406" s="377">
        <f t="shared" si="1928"/>
        <v>0</v>
      </c>
      <c r="AM406" s="377">
        <f t="shared" si="1929"/>
        <v>0</v>
      </c>
      <c r="AN406" s="377">
        <f t="shared" si="1930"/>
        <v>0</v>
      </c>
      <c r="AO406" s="283"/>
      <c r="AP406" s="295">
        <f t="shared" si="1931"/>
        <v>0.70139300000000004</v>
      </c>
      <c r="AQ406" s="20">
        <f>-BA406</f>
        <v>0.70139300000000004</v>
      </c>
      <c r="AR406" s="95">
        <f>-BB406</f>
        <v>0.70139300000000004</v>
      </c>
      <c r="AS406" s="94">
        <f t="shared" si="1932"/>
        <v>0</v>
      </c>
      <c r="AT406" s="94">
        <f t="shared" si="1948"/>
        <v>0</v>
      </c>
      <c r="AU406" s="94">
        <f t="shared" si="1949"/>
        <v>0</v>
      </c>
      <c r="AV406" s="94">
        <f t="shared" si="1950"/>
        <v>0</v>
      </c>
      <c r="AW406" s="94">
        <f t="shared" si="1951"/>
        <v>0</v>
      </c>
      <c r="AX406" s="94">
        <f t="shared" si="1952"/>
        <v>0</v>
      </c>
      <c r="AY406" s="94">
        <f t="shared" si="1953"/>
        <v>0</v>
      </c>
      <c r="AZ406" s="433">
        <f t="shared" si="1954"/>
        <v>0</v>
      </c>
      <c r="BA406" s="657">
        <v>-0.70139300000000004</v>
      </c>
      <c r="BB406" s="327">
        <v>-0.70139300000000004</v>
      </c>
      <c r="BC406" s="207">
        <v>0</v>
      </c>
      <c r="BD406" s="132">
        <v>0</v>
      </c>
      <c r="BE406" s="132">
        <v>0</v>
      </c>
      <c r="BF406" s="132">
        <v>0</v>
      </c>
      <c r="BG406" s="207">
        <v>0</v>
      </c>
      <c r="BH406" s="207">
        <v>0</v>
      </c>
      <c r="BI406" s="132">
        <v>0</v>
      </c>
      <c r="BJ406" s="132">
        <v>0</v>
      </c>
      <c r="BK406" s="132">
        <v>0</v>
      </c>
      <c r="BL406" s="132">
        <v>0</v>
      </c>
      <c r="BM406" s="132">
        <v>0</v>
      </c>
      <c r="BN406" s="409">
        <v>0</v>
      </c>
      <c r="BO406" s="207">
        <v>0</v>
      </c>
      <c r="BP406" s="389">
        <v>0</v>
      </c>
      <c r="BQ406" s="389">
        <v>0</v>
      </c>
      <c r="BR406" s="389">
        <v>0</v>
      </c>
      <c r="BS406" s="296">
        <v>0</v>
      </c>
      <c r="BT406" s="296">
        <v>0</v>
      </c>
      <c r="BU406" s="296">
        <v>0</v>
      </c>
      <c r="BV406" s="409">
        <v>0</v>
      </c>
      <c r="BW406" s="296">
        <f t="shared" si="1955"/>
        <v>0</v>
      </c>
      <c r="BX406" s="439" t="s">
        <v>719</v>
      </c>
    </row>
    <row r="407" spans="1:76" ht="144.94999999999999" hidden="1" customHeight="1" outlineLevel="1" x14ac:dyDescent="0.25">
      <c r="A407" s="678">
        <v>17</v>
      </c>
      <c r="B407" s="702" t="s">
        <v>133</v>
      </c>
      <c r="C407" s="697" t="s">
        <v>133</v>
      </c>
      <c r="D407" s="63">
        <v>44232</v>
      </c>
      <c r="E407" s="475" t="s">
        <v>717</v>
      </c>
      <c r="F407" s="559" t="s">
        <v>679</v>
      </c>
      <c r="G407" s="71" t="s">
        <v>27</v>
      </c>
      <c r="H407" s="311" t="s">
        <v>130</v>
      </c>
      <c r="I407" s="335"/>
      <c r="J407" s="294">
        <f t="shared" si="1900"/>
        <v>0</v>
      </c>
      <c r="K407" s="52">
        <f t="shared" si="1901"/>
        <v>0</v>
      </c>
      <c r="L407" s="52">
        <f t="shared" si="1902"/>
        <v>3.2532229431929482E-5</v>
      </c>
      <c r="M407" s="52">
        <f t="shared" si="1903"/>
        <v>3.3888921998267506E-5</v>
      </c>
      <c r="N407" s="52">
        <f t="shared" si="1904"/>
        <v>3.1645418682900611E-5</v>
      </c>
      <c r="O407" s="52">
        <f t="shared" si="1905"/>
        <v>0</v>
      </c>
      <c r="P407" s="52">
        <f t="shared" si="1906"/>
        <v>0</v>
      </c>
      <c r="Q407" s="52">
        <f t="shared" si="1907"/>
        <v>0</v>
      </c>
      <c r="R407" s="52">
        <f t="shared" si="1908"/>
        <v>0</v>
      </c>
      <c r="S407" s="527">
        <f t="shared" si="1909"/>
        <v>0</v>
      </c>
      <c r="T407" s="533">
        <f t="shared" si="1910"/>
        <v>0</v>
      </c>
      <c r="U407" s="375">
        <f t="shared" si="1911"/>
        <v>0</v>
      </c>
      <c r="V407" s="375">
        <f t="shared" si="1912"/>
        <v>-3.2532229431929482E-5</v>
      </c>
      <c r="W407" s="386">
        <f t="shared" si="1913"/>
        <v>-3.4702292970915249E-5</v>
      </c>
      <c r="X407" s="386">
        <f t="shared" si="1914"/>
        <v>-3.3888921998267506E-5</v>
      </c>
      <c r="Y407" s="386">
        <f t="shared" si="1915"/>
        <v>-3.3888921998267506E-5</v>
      </c>
      <c r="Z407" s="375">
        <f t="shared" si="1916"/>
        <v>-3.1645418682900611E-5</v>
      </c>
      <c r="AA407" s="375">
        <f t="shared" si="1917"/>
        <v>0</v>
      </c>
      <c r="AB407" s="386">
        <f t="shared" si="1918"/>
        <v>0</v>
      </c>
      <c r="AC407" s="386">
        <f t="shared" si="1919"/>
        <v>0</v>
      </c>
      <c r="AD407" s="386">
        <f t="shared" si="1920"/>
        <v>0</v>
      </c>
      <c r="AE407" s="386">
        <f t="shared" si="1921"/>
        <v>0</v>
      </c>
      <c r="AF407" s="386">
        <f t="shared" si="1922"/>
        <v>0</v>
      </c>
      <c r="AG407" s="375">
        <f t="shared" si="1923"/>
        <v>0</v>
      </c>
      <c r="AH407" s="375">
        <f t="shared" si="1924"/>
        <v>0</v>
      </c>
      <c r="AI407" s="386">
        <f t="shared" si="1925"/>
        <v>0</v>
      </c>
      <c r="AJ407" s="386">
        <f t="shared" si="1926"/>
        <v>0</v>
      </c>
      <c r="AK407" s="386">
        <f t="shared" si="1927"/>
        <v>0</v>
      </c>
      <c r="AL407" s="377">
        <f t="shared" si="1928"/>
        <v>0</v>
      </c>
      <c r="AM407" s="377">
        <f t="shared" si="1929"/>
        <v>0</v>
      </c>
      <c r="AN407" s="377">
        <f t="shared" si="1930"/>
        <v>0</v>
      </c>
      <c r="AO407" s="283"/>
      <c r="AP407" s="295">
        <f t="shared" si="1931"/>
        <v>1.0628930000000001</v>
      </c>
      <c r="AQ407" s="20">
        <f t="shared" ref="AQ407:AS413" si="1956">-BA407</f>
        <v>0</v>
      </c>
      <c r="AR407" s="95">
        <f t="shared" si="1956"/>
        <v>0</v>
      </c>
      <c r="AS407" s="94">
        <f t="shared" si="1932"/>
        <v>1.0628930000000001</v>
      </c>
      <c r="AT407" s="94">
        <f t="shared" si="1948"/>
        <v>1.0628930000000001</v>
      </c>
      <c r="AU407" s="94">
        <f t="shared" si="1949"/>
        <v>1.0628930000000001</v>
      </c>
      <c r="AV407" s="94">
        <f t="shared" si="1950"/>
        <v>0</v>
      </c>
      <c r="AW407" s="94">
        <f t="shared" si="1951"/>
        <v>0</v>
      </c>
      <c r="AX407" s="94">
        <f t="shared" si="1952"/>
        <v>0</v>
      </c>
      <c r="AY407" s="94">
        <f t="shared" si="1953"/>
        <v>0</v>
      </c>
      <c r="AZ407" s="433">
        <f t="shared" si="1954"/>
        <v>0</v>
      </c>
      <c r="BA407" s="657">
        <v>0</v>
      </c>
      <c r="BB407" s="327">
        <v>0</v>
      </c>
      <c r="BC407" s="207">
        <f>-1.062893</f>
        <v>-1.0628930000000001</v>
      </c>
      <c r="BD407" s="132">
        <f>-1.062893</f>
        <v>-1.0628930000000001</v>
      </c>
      <c r="BE407" s="132">
        <v>-1.0628930000000001</v>
      </c>
      <c r="BF407" s="132">
        <v>-1.0628930000000001</v>
      </c>
      <c r="BG407" s="60">
        <v>-1.0628930000000001</v>
      </c>
      <c r="BH407" s="207">
        <v>0</v>
      </c>
      <c r="BI407" s="132">
        <v>0</v>
      </c>
      <c r="BJ407" s="132">
        <v>0</v>
      </c>
      <c r="BK407" s="132">
        <v>0</v>
      </c>
      <c r="BL407" s="132">
        <v>0</v>
      </c>
      <c r="BM407" s="132">
        <v>0</v>
      </c>
      <c r="BN407" s="1027">
        <v>0</v>
      </c>
      <c r="BO407" s="207">
        <v>0</v>
      </c>
      <c r="BP407" s="389">
        <v>0</v>
      </c>
      <c r="BQ407" s="389">
        <v>0</v>
      </c>
      <c r="BR407" s="389">
        <v>0</v>
      </c>
      <c r="BS407" s="296">
        <v>0</v>
      </c>
      <c r="BT407" s="296">
        <v>0</v>
      </c>
      <c r="BU407" s="296">
        <v>0</v>
      </c>
      <c r="BV407" s="1027">
        <v>0</v>
      </c>
      <c r="BW407" s="1040">
        <f t="shared" ref="BW407:BW413" si="1957">-BV407</f>
        <v>0</v>
      </c>
      <c r="BX407" s="439" t="s">
        <v>718</v>
      </c>
    </row>
    <row r="408" spans="1:76" ht="116.1" hidden="1" customHeight="1" outlineLevel="1" x14ac:dyDescent="0.25">
      <c r="A408" s="678">
        <v>18</v>
      </c>
      <c r="B408" s="702" t="s">
        <v>133</v>
      </c>
      <c r="C408" s="697" t="s">
        <v>133</v>
      </c>
      <c r="D408" s="63">
        <v>44260</v>
      </c>
      <c r="E408" s="475" t="s">
        <v>1188</v>
      </c>
      <c r="F408" s="559" t="s">
        <v>1187</v>
      </c>
      <c r="G408" s="71" t="s">
        <v>27</v>
      </c>
      <c r="H408" s="311" t="s">
        <v>130</v>
      </c>
      <c r="I408" s="335"/>
      <c r="J408" s="294">
        <f t="shared" si="1900"/>
        <v>0</v>
      </c>
      <c r="K408" s="52">
        <f t="shared" si="1901"/>
        <v>0</v>
      </c>
      <c r="L408" s="52">
        <f t="shared" si="1902"/>
        <v>3.49317764446621E-5</v>
      </c>
      <c r="M408" s="52">
        <f t="shared" si="1903"/>
        <v>3.6388537394003644E-5</v>
      </c>
      <c r="N408" s="52">
        <f t="shared" si="1904"/>
        <v>3.3979555358842627E-5</v>
      </c>
      <c r="O408" s="52">
        <f t="shared" si="1905"/>
        <v>0</v>
      </c>
      <c r="P408" s="52">
        <f t="shared" si="1906"/>
        <v>0</v>
      </c>
      <c r="Q408" s="52">
        <f t="shared" si="1907"/>
        <v>0</v>
      </c>
      <c r="R408" s="52">
        <f t="shared" si="1908"/>
        <v>0</v>
      </c>
      <c r="S408" s="527">
        <f t="shared" si="1909"/>
        <v>0</v>
      </c>
      <c r="T408" s="533">
        <f t="shared" si="1910"/>
        <v>0</v>
      </c>
      <c r="U408" s="375">
        <f t="shared" si="1911"/>
        <v>0</v>
      </c>
      <c r="V408" s="375">
        <f t="shared" si="1912"/>
        <v>-3.49317764446621E-5</v>
      </c>
      <c r="W408" s="386">
        <f t="shared" si="1913"/>
        <v>-3.7261901853779103E-5</v>
      </c>
      <c r="X408" s="386">
        <f t="shared" si="1914"/>
        <v>-3.6388537394003644E-5</v>
      </c>
      <c r="Y408" s="386">
        <f t="shared" si="1915"/>
        <v>-3.6388537394003644E-5</v>
      </c>
      <c r="Z408" s="375">
        <f t="shared" si="1916"/>
        <v>-3.3979555358842627E-5</v>
      </c>
      <c r="AA408" s="375">
        <f t="shared" si="1917"/>
        <v>0</v>
      </c>
      <c r="AB408" s="386">
        <f t="shared" si="1918"/>
        <v>0</v>
      </c>
      <c r="AC408" s="386">
        <f t="shared" si="1919"/>
        <v>0</v>
      </c>
      <c r="AD408" s="386">
        <f t="shared" si="1920"/>
        <v>0</v>
      </c>
      <c r="AE408" s="386">
        <f t="shared" si="1921"/>
        <v>0</v>
      </c>
      <c r="AF408" s="386">
        <f t="shared" si="1922"/>
        <v>0</v>
      </c>
      <c r="AG408" s="375">
        <f t="shared" si="1923"/>
        <v>0</v>
      </c>
      <c r="AH408" s="375">
        <f t="shared" si="1924"/>
        <v>0</v>
      </c>
      <c r="AI408" s="386">
        <f t="shared" si="1925"/>
        <v>0</v>
      </c>
      <c r="AJ408" s="386">
        <f t="shared" si="1926"/>
        <v>0</v>
      </c>
      <c r="AK408" s="386">
        <f t="shared" si="1927"/>
        <v>0</v>
      </c>
      <c r="AL408" s="377">
        <f t="shared" si="1928"/>
        <v>0</v>
      </c>
      <c r="AM408" s="377">
        <f t="shared" si="1929"/>
        <v>0</v>
      </c>
      <c r="AN408" s="377">
        <f t="shared" si="1930"/>
        <v>0</v>
      </c>
      <c r="AO408" s="283"/>
      <c r="AP408" s="295">
        <f t="shared" si="1931"/>
        <v>1.1412910000000001</v>
      </c>
      <c r="AQ408" s="20">
        <f t="shared" si="1956"/>
        <v>0</v>
      </c>
      <c r="AR408" s="95">
        <f t="shared" si="1956"/>
        <v>0</v>
      </c>
      <c r="AS408" s="94">
        <f t="shared" si="1956"/>
        <v>1.1412910000000001</v>
      </c>
      <c r="AT408" s="94">
        <f t="shared" si="1948"/>
        <v>1.1412910000000001</v>
      </c>
      <c r="AU408" s="94">
        <f t="shared" si="1949"/>
        <v>1.1412910000000001</v>
      </c>
      <c r="AV408" s="94">
        <f t="shared" si="1950"/>
        <v>0</v>
      </c>
      <c r="AW408" s="94">
        <f t="shared" si="1951"/>
        <v>0</v>
      </c>
      <c r="AX408" s="94">
        <f t="shared" si="1952"/>
        <v>0</v>
      </c>
      <c r="AY408" s="94">
        <f t="shared" si="1953"/>
        <v>0</v>
      </c>
      <c r="AZ408" s="433">
        <f t="shared" si="1954"/>
        <v>0</v>
      </c>
      <c r="BA408" s="657">
        <v>0</v>
      </c>
      <c r="BB408" s="327">
        <v>0</v>
      </c>
      <c r="BC408" s="207">
        <f>-1.141291</f>
        <v>-1.1412910000000001</v>
      </c>
      <c r="BD408" s="132">
        <f>-1.141291</f>
        <v>-1.1412910000000001</v>
      </c>
      <c r="BE408" s="132">
        <v>-1.1412910000000001</v>
      </c>
      <c r="BF408" s="132">
        <v>-1.1412910000000001</v>
      </c>
      <c r="BG408" s="60">
        <v>-1.1412910000000001</v>
      </c>
      <c r="BH408" s="207">
        <v>0</v>
      </c>
      <c r="BI408" s="132">
        <v>0</v>
      </c>
      <c r="BJ408" s="132">
        <v>0</v>
      </c>
      <c r="BK408" s="132">
        <v>0</v>
      </c>
      <c r="BL408" s="132">
        <v>0</v>
      </c>
      <c r="BM408" s="132">
        <v>0</v>
      </c>
      <c r="BN408" s="1027">
        <v>0</v>
      </c>
      <c r="BO408" s="207">
        <v>0</v>
      </c>
      <c r="BP408" s="389">
        <v>0</v>
      </c>
      <c r="BQ408" s="389">
        <v>0</v>
      </c>
      <c r="BR408" s="389">
        <v>0</v>
      </c>
      <c r="BS408" s="296">
        <v>0</v>
      </c>
      <c r="BT408" s="296">
        <v>0</v>
      </c>
      <c r="BU408" s="296">
        <v>0</v>
      </c>
      <c r="BV408" s="1027">
        <v>0</v>
      </c>
      <c r="BW408" s="1040">
        <f t="shared" si="1957"/>
        <v>0</v>
      </c>
      <c r="BX408" s="439" t="s">
        <v>1186</v>
      </c>
    </row>
    <row r="409" spans="1:76" ht="116.1" hidden="1" customHeight="1" outlineLevel="1" x14ac:dyDescent="0.25">
      <c r="A409" s="678">
        <v>19</v>
      </c>
      <c r="B409" s="702" t="s">
        <v>133</v>
      </c>
      <c r="C409" s="697" t="s">
        <v>133</v>
      </c>
      <c r="D409" s="63">
        <v>44292</v>
      </c>
      <c r="E409" s="475" t="s">
        <v>1326</v>
      </c>
      <c r="F409" s="559" t="s">
        <v>1226</v>
      </c>
      <c r="G409" s="71" t="s">
        <v>27</v>
      </c>
      <c r="H409" s="311" t="s">
        <v>130</v>
      </c>
      <c r="I409" s="335"/>
      <c r="J409" s="294">
        <f t="shared" si="1900"/>
        <v>0</v>
      </c>
      <c r="K409" s="52">
        <f t="shared" si="1901"/>
        <v>0</v>
      </c>
      <c r="L409" s="52">
        <f t="shared" si="1902"/>
        <v>2.3762089862879532E-5</v>
      </c>
      <c r="M409" s="52">
        <f t="shared" si="1903"/>
        <v>2.4753041028555995E-5</v>
      </c>
      <c r="N409" s="52">
        <f t="shared" si="1904"/>
        <v>2.3114348313107058E-5</v>
      </c>
      <c r="O409" s="52">
        <f t="shared" si="1905"/>
        <v>0</v>
      </c>
      <c r="P409" s="52">
        <f t="shared" si="1906"/>
        <v>0</v>
      </c>
      <c r="Q409" s="52">
        <f t="shared" si="1907"/>
        <v>0</v>
      </c>
      <c r="R409" s="52">
        <f t="shared" si="1908"/>
        <v>0</v>
      </c>
      <c r="S409" s="527">
        <f t="shared" si="1909"/>
        <v>0</v>
      </c>
      <c r="T409" s="533">
        <f t="shared" si="1910"/>
        <v>0</v>
      </c>
      <c r="U409" s="375">
        <f t="shared" si="1911"/>
        <v>0</v>
      </c>
      <c r="V409" s="375">
        <f t="shared" si="1912"/>
        <v>-2.3762089862879532E-5</v>
      </c>
      <c r="W409" s="386">
        <f t="shared" si="1913"/>
        <v>0</v>
      </c>
      <c r="X409" s="386">
        <f t="shared" si="1914"/>
        <v>-2.4753041028555995E-5</v>
      </c>
      <c r="Y409" s="386">
        <f t="shared" si="1915"/>
        <v>-2.4753041028555995E-5</v>
      </c>
      <c r="Z409" s="375">
        <f t="shared" si="1916"/>
        <v>-2.3114348313107058E-5</v>
      </c>
      <c r="AA409" s="375">
        <f t="shared" si="1917"/>
        <v>0</v>
      </c>
      <c r="AB409" s="386">
        <f t="shared" si="1918"/>
        <v>0</v>
      </c>
      <c r="AC409" s="386">
        <f t="shared" si="1919"/>
        <v>0</v>
      </c>
      <c r="AD409" s="386">
        <f t="shared" si="1920"/>
        <v>0</v>
      </c>
      <c r="AE409" s="386">
        <f t="shared" si="1921"/>
        <v>0</v>
      </c>
      <c r="AF409" s="386">
        <f t="shared" si="1922"/>
        <v>0</v>
      </c>
      <c r="AG409" s="375">
        <f t="shared" si="1923"/>
        <v>0</v>
      </c>
      <c r="AH409" s="375">
        <f t="shared" si="1924"/>
        <v>0</v>
      </c>
      <c r="AI409" s="386">
        <f t="shared" si="1925"/>
        <v>0</v>
      </c>
      <c r="AJ409" s="386">
        <f t="shared" si="1926"/>
        <v>0</v>
      </c>
      <c r="AK409" s="386">
        <f t="shared" si="1927"/>
        <v>0</v>
      </c>
      <c r="AL409" s="377">
        <f t="shared" si="1928"/>
        <v>0</v>
      </c>
      <c r="AM409" s="377">
        <f t="shared" si="1929"/>
        <v>0</v>
      </c>
      <c r="AN409" s="377">
        <f t="shared" si="1930"/>
        <v>0</v>
      </c>
      <c r="AO409" s="283"/>
      <c r="AP409" s="295">
        <f t="shared" si="1931"/>
        <v>0.77635500000000002</v>
      </c>
      <c r="AQ409" s="20">
        <f t="shared" si="1956"/>
        <v>0</v>
      </c>
      <c r="AR409" s="95">
        <f t="shared" ref="AR409:AR412" si="1958">-BB409</f>
        <v>0</v>
      </c>
      <c r="AS409" s="94">
        <f t="shared" ref="AS409:AS412" si="1959">-BC409</f>
        <v>0.77635500000000002</v>
      </c>
      <c r="AT409" s="94">
        <f t="shared" si="1948"/>
        <v>0.77635500000000002</v>
      </c>
      <c r="AU409" s="94">
        <f t="shared" si="1949"/>
        <v>0.77635500000000002</v>
      </c>
      <c r="AV409" s="94">
        <f t="shared" si="1950"/>
        <v>0</v>
      </c>
      <c r="AW409" s="94">
        <f t="shared" si="1951"/>
        <v>0</v>
      </c>
      <c r="AX409" s="94">
        <f t="shared" si="1952"/>
        <v>0</v>
      </c>
      <c r="AY409" s="94">
        <f t="shared" si="1953"/>
        <v>0</v>
      </c>
      <c r="AZ409" s="433">
        <f t="shared" si="1954"/>
        <v>0</v>
      </c>
      <c r="BA409" s="657">
        <v>0</v>
      </c>
      <c r="BB409" s="327">
        <v>0</v>
      </c>
      <c r="BC409" s="207">
        <f>-0.776355</f>
        <v>-0.77635500000000002</v>
      </c>
      <c r="BD409" s="132">
        <v>0</v>
      </c>
      <c r="BE409" s="132">
        <v>-0.77635500000000002</v>
      </c>
      <c r="BF409" s="132">
        <v>-0.77635500000000002</v>
      </c>
      <c r="BG409" s="60">
        <v>-0.77635500000000002</v>
      </c>
      <c r="BH409" s="207">
        <v>0</v>
      </c>
      <c r="BI409" s="132">
        <v>0</v>
      </c>
      <c r="BJ409" s="132">
        <v>0</v>
      </c>
      <c r="BK409" s="132">
        <v>0</v>
      </c>
      <c r="BL409" s="132">
        <v>0</v>
      </c>
      <c r="BM409" s="132">
        <v>0</v>
      </c>
      <c r="BN409" s="1027">
        <v>0</v>
      </c>
      <c r="BO409" s="207">
        <v>0</v>
      </c>
      <c r="BP409" s="389">
        <v>0</v>
      </c>
      <c r="BQ409" s="389">
        <v>0</v>
      </c>
      <c r="BR409" s="389">
        <v>0</v>
      </c>
      <c r="BS409" s="296">
        <v>0</v>
      </c>
      <c r="BT409" s="296">
        <v>0</v>
      </c>
      <c r="BU409" s="296">
        <v>0</v>
      </c>
      <c r="BV409" s="1027">
        <v>0</v>
      </c>
      <c r="BW409" s="1040">
        <f t="shared" si="1957"/>
        <v>0</v>
      </c>
      <c r="BX409" s="439" t="s">
        <v>1227</v>
      </c>
    </row>
    <row r="410" spans="1:76" ht="153" hidden="1" customHeight="1" outlineLevel="1" x14ac:dyDescent="0.25">
      <c r="A410" s="678">
        <v>20</v>
      </c>
      <c r="B410" s="702" t="s">
        <v>133</v>
      </c>
      <c r="C410" s="697" t="s">
        <v>133</v>
      </c>
      <c r="D410" s="265" t="s">
        <v>1482</v>
      </c>
      <c r="E410" s="475" t="s">
        <v>1447</v>
      </c>
      <c r="F410" s="560" t="s">
        <v>1483</v>
      </c>
      <c r="G410" s="71" t="s">
        <v>27</v>
      </c>
      <c r="H410" s="311" t="s">
        <v>130</v>
      </c>
      <c r="I410" s="335"/>
      <c r="J410" s="294">
        <f t="shared" si="1900"/>
        <v>0</v>
      </c>
      <c r="K410" s="52">
        <f t="shared" si="1901"/>
        <v>0</v>
      </c>
      <c r="L410" s="52">
        <f t="shared" si="1902"/>
        <v>3.5868021547502447E-6</v>
      </c>
      <c r="M410" s="52">
        <f t="shared" si="1903"/>
        <v>3.7363826755214041E-6</v>
      </c>
      <c r="N410" s="52">
        <f t="shared" si="1904"/>
        <v>3.4890278933173483E-6</v>
      </c>
      <c r="O410" s="52">
        <f t="shared" si="1905"/>
        <v>0</v>
      </c>
      <c r="P410" s="52">
        <f t="shared" si="1906"/>
        <v>0</v>
      </c>
      <c r="Q410" s="52">
        <f t="shared" si="1907"/>
        <v>0</v>
      </c>
      <c r="R410" s="52">
        <f t="shared" si="1908"/>
        <v>0</v>
      </c>
      <c r="S410" s="527">
        <f t="shared" si="1909"/>
        <v>0</v>
      </c>
      <c r="T410" s="533">
        <f t="shared" si="1910"/>
        <v>0</v>
      </c>
      <c r="U410" s="375">
        <f t="shared" si="1911"/>
        <v>0</v>
      </c>
      <c r="V410" s="375">
        <f t="shared" si="1912"/>
        <v>-3.5868021547502447E-6</v>
      </c>
      <c r="W410" s="386">
        <f t="shared" si="1913"/>
        <v>0</v>
      </c>
      <c r="X410" s="386">
        <f t="shared" si="1914"/>
        <v>-3.7363826755214041E-6</v>
      </c>
      <c r="Y410" s="386">
        <f t="shared" si="1915"/>
        <v>-3.7363826755214041E-6</v>
      </c>
      <c r="Z410" s="375">
        <f t="shared" si="1916"/>
        <v>-3.4890278933173483E-6</v>
      </c>
      <c r="AA410" s="375">
        <f t="shared" si="1917"/>
        <v>0</v>
      </c>
      <c r="AB410" s="386">
        <f t="shared" si="1918"/>
        <v>0</v>
      </c>
      <c r="AC410" s="386">
        <f t="shared" si="1919"/>
        <v>0</v>
      </c>
      <c r="AD410" s="386">
        <f t="shared" si="1920"/>
        <v>0</v>
      </c>
      <c r="AE410" s="386">
        <f t="shared" si="1921"/>
        <v>0</v>
      </c>
      <c r="AF410" s="386">
        <f t="shared" si="1922"/>
        <v>0</v>
      </c>
      <c r="AG410" s="375">
        <f t="shared" si="1923"/>
        <v>0</v>
      </c>
      <c r="AH410" s="375">
        <f t="shared" si="1924"/>
        <v>0</v>
      </c>
      <c r="AI410" s="386">
        <f t="shared" si="1925"/>
        <v>0</v>
      </c>
      <c r="AJ410" s="386">
        <f t="shared" si="1926"/>
        <v>0</v>
      </c>
      <c r="AK410" s="386">
        <f t="shared" si="1927"/>
        <v>0</v>
      </c>
      <c r="AL410" s="377">
        <f t="shared" si="1928"/>
        <v>0</v>
      </c>
      <c r="AM410" s="377">
        <f t="shared" si="1929"/>
        <v>0</v>
      </c>
      <c r="AN410" s="377">
        <f t="shared" si="1930"/>
        <v>0</v>
      </c>
      <c r="AO410" s="283"/>
      <c r="AP410" s="295">
        <f t="shared" si="1931"/>
        <v>0.117188</v>
      </c>
      <c r="AQ410" s="20">
        <f t="shared" si="1956"/>
        <v>0</v>
      </c>
      <c r="AR410" s="95">
        <f t="shared" si="1958"/>
        <v>0</v>
      </c>
      <c r="AS410" s="94">
        <f>-BC410</f>
        <v>0.117188</v>
      </c>
      <c r="AT410" s="94">
        <f t="shared" si="1948"/>
        <v>0.117188</v>
      </c>
      <c r="AU410" s="94">
        <f t="shared" si="1949"/>
        <v>0.117188</v>
      </c>
      <c r="AV410" s="94">
        <f t="shared" si="1950"/>
        <v>0</v>
      </c>
      <c r="AW410" s="94">
        <f t="shared" si="1951"/>
        <v>0</v>
      </c>
      <c r="AX410" s="94">
        <f t="shared" si="1952"/>
        <v>0</v>
      </c>
      <c r="AY410" s="94">
        <f t="shared" si="1953"/>
        <v>0</v>
      </c>
      <c r="AZ410" s="433">
        <f t="shared" si="1954"/>
        <v>0</v>
      </c>
      <c r="BA410" s="657">
        <v>0</v>
      </c>
      <c r="BB410" s="327">
        <v>0</v>
      </c>
      <c r="BC410" s="207">
        <f>-0.105795-0.011393</f>
        <v>-0.117188</v>
      </c>
      <c r="BD410" s="132">
        <v>0</v>
      </c>
      <c r="BE410" s="132">
        <v>-0.117188</v>
      </c>
      <c r="BF410" s="132">
        <v>-0.117188</v>
      </c>
      <c r="BG410" s="60">
        <v>-0.117188</v>
      </c>
      <c r="BH410" s="207">
        <v>0</v>
      </c>
      <c r="BI410" s="132">
        <v>0</v>
      </c>
      <c r="BJ410" s="132">
        <v>0</v>
      </c>
      <c r="BK410" s="132">
        <v>0</v>
      </c>
      <c r="BL410" s="132">
        <v>0</v>
      </c>
      <c r="BM410" s="132">
        <v>0</v>
      </c>
      <c r="BN410" s="1027">
        <v>0</v>
      </c>
      <c r="BO410" s="207">
        <v>0</v>
      </c>
      <c r="BP410" s="389">
        <v>0</v>
      </c>
      <c r="BQ410" s="389">
        <v>0</v>
      </c>
      <c r="BR410" s="389">
        <v>0</v>
      </c>
      <c r="BS410" s="296">
        <v>0</v>
      </c>
      <c r="BT410" s="296">
        <v>0</v>
      </c>
      <c r="BU410" s="296">
        <v>0</v>
      </c>
      <c r="BV410" s="1027">
        <v>0</v>
      </c>
      <c r="BW410" s="1040">
        <f t="shared" si="1957"/>
        <v>0</v>
      </c>
      <c r="BX410" s="439" t="s">
        <v>1540</v>
      </c>
    </row>
    <row r="411" spans="1:76" ht="101.1" hidden="1" customHeight="1" outlineLevel="1" x14ac:dyDescent="0.25">
      <c r="A411" s="678">
        <v>21</v>
      </c>
      <c r="B411" s="702" t="s">
        <v>133</v>
      </c>
      <c r="C411" s="697" t="s">
        <v>133</v>
      </c>
      <c r="D411" s="63">
        <v>44329</v>
      </c>
      <c r="E411" s="475" t="s">
        <v>1448</v>
      </c>
      <c r="F411" s="559" t="s">
        <v>1371</v>
      </c>
      <c r="G411" s="71" t="s">
        <v>27</v>
      </c>
      <c r="H411" s="311" t="s">
        <v>130</v>
      </c>
      <c r="I411" s="335"/>
      <c r="J411" s="294">
        <f t="shared" si="1900"/>
        <v>0</v>
      </c>
      <c r="K411" s="52">
        <f t="shared" si="1901"/>
        <v>0</v>
      </c>
      <c r="L411" s="52">
        <f t="shared" si="1902"/>
        <v>2.6038840597453475E-5</v>
      </c>
      <c r="M411" s="52">
        <f t="shared" si="1903"/>
        <v>2.7124739169161985E-5</v>
      </c>
      <c r="N411" s="52">
        <f t="shared" si="1904"/>
        <v>2.5329036070149625E-5</v>
      </c>
      <c r="O411" s="52">
        <f t="shared" si="1905"/>
        <v>0</v>
      </c>
      <c r="P411" s="52">
        <f t="shared" si="1906"/>
        <v>0</v>
      </c>
      <c r="Q411" s="52">
        <f t="shared" si="1907"/>
        <v>0</v>
      </c>
      <c r="R411" s="52">
        <f t="shared" si="1908"/>
        <v>0</v>
      </c>
      <c r="S411" s="527">
        <f t="shared" si="1909"/>
        <v>0</v>
      </c>
      <c r="T411" s="533">
        <f t="shared" si="1910"/>
        <v>0</v>
      </c>
      <c r="U411" s="375">
        <f t="shared" si="1911"/>
        <v>0</v>
      </c>
      <c r="V411" s="375">
        <f t="shared" si="1912"/>
        <v>-2.6038840597453475E-5</v>
      </c>
      <c r="W411" s="386">
        <f t="shared" si="1913"/>
        <v>0</v>
      </c>
      <c r="X411" s="386">
        <f t="shared" si="1914"/>
        <v>-2.7124739169161985E-5</v>
      </c>
      <c r="Y411" s="386">
        <f t="shared" si="1915"/>
        <v>-2.7124739169161985E-5</v>
      </c>
      <c r="Z411" s="375">
        <f t="shared" si="1916"/>
        <v>-2.5329036070149625E-5</v>
      </c>
      <c r="AA411" s="375">
        <f t="shared" si="1917"/>
        <v>0</v>
      </c>
      <c r="AB411" s="386">
        <f t="shared" si="1918"/>
        <v>0</v>
      </c>
      <c r="AC411" s="386">
        <f t="shared" si="1919"/>
        <v>0</v>
      </c>
      <c r="AD411" s="386">
        <f t="shared" si="1920"/>
        <v>0</v>
      </c>
      <c r="AE411" s="386">
        <f t="shared" si="1921"/>
        <v>0</v>
      </c>
      <c r="AF411" s="386">
        <f t="shared" si="1922"/>
        <v>0</v>
      </c>
      <c r="AG411" s="375">
        <f t="shared" si="1923"/>
        <v>0</v>
      </c>
      <c r="AH411" s="375">
        <f t="shared" si="1924"/>
        <v>0</v>
      </c>
      <c r="AI411" s="386">
        <f t="shared" si="1925"/>
        <v>0</v>
      </c>
      <c r="AJ411" s="386">
        <f t="shared" si="1926"/>
        <v>0</v>
      </c>
      <c r="AK411" s="386">
        <f t="shared" si="1927"/>
        <v>0</v>
      </c>
      <c r="AL411" s="377">
        <f t="shared" si="1928"/>
        <v>0</v>
      </c>
      <c r="AM411" s="377">
        <f t="shared" si="1929"/>
        <v>0</v>
      </c>
      <c r="AN411" s="377">
        <f t="shared" si="1930"/>
        <v>0</v>
      </c>
      <c r="AO411" s="283"/>
      <c r="AP411" s="295">
        <f t="shared" si="1931"/>
        <v>0.85074099999999997</v>
      </c>
      <c r="AQ411" s="20">
        <f t="shared" si="1956"/>
        <v>0</v>
      </c>
      <c r="AR411" s="95">
        <f t="shared" si="1958"/>
        <v>0</v>
      </c>
      <c r="AS411" s="94">
        <f t="shared" si="1959"/>
        <v>0.85074099999999997</v>
      </c>
      <c r="AT411" s="94">
        <f t="shared" si="1948"/>
        <v>0.85074099999999997</v>
      </c>
      <c r="AU411" s="94">
        <f t="shared" si="1949"/>
        <v>0.85074099999999997</v>
      </c>
      <c r="AV411" s="94">
        <f t="shared" si="1950"/>
        <v>0</v>
      </c>
      <c r="AW411" s="94">
        <f t="shared" si="1951"/>
        <v>0</v>
      </c>
      <c r="AX411" s="94">
        <f t="shared" si="1952"/>
        <v>0</v>
      </c>
      <c r="AY411" s="94">
        <f t="shared" si="1953"/>
        <v>0</v>
      </c>
      <c r="AZ411" s="433">
        <f t="shared" si="1954"/>
        <v>0</v>
      </c>
      <c r="BA411" s="657">
        <v>0</v>
      </c>
      <c r="BB411" s="327">
        <v>0</v>
      </c>
      <c r="BC411" s="207">
        <v>-0.85074099999999997</v>
      </c>
      <c r="BD411" s="132">
        <v>0</v>
      </c>
      <c r="BE411" s="132">
        <v>-0.85074099999999997</v>
      </c>
      <c r="BF411" s="132">
        <v>-0.85074099999999997</v>
      </c>
      <c r="BG411" s="60">
        <v>-0.85074099999999997</v>
      </c>
      <c r="BH411" s="207">
        <v>0</v>
      </c>
      <c r="BI411" s="132">
        <v>0</v>
      </c>
      <c r="BJ411" s="132">
        <v>0</v>
      </c>
      <c r="BK411" s="132">
        <v>0</v>
      </c>
      <c r="BL411" s="132">
        <v>0</v>
      </c>
      <c r="BM411" s="132">
        <v>0</v>
      </c>
      <c r="BN411" s="1027">
        <v>0</v>
      </c>
      <c r="BO411" s="207">
        <v>0</v>
      </c>
      <c r="BP411" s="389">
        <v>0</v>
      </c>
      <c r="BQ411" s="389">
        <v>0</v>
      </c>
      <c r="BR411" s="389">
        <v>0</v>
      </c>
      <c r="BS411" s="296">
        <v>0</v>
      </c>
      <c r="BT411" s="296">
        <v>0</v>
      </c>
      <c r="BU411" s="296">
        <v>0</v>
      </c>
      <c r="BV411" s="1027">
        <v>0</v>
      </c>
      <c r="BW411" s="1040">
        <f t="shared" si="1957"/>
        <v>0</v>
      </c>
      <c r="BX411" s="439" t="s">
        <v>1370</v>
      </c>
    </row>
    <row r="412" spans="1:76" ht="139.5" hidden="1" customHeight="1" outlineLevel="1" x14ac:dyDescent="0.25">
      <c r="A412" s="678">
        <v>22</v>
      </c>
      <c r="B412" s="702" t="s">
        <v>133</v>
      </c>
      <c r="C412" s="697" t="s">
        <v>133</v>
      </c>
      <c r="D412" s="63">
        <v>44355</v>
      </c>
      <c r="E412" s="475" t="s">
        <v>1465</v>
      </c>
      <c r="F412" s="559" t="s">
        <v>1556</v>
      </c>
      <c r="G412" s="71" t="s">
        <v>27</v>
      </c>
      <c r="H412" s="311" t="s">
        <v>130</v>
      </c>
      <c r="I412" s="335"/>
      <c r="J412" s="294">
        <f t="shared" si="1900"/>
        <v>0</v>
      </c>
      <c r="K412" s="52">
        <f t="shared" si="1901"/>
        <v>0</v>
      </c>
      <c r="L412" s="52">
        <f t="shared" si="1902"/>
        <v>1.3737717311459354E-4</v>
      </c>
      <c r="M412" s="52">
        <f t="shared" si="1903"/>
        <v>1.4310621759766777E-4</v>
      </c>
      <c r="N412" s="52">
        <f t="shared" si="1904"/>
        <v>1.3363234664814634E-4</v>
      </c>
      <c r="O412" s="52">
        <f t="shared" si="1905"/>
        <v>0</v>
      </c>
      <c r="P412" s="52">
        <f t="shared" si="1906"/>
        <v>0</v>
      </c>
      <c r="Q412" s="52">
        <f t="shared" si="1907"/>
        <v>0</v>
      </c>
      <c r="R412" s="52">
        <f t="shared" si="1908"/>
        <v>0</v>
      </c>
      <c r="S412" s="527">
        <f t="shared" si="1909"/>
        <v>0</v>
      </c>
      <c r="T412" s="533">
        <f t="shared" si="1910"/>
        <v>0</v>
      </c>
      <c r="U412" s="375">
        <f t="shared" si="1911"/>
        <v>0</v>
      </c>
      <c r="V412" s="375">
        <f t="shared" si="1912"/>
        <v>-1.3737717311459354E-4</v>
      </c>
      <c r="W412" s="386">
        <f t="shared" si="1913"/>
        <v>0</v>
      </c>
      <c r="X412" s="386">
        <f t="shared" si="1914"/>
        <v>-1.4310621759766777E-4</v>
      </c>
      <c r="Y412" s="386">
        <f t="shared" si="1915"/>
        <v>-1.4310621759766777E-4</v>
      </c>
      <c r="Z412" s="375">
        <f t="shared" si="1916"/>
        <v>-1.3363234664814634E-4</v>
      </c>
      <c r="AA412" s="375">
        <f t="shared" si="1917"/>
        <v>0</v>
      </c>
      <c r="AB412" s="386">
        <f t="shared" si="1918"/>
        <v>0</v>
      </c>
      <c r="AC412" s="386">
        <f t="shared" si="1919"/>
        <v>0</v>
      </c>
      <c r="AD412" s="386">
        <f t="shared" si="1920"/>
        <v>0</v>
      </c>
      <c r="AE412" s="386">
        <f t="shared" si="1921"/>
        <v>0</v>
      </c>
      <c r="AF412" s="386">
        <f t="shared" si="1922"/>
        <v>0</v>
      </c>
      <c r="AG412" s="375">
        <f t="shared" si="1923"/>
        <v>0</v>
      </c>
      <c r="AH412" s="375">
        <f t="shared" si="1924"/>
        <v>0</v>
      </c>
      <c r="AI412" s="386">
        <f t="shared" si="1925"/>
        <v>0</v>
      </c>
      <c r="AJ412" s="386">
        <f t="shared" si="1926"/>
        <v>0</v>
      </c>
      <c r="AK412" s="386">
        <f t="shared" si="1927"/>
        <v>0</v>
      </c>
      <c r="AL412" s="377">
        <f t="shared" si="1928"/>
        <v>0</v>
      </c>
      <c r="AM412" s="377">
        <f t="shared" si="1929"/>
        <v>0</v>
      </c>
      <c r="AN412" s="377">
        <f t="shared" si="1930"/>
        <v>0</v>
      </c>
      <c r="AO412" s="283"/>
      <c r="AP412" s="295">
        <f t="shared" si="1931"/>
        <v>4.4883870000000003</v>
      </c>
      <c r="AQ412" s="20">
        <f t="shared" si="1956"/>
        <v>0</v>
      </c>
      <c r="AR412" s="95">
        <f t="shared" si="1958"/>
        <v>0</v>
      </c>
      <c r="AS412" s="94">
        <f t="shared" si="1959"/>
        <v>4.4883870000000003</v>
      </c>
      <c r="AT412" s="94">
        <f t="shared" si="1948"/>
        <v>4.4883870000000003</v>
      </c>
      <c r="AU412" s="94">
        <f t="shared" si="1949"/>
        <v>4.4883870000000003</v>
      </c>
      <c r="AV412" s="94">
        <f t="shared" si="1950"/>
        <v>0</v>
      </c>
      <c r="AW412" s="94">
        <f t="shared" ref="AW412" si="1960">-BH412</f>
        <v>0</v>
      </c>
      <c r="AX412" s="94">
        <f t="shared" si="1952"/>
        <v>0</v>
      </c>
      <c r="AY412" s="94">
        <f t="shared" ref="AY412" si="1961">-BO412</f>
        <v>0</v>
      </c>
      <c r="AZ412" s="433">
        <f t="shared" ref="AZ412" si="1962">-BU412</f>
        <v>0</v>
      </c>
      <c r="BA412" s="657">
        <v>0</v>
      </c>
      <c r="BB412" s="327">
        <v>0</v>
      </c>
      <c r="BC412" s="207">
        <v>-4.4883870000000003</v>
      </c>
      <c r="BD412" s="132">
        <v>0</v>
      </c>
      <c r="BE412" s="132">
        <v>-4.4883870000000003</v>
      </c>
      <c r="BF412" s="132">
        <v>-4.4883870000000003</v>
      </c>
      <c r="BG412" s="60">
        <v>-4.4883870000000003</v>
      </c>
      <c r="BH412" s="207">
        <v>0</v>
      </c>
      <c r="BI412" s="132">
        <v>0</v>
      </c>
      <c r="BJ412" s="132">
        <v>0</v>
      </c>
      <c r="BK412" s="132">
        <v>0</v>
      </c>
      <c r="BL412" s="132">
        <v>0</v>
      </c>
      <c r="BM412" s="132">
        <v>0</v>
      </c>
      <c r="BN412" s="1027">
        <v>0</v>
      </c>
      <c r="BO412" s="207">
        <v>0</v>
      </c>
      <c r="BP412" s="389">
        <v>0</v>
      </c>
      <c r="BQ412" s="389">
        <v>0</v>
      </c>
      <c r="BR412" s="389">
        <v>0</v>
      </c>
      <c r="BS412" s="296">
        <v>0</v>
      </c>
      <c r="BT412" s="296">
        <v>0</v>
      </c>
      <c r="BU412" s="296">
        <v>0</v>
      </c>
      <c r="BV412" s="1027">
        <v>0</v>
      </c>
      <c r="BW412" s="1040">
        <f t="shared" ref="BW412" si="1963">-BV412</f>
        <v>0</v>
      </c>
      <c r="BX412" s="439" t="s">
        <v>1464</v>
      </c>
    </row>
    <row r="413" spans="1:76" ht="128.44999999999999" hidden="1" customHeight="1" outlineLevel="1" x14ac:dyDescent="0.25">
      <c r="A413" s="678">
        <v>23</v>
      </c>
      <c r="B413" s="702" t="s">
        <v>133</v>
      </c>
      <c r="C413" s="697" t="s">
        <v>133</v>
      </c>
      <c r="D413" s="63">
        <v>44418</v>
      </c>
      <c r="E413" s="463" t="s">
        <v>1610</v>
      </c>
      <c r="F413" s="559" t="s">
        <v>1560</v>
      </c>
      <c r="G413" s="71" t="s">
        <v>27</v>
      </c>
      <c r="H413" s="311" t="s">
        <v>130</v>
      </c>
      <c r="I413" s="335"/>
      <c r="J413" s="294">
        <f t="shared" si="1900"/>
        <v>0</v>
      </c>
      <c r="K413" s="52">
        <f t="shared" si="1901"/>
        <v>0</v>
      </c>
      <c r="L413" s="52">
        <f t="shared" si="1902"/>
        <v>1.9908025220372184E-5</v>
      </c>
      <c r="M413" s="52">
        <f t="shared" si="1903"/>
        <v>2.073825020951603E-5</v>
      </c>
      <c r="N413" s="52">
        <f t="shared" si="1904"/>
        <v>1.9365343361008546E-5</v>
      </c>
      <c r="O413" s="52">
        <f t="shared" si="1905"/>
        <v>0</v>
      </c>
      <c r="P413" s="52">
        <f t="shared" si="1906"/>
        <v>0</v>
      </c>
      <c r="Q413" s="52">
        <f t="shared" si="1907"/>
        <v>0</v>
      </c>
      <c r="R413" s="52">
        <f t="shared" si="1908"/>
        <v>0</v>
      </c>
      <c r="S413" s="527">
        <f t="shared" si="1909"/>
        <v>0</v>
      </c>
      <c r="T413" s="533">
        <f t="shared" si="1910"/>
        <v>0</v>
      </c>
      <c r="U413" s="375">
        <f t="shared" si="1911"/>
        <v>0</v>
      </c>
      <c r="V413" s="375">
        <f t="shared" si="1912"/>
        <v>-1.9908025220372184E-5</v>
      </c>
      <c r="W413" s="386">
        <f t="shared" si="1913"/>
        <v>0</v>
      </c>
      <c r="X413" s="386">
        <f t="shared" si="1914"/>
        <v>0</v>
      </c>
      <c r="Y413" s="386">
        <f t="shared" si="1915"/>
        <v>0</v>
      </c>
      <c r="Z413" s="375">
        <f t="shared" si="1916"/>
        <v>-1.9365343361008546E-5</v>
      </c>
      <c r="AA413" s="375">
        <f t="shared" si="1917"/>
        <v>0</v>
      </c>
      <c r="AB413" s="386">
        <f t="shared" si="1918"/>
        <v>0</v>
      </c>
      <c r="AC413" s="386">
        <f t="shared" si="1919"/>
        <v>0</v>
      </c>
      <c r="AD413" s="386">
        <f t="shared" si="1920"/>
        <v>0</v>
      </c>
      <c r="AE413" s="386">
        <f t="shared" si="1921"/>
        <v>0</v>
      </c>
      <c r="AF413" s="386">
        <f t="shared" si="1922"/>
        <v>0</v>
      </c>
      <c r="AG413" s="375">
        <f t="shared" si="1923"/>
        <v>0</v>
      </c>
      <c r="AH413" s="375">
        <f t="shared" si="1924"/>
        <v>0</v>
      </c>
      <c r="AI413" s="386">
        <f t="shared" si="1925"/>
        <v>0</v>
      </c>
      <c r="AJ413" s="386">
        <f t="shared" si="1926"/>
        <v>0</v>
      </c>
      <c r="AK413" s="386">
        <f t="shared" si="1927"/>
        <v>0</v>
      </c>
      <c r="AL413" s="377">
        <f t="shared" si="1928"/>
        <v>0</v>
      </c>
      <c r="AM413" s="377">
        <f t="shared" si="1929"/>
        <v>0</v>
      </c>
      <c r="AN413" s="377">
        <f t="shared" si="1930"/>
        <v>0</v>
      </c>
      <c r="AO413" s="283"/>
      <c r="AP413" s="295">
        <f t="shared" si="1931"/>
        <v>0.65043499999999999</v>
      </c>
      <c r="AQ413" s="20">
        <f t="shared" si="1947"/>
        <v>0</v>
      </c>
      <c r="AR413" s="95">
        <f t="shared" si="1956"/>
        <v>0</v>
      </c>
      <c r="AS413" s="94">
        <f t="shared" si="1956"/>
        <v>0.65043499999999999</v>
      </c>
      <c r="AT413" s="94">
        <f t="shared" si="1948"/>
        <v>0.65043499999999999</v>
      </c>
      <c r="AU413" s="94">
        <f t="shared" si="1949"/>
        <v>0.65043499999999999</v>
      </c>
      <c r="AV413" s="94">
        <f t="shared" si="1950"/>
        <v>0</v>
      </c>
      <c r="AW413" s="94">
        <f t="shared" si="1951"/>
        <v>0</v>
      </c>
      <c r="AX413" s="94">
        <f t="shared" si="1952"/>
        <v>0</v>
      </c>
      <c r="AY413" s="94">
        <f t="shared" si="1953"/>
        <v>0</v>
      </c>
      <c r="AZ413" s="433">
        <f t="shared" si="1954"/>
        <v>0</v>
      </c>
      <c r="BA413" s="657">
        <v>0</v>
      </c>
      <c r="BB413" s="327">
        <v>0</v>
      </c>
      <c r="BC413" s="207">
        <f>-0.650435</f>
        <v>-0.65043499999999999</v>
      </c>
      <c r="BD413" s="132">
        <v>0</v>
      </c>
      <c r="BE413" s="132">
        <v>0</v>
      </c>
      <c r="BF413" s="132">
        <v>0</v>
      </c>
      <c r="BG413" s="60">
        <v>-0.65043499999999999</v>
      </c>
      <c r="BH413" s="207">
        <v>0</v>
      </c>
      <c r="BI413" s="132">
        <v>0</v>
      </c>
      <c r="BJ413" s="132">
        <v>0</v>
      </c>
      <c r="BK413" s="132">
        <v>0</v>
      </c>
      <c r="BL413" s="132">
        <v>0</v>
      </c>
      <c r="BM413" s="132">
        <v>0</v>
      </c>
      <c r="BN413" s="1027">
        <v>0</v>
      </c>
      <c r="BO413" s="207">
        <v>0</v>
      </c>
      <c r="BP413" s="389">
        <v>0</v>
      </c>
      <c r="BQ413" s="389">
        <v>0</v>
      </c>
      <c r="BR413" s="389">
        <v>0</v>
      </c>
      <c r="BS413" s="296">
        <v>0</v>
      </c>
      <c r="BT413" s="296">
        <v>0</v>
      </c>
      <c r="BU413" s="296">
        <v>0</v>
      </c>
      <c r="BV413" s="1027">
        <v>0</v>
      </c>
      <c r="BW413" s="1040">
        <f t="shared" si="1957"/>
        <v>0</v>
      </c>
      <c r="BX413" s="439" t="s">
        <v>1561</v>
      </c>
    </row>
    <row r="414" spans="1:76" ht="57.95" hidden="1" customHeight="1" outlineLevel="1" x14ac:dyDescent="0.25">
      <c r="A414" s="678">
        <v>24</v>
      </c>
      <c r="B414" s="702" t="s">
        <v>193</v>
      </c>
      <c r="C414" s="694" t="s">
        <v>193</v>
      </c>
      <c r="D414" s="63">
        <v>43965</v>
      </c>
      <c r="E414" s="463" t="s">
        <v>279</v>
      </c>
      <c r="F414" s="542" t="s">
        <v>278</v>
      </c>
      <c r="G414" s="71" t="s">
        <v>192</v>
      </c>
      <c r="H414" s="311" t="s">
        <v>127</v>
      </c>
      <c r="I414" s="335"/>
      <c r="J414" s="294">
        <f t="shared" si="1900"/>
        <v>8.3847627154713774E-6</v>
      </c>
      <c r="K414" s="52">
        <f t="shared" si="1901"/>
        <v>2.2604112458405604E-6</v>
      </c>
      <c r="L414" s="52">
        <f t="shared" si="1902"/>
        <v>0</v>
      </c>
      <c r="M414" s="52">
        <f t="shared" si="1903"/>
        <v>0</v>
      </c>
      <c r="N414" s="52">
        <f t="shared" si="1904"/>
        <v>0</v>
      </c>
      <c r="O414" s="52">
        <f t="shared" si="1905"/>
        <v>0</v>
      </c>
      <c r="P414" s="52">
        <f t="shared" si="1906"/>
        <v>0</v>
      </c>
      <c r="Q414" s="52">
        <f t="shared" si="1907"/>
        <v>0</v>
      </c>
      <c r="R414" s="52">
        <f t="shared" si="1908"/>
        <v>0</v>
      </c>
      <c r="S414" s="527">
        <f t="shared" si="1909"/>
        <v>0</v>
      </c>
      <c r="T414" s="533">
        <f t="shared" si="1910"/>
        <v>-8.3847627154713774E-6</v>
      </c>
      <c r="U414" s="375">
        <f t="shared" si="1911"/>
        <v>-2.2604112458405604E-6</v>
      </c>
      <c r="V414" s="375">
        <f t="shared" si="1912"/>
        <v>0</v>
      </c>
      <c r="W414" s="386">
        <f t="shared" si="1913"/>
        <v>0</v>
      </c>
      <c r="X414" s="386">
        <f t="shared" si="1914"/>
        <v>0</v>
      </c>
      <c r="Y414" s="386">
        <f t="shared" si="1915"/>
        <v>0</v>
      </c>
      <c r="Z414" s="375">
        <f t="shared" si="1916"/>
        <v>0</v>
      </c>
      <c r="AA414" s="375">
        <f t="shared" si="1917"/>
        <v>0</v>
      </c>
      <c r="AB414" s="386">
        <f t="shared" si="1918"/>
        <v>0</v>
      </c>
      <c r="AC414" s="386">
        <f t="shared" si="1919"/>
        <v>0</v>
      </c>
      <c r="AD414" s="386">
        <f t="shared" si="1920"/>
        <v>0</v>
      </c>
      <c r="AE414" s="386">
        <f t="shared" si="1921"/>
        <v>0</v>
      </c>
      <c r="AF414" s="386">
        <f t="shared" si="1922"/>
        <v>0</v>
      </c>
      <c r="AG414" s="375">
        <f t="shared" si="1923"/>
        <v>0</v>
      </c>
      <c r="AH414" s="375">
        <f t="shared" si="1924"/>
        <v>0</v>
      </c>
      <c r="AI414" s="386">
        <f t="shared" si="1925"/>
        <v>0</v>
      </c>
      <c r="AJ414" s="386">
        <f t="shared" si="1926"/>
        <v>0</v>
      </c>
      <c r="AK414" s="386">
        <f t="shared" si="1927"/>
        <v>0</v>
      </c>
      <c r="AL414" s="377">
        <f t="shared" si="1928"/>
        <v>0</v>
      </c>
      <c r="AM414" s="377">
        <f t="shared" si="1929"/>
        <v>0</v>
      </c>
      <c r="AN414" s="377">
        <f t="shared" si="1930"/>
        <v>0</v>
      </c>
      <c r="AO414" s="283"/>
      <c r="AP414" s="295">
        <f t="shared" si="1931"/>
        <v>6.8476999999999996E-2</v>
      </c>
      <c r="AQ414" s="20">
        <f t="shared" ref="AQ414:AS425" si="1964">-BA414</f>
        <v>0.2364</v>
      </c>
      <c r="AR414" s="95">
        <f t="shared" si="1964"/>
        <v>6.8476999999999996E-2</v>
      </c>
      <c r="AS414" s="94">
        <f t="shared" si="1964"/>
        <v>0</v>
      </c>
      <c r="AT414" s="94">
        <f t="shared" si="1948"/>
        <v>0</v>
      </c>
      <c r="AU414" s="94">
        <f t="shared" si="1949"/>
        <v>0</v>
      </c>
      <c r="AV414" s="94">
        <f t="shared" si="1950"/>
        <v>0</v>
      </c>
      <c r="AW414" s="94">
        <f t="shared" si="1951"/>
        <v>0</v>
      </c>
      <c r="AX414" s="94">
        <f t="shared" si="1952"/>
        <v>0</v>
      </c>
      <c r="AY414" s="94">
        <f t="shared" si="1953"/>
        <v>0</v>
      </c>
      <c r="AZ414" s="433">
        <f t="shared" si="1954"/>
        <v>0</v>
      </c>
      <c r="BA414" s="657">
        <v>-0.2364</v>
      </c>
      <c r="BB414" s="327">
        <v>-6.8476999999999996E-2</v>
      </c>
      <c r="BC414" s="207">
        <v>0</v>
      </c>
      <c r="BD414" s="132">
        <v>0</v>
      </c>
      <c r="BE414" s="132">
        <v>0</v>
      </c>
      <c r="BF414" s="132">
        <v>0</v>
      </c>
      <c r="BG414" s="207">
        <v>0</v>
      </c>
      <c r="BH414" s="207">
        <v>0</v>
      </c>
      <c r="BI414" s="132">
        <v>0</v>
      </c>
      <c r="BJ414" s="132">
        <v>0</v>
      </c>
      <c r="BK414" s="132">
        <v>0</v>
      </c>
      <c r="BL414" s="132">
        <v>0</v>
      </c>
      <c r="BM414" s="132">
        <v>0</v>
      </c>
      <c r="BN414" s="409">
        <v>0</v>
      </c>
      <c r="BO414" s="207">
        <v>0</v>
      </c>
      <c r="BP414" s="389">
        <v>0</v>
      </c>
      <c r="BQ414" s="389">
        <v>0</v>
      </c>
      <c r="BR414" s="389">
        <v>0</v>
      </c>
      <c r="BS414" s="296">
        <v>0</v>
      </c>
      <c r="BT414" s="296">
        <v>0</v>
      </c>
      <c r="BU414" s="296">
        <v>0</v>
      </c>
      <c r="BV414" s="409">
        <v>0</v>
      </c>
      <c r="BW414" s="296">
        <f t="shared" si="1955"/>
        <v>0</v>
      </c>
      <c r="BX414" s="439" t="s">
        <v>278</v>
      </c>
    </row>
    <row r="415" spans="1:76" ht="87" hidden="1" customHeight="1" outlineLevel="1" x14ac:dyDescent="0.25">
      <c r="A415" s="678">
        <v>25</v>
      </c>
      <c r="B415" s="702" t="s">
        <v>193</v>
      </c>
      <c r="C415" s="694" t="s">
        <v>193</v>
      </c>
      <c r="D415" s="63">
        <v>44287</v>
      </c>
      <c r="E415" s="463" t="s">
        <v>1338</v>
      </c>
      <c r="F415" s="542" t="s">
        <v>1230</v>
      </c>
      <c r="G415" s="71" t="s">
        <v>192</v>
      </c>
      <c r="H415" s="311" t="s">
        <v>127</v>
      </c>
      <c r="I415" s="335"/>
      <c r="J415" s="294">
        <f t="shared" si="1900"/>
        <v>0</v>
      </c>
      <c r="K415" s="52">
        <f t="shared" si="1901"/>
        <v>0</v>
      </c>
      <c r="L415" s="52">
        <f t="shared" si="1902"/>
        <v>7.7711802154750255E-6</v>
      </c>
      <c r="M415" s="52">
        <f t="shared" si="1903"/>
        <v>8.0952619834358858E-6</v>
      </c>
      <c r="N415" s="52">
        <f t="shared" si="1904"/>
        <v>3.7168799811382655E-6</v>
      </c>
      <c r="O415" s="52">
        <f t="shared" si="1905"/>
        <v>0</v>
      </c>
      <c r="P415" s="52">
        <f t="shared" si="1906"/>
        <v>0</v>
      </c>
      <c r="Q415" s="52">
        <f t="shared" si="1907"/>
        <v>0</v>
      </c>
      <c r="R415" s="52">
        <f t="shared" si="1908"/>
        <v>0</v>
      </c>
      <c r="S415" s="527">
        <f t="shared" si="1909"/>
        <v>0</v>
      </c>
      <c r="T415" s="533">
        <f t="shared" si="1910"/>
        <v>0</v>
      </c>
      <c r="U415" s="375">
        <f t="shared" si="1911"/>
        <v>0</v>
      </c>
      <c r="V415" s="375">
        <f t="shared" si="1912"/>
        <v>-7.7711802154750255E-6</v>
      </c>
      <c r="W415" s="386">
        <f t="shared" si="1913"/>
        <v>0</v>
      </c>
      <c r="X415" s="386">
        <f t="shared" si="1914"/>
        <v>-8.0952619834358858E-6</v>
      </c>
      <c r="Y415" s="386">
        <f t="shared" si="1915"/>
        <v>-8.0952619834358858E-6</v>
      </c>
      <c r="Z415" s="375">
        <f t="shared" si="1916"/>
        <v>-3.7168799811382655E-6</v>
      </c>
      <c r="AA415" s="375">
        <f t="shared" si="1917"/>
        <v>0</v>
      </c>
      <c r="AB415" s="386">
        <f t="shared" si="1918"/>
        <v>0</v>
      </c>
      <c r="AC415" s="386">
        <f t="shared" si="1919"/>
        <v>0</v>
      </c>
      <c r="AD415" s="386">
        <f t="shared" si="1920"/>
        <v>0</v>
      </c>
      <c r="AE415" s="386">
        <f t="shared" si="1921"/>
        <v>0</v>
      </c>
      <c r="AF415" s="386">
        <f t="shared" si="1922"/>
        <v>0</v>
      </c>
      <c r="AG415" s="375">
        <f t="shared" si="1923"/>
        <v>0</v>
      </c>
      <c r="AH415" s="375">
        <f t="shared" si="1924"/>
        <v>0</v>
      </c>
      <c r="AI415" s="386">
        <f t="shared" si="1925"/>
        <v>0</v>
      </c>
      <c r="AJ415" s="386">
        <f t="shared" si="1926"/>
        <v>0</v>
      </c>
      <c r="AK415" s="386">
        <f t="shared" si="1927"/>
        <v>0</v>
      </c>
      <c r="AL415" s="377">
        <f t="shared" si="1928"/>
        <v>0</v>
      </c>
      <c r="AM415" s="377">
        <f t="shared" si="1929"/>
        <v>0</v>
      </c>
      <c r="AN415" s="377">
        <f t="shared" si="1930"/>
        <v>0</v>
      </c>
      <c r="AO415" s="283"/>
      <c r="AP415" s="295">
        <f t="shared" si="1931"/>
        <v>0.12484099999999999</v>
      </c>
      <c r="AQ415" s="20">
        <f t="shared" si="1964"/>
        <v>0</v>
      </c>
      <c r="AR415" s="95">
        <f t="shared" si="1964"/>
        <v>0</v>
      </c>
      <c r="AS415" s="94">
        <f t="shared" si="1964"/>
        <v>0.25390000000000001</v>
      </c>
      <c r="AT415" s="94">
        <f t="shared" si="1948"/>
        <v>0.25390000000000001</v>
      </c>
      <c r="AU415" s="94">
        <f t="shared" si="1949"/>
        <v>0.12484099999999999</v>
      </c>
      <c r="AV415" s="94">
        <f t="shared" si="1950"/>
        <v>0</v>
      </c>
      <c r="AW415" s="94">
        <f t="shared" si="1951"/>
        <v>0</v>
      </c>
      <c r="AX415" s="94">
        <f t="shared" si="1952"/>
        <v>0</v>
      </c>
      <c r="AY415" s="94">
        <f t="shared" si="1953"/>
        <v>0</v>
      </c>
      <c r="AZ415" s="433">
        <f t="shared" si="1954"/>
        <v>0</v>
      </c>
      <c r="BA415" s="657">
        <v>0</v>
      </c>
      <c r="BB415" s="327">
        <v>0</v>
      </c>
      <c r="BC415" s="207">
        <v>-0.25390000000000001</v>
      </c>
      <c r="BD415" s="132">
        <v>0</v>
      </c>
      <c r="BE415" s="132">
        <v>-0.25390000000000001</v>
      </c>
      <c r="BF415" s="132">
        <v>-0.25390000000000001</v>
      </c>
      <c r="BG415" s="207">
        <v>-0.12484099999999999</v>
      </c>
      <c r="BH415" s="207">
        <v>0</v>
      </c>
      <c r="BI415" s="132">
        <v>0</v>
      </c>
      <c r="BJ415" s="132">
        <v>0</v>
      </c>
      <c r="BK415" s="132">
        <v>0</v>
      </c>
      <c r="BL415" s="132">
        <v>0</v>
      </c>
      <c r="BM415" s="132">
        <v>0</v>
      </c>
      <c r="BN415" s="409">
        <v>0</v>
      </c>
      <c r="BO415" s="207">
        <v>0</v>
      </c>
      <c r="BP415" s="389">
        <v>0</v>
      </c>
      <c r="BQ415" s="389">
        <v>0</v>
      </c>
      <c r="BR415" s="389">
        <v>0</v>
      </c>
      <c r="BS415" s="296">
        <v>0</v>
      </c>
      <c r="BT415" s="296">
        <v>0</v>
      </c>
      <c r="BU415" s="296">
        <v>0</v>
      </c>
      <c r="BV415" s="409">
        <v>0</v>
      </c>
      <c r="BW415" s="296">
        <f t="shared" si="1955"/>
        <v>0</v>
      </c>
      <c r="BX415" s="439" t="s">
        <v>1231</v>
      </c>
    </row>
    <row r="416" spans="1:76" ht="57.95" hidden="1" customHeight="1" outlineLevel="1" x14ac:dyDescent="0.25">
      <c r="A416" s="678">
        <v>26</v>
      </c>
      <c r="B416" s="702" t="s">
        <v>610</v>
      </c>
      <c r="C416" s="694" t="s">
        <v>610</v>
      </c>
      <c r="D416" s="63">
        <v>43959</v>
      </c>
      <c r="E416" s="463" t="s">
        <v>199</v>
      </c>
      <c r="F416" s="542" t="s">
        <v>231</v>
      </c>
      <c r="G416" s="71" t="s">
        <v>192</v>
      </c>
      <c r="H416" s="311" t="s">
        <v>127</v>
      </c>
      <c r="I416" s="335"/>
      <c r="J416" s="294">
        <f t="shared" si="1900"/>
        <v>8.8653614244165423E-7</v>
      </c>
      <c r="K416" s="52">
        <f t="shared" si="1901"/>
        <v>8.2507964849197264E-7</v>
      </c>
      <c r="L416" s="52">
        <f t="shared" si="1902"/>
        <v>0</v>
      </c>
      <c r="M416" s="52">
        <f t="shared" si="1903"/>
        <v>0</v>
      </c>
      <c r="N416" s="52">
        <f t="shared" si="1904"/>
        <v>0</v>
      </c>
      <c r="O416" s="52">
        <f t="shared" si="1905"/>
        <v>0</v>
      </c>
      <c r="P416" s="52">
        <f t="shared" si="1906"/>
        <v>0</v>
      </c>
      <c r="Q416" s="52">
        <f t="shared" si="1907"/>
        <v>0</v>
      </c>
      <c r="R416" s="52">
        <f t="shared" si="1908"/>
        <v>0</v>
      </c>
      <c r="S416" s="527">
        <f t="shared" si="1909"/>
        <v>0</v>
      </c>
      <c r="T416" s="533">
        <f t="shared" si="1910"/>
        <v>-8.8653614244165423E-7</v>
      </c>
      <c r="U416" s="375">
        <f t="shared" si="1911"/>
        <v>-8.2507964849197264E-7</v>
      </c>
      <c r="V416" s="375">
        <f t="shared" si="1912"/>
        <v>0</v>
      </c>
      <c r="W416" s="386">
        <f t="shared" si="1913"/>
        <v>0</v>
      </c>
      <c r="X416" s="386">
        <f t="shared" si="1914"/>
        <v>0</v>
      </c>
      <c r="Y416" s="386">
        <f t="shared" si="1915"/>
        <v>0</v>
      </c>
      <c r="Z416" s="375">
        <f t="shared" si="1916"/>
        <v>0</v>
      </c>
      <c r="AA416" s="375">
        <f t="shared" si="1917"/>
        <v>0</v>
      </c>
      <c r="AB416" s="386">
        <f t="shared" si="1918"/>
        <v>0</v>
      </c>
      <c r="AC416" s="386">
        <f t="shared" si="1919"/>
        <v>0</v>
      </c>
      <c r="AD416" s="386">
        <f t="shared" si="1920"/>
        <v>0</v>
      </c>
      <c r="AE416" s="386">
        <f t="shared" si="1921"/>
        <v>0</v>
      </c>
      <c r="AF416" s="386">
        <f t="shared" si="1922"/>
        <v>0</v>
      </c>
      <c r="AG416" s="375">
        <f t="shared" si="1923"/>
        <v>0</v>
      </c>
      <c r="AH416" s="375">
        <f t="shared" si="1924"/>
        <v>0</v>
      </c>
      <c r="AI416" s="386">
        <f t="shared" si="1925"/>
        <v>0</v>
      </c>
      <c r="AJ416" s="386">
        <f t="shared" si="1926"/>
        <v>0</v>
      </c>
      <c r="AK416" s="386">
        <f t="shared" si="1927"/>
        <v>0</v>
      </c>
      <c r="AL416" s="377">
        <f t="shared" si="1928"/>
        <v>0</v>
      </c>
      <c r="AM416" s="377">
        <f t="shared" si="1929"/>
        <v>0</v>
      </c>
      <c r="AN416" s="377">
        <f t="shared" si="1930"/>
        <v>0</v>
      </c>
      <c r="AO416" s="283"/>
      <c r="AP416" s="295">
        <f t="shared" si="1931"/>
        <v>2.4995E-2</v>
      </c>
      <c r="AQ416" s="20">
        <f t="shared" si="1964"/>
        <v>2.4995E-2</v>
      </c>
      <c r="AR416" s="95">
        <f t="shared" si="1964"/>
        <v>2.4995E-2</v>
      </c>
      <c r="AS416" s="94">
        <f t="shared" si="1964"/>
        <v>0</v>
      </c>
      <c r="AT416" s="94">
        <f t="shared" si="1948"/>
        <v>0</v>
      </c>
      <c r="AU416" s="94">
        <f t="shared" si="1949"/>
        <v>0</v>
      </c>
      <c r="AV416" s="94">
        <f t="shared" si="1950"/>
        <v>0</v>
      </c>
      <c r="AW416" s="94">
        <f t="shared" si="1951"/>
        <v>0</v>
      </c>
      <c r="AX416" s="94">
        <f t="shared" si="1952"/>
        <v>0</v>
      </c>
      <c r="AY416" s="94">
        <f t="shared" si="1953"/>
        <v>0</v>
      </c>
      <c r="AZ416" s="433">
        <f t="shared" si="1954"/>
        <v>0</v>
      </c>
      <c r="BA416" s="657">
        <v>-2.4995E-2</v>
      </c>
      <c r="BB416" s="327">
        <v>-2.4995E-2</v>
      </c>
      <c r="BC416" s="207">
        <v>0</v>
      </c>
      <c r="BD416" s="132">
        <v>0</v>
      </c>
      <c r="BE416" s="132">
        <v>0</v>
      </c>
      <c r="BF416" s="132">
        <v>0</v>
      </c>
      <c r="BG416" s="207">
        <v>0</v>
      </c>
      <c r="BH416" s="207">
        <v>0</v>
      </c>
      <c r="BI416" s="132">
        <v>0</v>
      </c>
      <c r="BJ416" s="132">
        <v>0</v>
      </c>
      <c r="BK416" s="132">
        <v>0</v>
      </c>
      <c r="BL416" s="132">
        <v>0</v>
      </c>
      <c r="BM416" s="132">
        <v>0</v>
      </c>
      <c r="BN416" s="409">
        <v>0</v>
      </c>
      <c r="BO416" s="207">
        <v>0</v>
      </c>
      <c r="BP416" s="389">
        <v>0</v>
      </c>
      <c r="BQ416" s="389">
        <v>0</v>
      </c>
      <c r="BR416" s="389">
        <v>0</v>
      </c>
      <c r="BS416" s="296">
        <v>0</v>
      </c>
      <c r="BT416" s="296">
        <v>0</v>
      </c>
      <c r="BU416" s="296">
        <v>0</v>
      </c>
      <c r="BV416" s="409">
        <v>0</v>
      </c>
      <c r="BW416" s="296">
        <f t="shared" si="1955"/>
        <v>0</v>
      </c>
      <c r="BX416" s="439" t="s">
        <v>198</v>
      </c>
    </row>
    <row r="417" spans="1:76" ht="29.1" hidden="1" customHeight="1" outlineLevel="1" x14ac:dyDescent="0.25">
      <c r="A417" s="678">
        <v>27</v>
      </c>
      <c r="B417" s="702" t="s">
        <v>610</v>
      </c>
      <c r="C417" s="694" t="s">
        <v>610</v>
      </c>
      <c r="D417" s="63">
        <v>44076</v>
      </c>
      <c r="E417" s="463" t="s">
        <v>215</v>
      </c>
      <c r="F417" s="542" t="s">
        <v>690</v>
      </c>
      <c r="G417" s="71" t="s">
        <v>28</v>
      </c>
      <c r="H417" s="311" t="s">
        <v>129</v>
      </c>
      <c r="I417" s="335"/>
      <c r="J417" s="294">
        <f t="shared" si="1900"/>
        <v>0</v>
      </c>
      <c r="K417" s="52">
        <f t="shared" si="1901"/>
        <v>0</v>
      </c>
      <c r="L417" s="52">
        <f t="shared" si="1902"/>
        <v>7.5876897649363364E-6</v>
      </c>
      <c r="M417" s="52">
        <f t="shared" si="1903"/>
        <v>7.9041194249849269E-6</v>
      </c>
      <c r="N417" s="52">
        <f t="shared" si="1904"/>
        <v>7.380853499443946E-6</v>
      </c>
      <c r="O417" s="52">
        <f t="shared" si="1905"/>
        <v>0</v>
      </c>
      <c r="P417" s="52">
        <f t="shared" si="1906"/>
        <v>0</v>
      </c>
      <c r="Q417" s="52">
        <f t="shared" si="1907"/>
        <v>0</v>
      </c>
      <c r="R417" s="52">
        <f t="shared" si="1908"/>
        <v>0</v>
      </c>
      <c r="S417" s="527">
        <f t="shared" si="1909"/>
        <v>0</v>
      </c>
      <c r="T417" s="533">
        <f t="shared" si="1910"/>
        <v>0</v>
      </c>
      <c r="U417" s="375">
        <f t="shared" si="1911"/>
        <v>0</v>
      </c>
      <c r="V417" s="375">
        <f t="shared" si="1912"/>
        <v>-7.5876897649363364E-6</v>
      </c>
      <c r="W417" s="386">
        <f t="shared" si="1913"/>
        <v>-8.0938268846955843E-6</v>
      </c>
      <c r="X417" s="386">
        <f t="shared" si="1914"/>
        <v>-7.9041194249849269E-6</v>
      </c>
      <c r="Y417" s="386">
        <f t="shared" si="1915"/>
        <v>-7.9041194249849269E-6</v>
      </c>
      <c r="Z417" s="375">
        <f t="shared" si="1916"/>
        <v>-7.380853499443946E-6</v>
      </c>
      <c r="AA417" s="375">
        <f t="shared" si="1917"/>
        <v>0</v>
      </c>
      <c r="AB417" s="386">
        <f t="shared" si="1918"/>
        <v>0</v>
      </c>
      <c r="AC417" s="386">
        <f t="shared" si="1919"/>
        <v>0</v>
      </c>
      <c r="AD417" s="386">
        <f t="shared" si="1920"/>
        <v>0</v>
      </c>
      <c r="AE417" s="386">
        <f t="shared" si="1921"/>
        <v>0</v>
      </c>
      <c r="AF417" s="386">
        <f t="shared" si="1922"/>
        <v>0</v>
      </c>
      <c r="AG417" s="375">
        <f t="shared" si="1923"/>
        <v>0</v>
      </c>
      <c r="AH417" s="375">
        <f t="shared" si="1924"/>
        <v>0</v>
      </c>
      <c r="AI417" s="386">
        <f t="shared" si="1925"/>
        <v>0</v>
      </c>
      <c r="AJ417" s="386">
        <f t="shared" si="1926"/>
        <v>0</v>
      </c>
      <c r="AK417" s="386">
        <f t="shared" si="1927"/>
        <v>0</v>
      </c>
      <c r="AL417" s="377">
        <f t="shared" si="1928"/>
        <v>0</v>
      </c>
      <c r="AM417" s="377">
        <f t="shared" si="1929"/>
        <v>0</v>
      </c>
      <c r="AN417" s="377">
        <f t="shared" si="1930"/>
        <v>0</v>
      </c>
      <c r="AO417" s="283"/>
      <c r="AP417" s="295">
        <f t="shared" si="1931"/>
        <v>0.24790499999999999</v>
      </c>
      <c r="AQ417" s="20">
        <f t="shared" si="1964"/>
        <v>0</v>
      </c>
      <c r="AR417" s="95">
        <f t="shared" si="1964"/>
        <v>0</v>
      </c>
      <c r="AS417" s="94">
        <f t="shared" si="1964"/>
        <v>0.24790499999999999</v>
      </c>
      <c r="AT417" s="94">
        <f t="shared" si="1948"/>
        <v>0.24790499999999999</v>
      </c>
      <c r="AU417" s="94">
        <f t="shared" si="1949"/>
        <v>0.24790499999999999</v>
      </c>
      <c r="AV417" s="94">
        <f t="shared" si="1950"/>
        <v>0</v>
      </c>
      <c r="AW417" s="94">
        <f t="shared" si="1951"/>
        <v>0</v>
      </c>
      <c r="AX417" s="94">
        <f t="shared" si="1952"/>
        <v>0</v>
      </c>
      <c r="AY417" s="94">
        <f t="shared" si="1953"/>
        <v>0</v>
      </c>
      <c r="AZ417" s="433">
        <f t="shared" si="1954"/>
        <v>0</v>
      </c>
      <c r="BA417" s="657">
        <v>0</v>
      </c>
      <c r="BB417" s="327">
        <v>0</v>
      </c>
      <c r="BC417" s="207">
        <v>-0.24790499999999999</v>
      </c>
      <c r="BD417" s="132">
        <v>-0.24790499999999999</v>
      </c>
      <c r="BE417" s="132">
        <v>-0.24790499999999999</v>
      </c>
      <c r="BF417" s="132">
        <v>-0.24790499999999999</v>
      </c>
      <c r="BG417" s="207">
        <v>-0.24790499999999999</v>
      </c>
      <c r="BH417" s="207">
        <v>0</v>
      </c>
      <c r="BI417" s="132">
        <v>0</v>
      </c>
      <c r="BJ417" s="132">
        <v>0</v>
      </c>
      <c r="BK417" s="132">
        <v>0</v>
      </c>
      <c r="BL417" s="132">
        <v>0</v>
      </c>
      <c r="BM417" s="132">
        <v>0</v>
      </c>
      <c r="BN417" s="409">
        <v>0</v>
      </c>
      <c r="BO417" s="207">
        <v>0</v>
      </c>
      <c r="BP417" s="389">
        <v>0</v>
      </c>
      <c r="BQ417" s="389">
        <v>0</v>
      </c>
      <c r="BR417" s="389">
        <v>0</v>
      </c>
      <c r="BS417" s="296">
        <v>0</v>
      </c>
      <c r="BT417" s="296">
        <v>0</v>
      </c>
      <c r="BU417" s="296">
        <v>0</v>
      </c>
      <c r="BV417" s="409">
        <v>0</v>
      </c>
      <c r="BW417" s="296">
        <f t="shared" si="1955"/>
        <v>0</v>
      </c>
      <c r="BX417" s="439" t="s">
        <v>689</v>
      </c>
    </row>
    <row r="418" spans="1:76" ht="57.95" hidden="1" customHeight="1" outlineLevel="1" x14ac:dyDescent="0.25">
      <c r="A418" s="678">
        <v>28</v>
      </c>
      <c r="B418" s="702" t="s">
        <v>610</v>
      </c>
      <c r="C418" s="694" t="s">
        <v>610</v>
      </c>
      <c r="D418" s="63" t="s">
        <v>374</v>
      </c>
      <c r="E418" s="463" t="s">
        <v>375</v>
      </c>
      <c r="F418" s="542" t="s">
        <v>373</v>
      </c>
      <c r="G418" s="71" t="s">
        <v>365</v>
      </c>
      <c r="H418" s="311" t="s">
        <v>129</v>
      </c>
      <c r="I418" s="335"/>
      <c r="J418" s="294">
        <f t="shared" si="1900"/>
        <v>7.4838618145704761E-6</v>
      </c>
      <c r="K418" s="52">
        <f t="shared" si="1901"/>
        <v>6.921690385024516E-6</v>
      </c>
      <c r="L418" s="52">
        <f t="shared" si="1902"/>
        <v>0</v>
      </c>
      <c r="M418" s="52">
        <f t="shared" si="1903"/>
        <v>0</v>
      </c>
      <c r="N418" s="52">
        <f t="shared" si="1904"/>
        <v>0</v>
      </c>
      <c r="O418" s="52">
        <f t="shared" si="1905"/>
        <v>0</v>
      </c>
      <c r="P418" s="52">
        <f t="shared" si="1906"/>
        <v>0</v>
      </c>
      <c r="Q418" s="52">
        <f t="shared" si="1907"/>
        <v>0</v>
      </c>
      <c r="R418" s="52">
        <f t="shared" si="1908"/>
        <v>0</v>
      </c>
      <c r="S418" s="527">
        <f t="shared" si="1909"/>
        <v>0</v>
      </c>
      <c r="T418" s="533">
        <f t="shared" si="1910"/>
        <v>-7.4838618145704761E-6</v>
      </c>
      <c r="U418" s="375">
        <f t="shared" si="1911"/>
        <v>-6.921690385024516E-6</v>
      </c>
      <c r="V418" s="375">
        <f t="shared" si="1912"/>
        <v>0</v>
      </c>
      <c r="W418" s="386">
        <f t="shared" si="1913"/>
        <v>0</v>
      </c>
      <c r="X418" s="386">
        <f t="shared" si="1914"/>
        <v>0</v>
      </c>
      <c r="Y418" s="386">
        <f t="shared" si="1915"/>
        <v>0</v>
      </c>
      <c r="Z418" s="375">
        <f t="shared" si="1916"/>
        <v>0</v>
      </c>
      <c r="AA418" s="375">
        <f t="shared" si="1917"/>
        <v>0</v>
      </c>
      <c r="AB418" s="386">
        <f t="shared" si="1918"/>
        <v>0</v>
      </c>
      <c r="AC418" s="386">
        <f t="shared" si="1919"/>
        <v>0</v>
      </c>
      <c r="AD418" s="386">
        <f t="shared" si="1920"/>
        <v>0</v>
      </c>
      <c r="AE418" s="386">
        <f t="shared" si="1921"/>
        <v>0</v>
      </c>
      <c r="AF418" s="386">
        <f t="shared" si="1922"/>
        <v>0</v>
      </c>
      <c r="AG418" s="375">
        <f t="shared" si="1923"/>
        <v>0</v>
      </c>
      <c r="AH418" s="375">
        <f t="shared" si="1924"/>
        <v>0</v>
      </c>
      <c r="AI418" s="386">
        <f t="shared" si="1925"/>
        <v>0</v>
      </c>
      <c r="AJ418" s="386">
        <f t="shared" si="1926"/>
        <v>0</v>
      </c>
      <c r="AK418" s="386">
        <f t="shared" si="1927"/>
        <v>0</v>
      </c>
      <c r="AL418" s="377">
        <f t="shared" si="1928"/>
        <v>0</v>
      </c>
      <c r="AM418" s="377">
        <f t="shared" si="1929"/>
        <v>0</v>
      </c>
      <c r="AN418" s="377">
        <f t="shared" si="1930"/>
        <v>0</v>
      </c>
      <c r="AO418" s="283"/>
      <c r="AP418" s="295">
        <f t="shared" si="1931"/>
        <v>0.20968600000000001</v>
      </c>
      <c r="AQ418" s="20">
        <f t="shared" si="1964"/>
        <v>0.21099999999999999</v>
      </c>
      <c r="AR418" s="95">
        <f>-BB418</f>
        <v>0.20968600000000001</v>
      </c>
      <c r="AS418" s="94">
        <f t="shared" si="1964"/>
        <v>0</v>
      </c>
      <c r="AT418" s="94">
        <f t="shared" si="1948"/>
        <v>0</v>
      </c>
      <c r="AU418" s="94">
        <f t="shared" si="1949"/>
        <v>0</v>
      </c>
      <c r="AV418" s="94">
        <f t="shared" si="1950"/>
        <v>0</v>
      </c>
      <c r="AW418" s="94">
        <f t="shared" si="1951"/>
        <v>0</v>
      </c>
      <c r="AX418" s="94">
        <f t="shared" si="1952"/>
        <v>0</v>
      </c>
      <c r="AY418" s="94">
        <f t="shared" si="1953"/>
        <v>0</v>
      </c>
      <c r="AZ418" s="433">
        <f t="shared" si="1954"/>
        <v>0</v>
      </c>
      <c r="BA418" s="657">
        <f>-0.211</f>
        <v>-0.21099999999999999</v>
      </c>
      <c r="BB418" s="327">
        <v>-0.20968600000000001</v>
      </c>
      <c r="BC418" s="207">
        <v>0</v>
      </c>
      <c r="BD418" s="132">
        <v>0</v>
      </c>
      <c r="BE418" s="132">
        <v>0</v>
      </c>
      <c r="BF418" s="132">
        <v>0</v>
      </c>
      <c r="BG418" s="207">
        <v>0</v>
      </c>
      <c r="BH418" s="207">
        <v>0</v>
      </c>
      <c r="BI418" s="132">
        <v>0</v>
      </c>
      <c r="BJ418" s="132">
        <v>0</v>
      </c>
      <c r="BK418" s="132">
        <v>0</v>
      </c>
      <c r="BL418" s="132">
        <v>0</v>
      </c>
      <c r="BM418" s="132">
        <v>0</v>
      </c>
      <c r="BN418" s="409">
        <v>0</v>
      </c>
      <c r="BO418" s="207">
        <v>0</v>
      </c>
      <c r="BP418" s="389">
        <v>0</v>
      </c>
      <c r="BQ418" s="389">
        <v>0</v>
      </c>
      <c r="BR418" s="389">
        <v>0</v>
      </c>
      <c r="BS418" s="296">
        <v>0</v>
      </c>
      <c r="BT418" s="296">
        <v>0</v>
      </c>
      <c r="BU418" s="296">
        <v>0</v>
      </c>
      <c r="BV418" s="409">
        <v>0</v>
      </c>
      <c r="BW418" s="296">
        <f t="shared" si="1955"/>
        <v>0</v>
      </c>
      <c r="BX418" s="439" t="s">
        <v>373</v>
      </c>
    </row>
    <row r="419" spans="1:76" ht="87" hidden="1" customHeight="1" outlineLevel="1" x14ac:dyDescent="0.25">
      <c r="A419" s="678">
        <v>29</v>
      </c>
      <c r="B419" s="702" t="s">
        <v>610</v>
      </c>
      <c r="C419" s="694" t="s">
        <v>610</v>
      </c>
      <c r="D419" s="63" t="s">
        <v>374</v>
      </c>
      <c r="E419" s="463" t="s">
        <v>377</v>
      </c>
      <c r="F419" s="542" t="s">
        <v>376</v>
      </c>
      <c r="G419" s="71" t="s">
        <v>216</v>
      </c>
      <c r="H419" s="311" t="s">
        <v>129</v>
      </c>
      <c r="I419" s="335"/>
      <c r="J419" s="294">
        <f t="shared" si="1900"/>
        <v>1.230651911754274E-5</v>
      </c>
      <c r="K419" s="52">
        <f t="shared" si="1901"/>
        <v>1.1453406106711732E-5</v>
      </c>
      <c r="L419" s="52">
        <f t="shared" si="1902"/>
        <v>0</v>
      </c>
      <c r="M419" s="52">
        <f t="shared" si="1903"/>
        <v>0</v>
      </c>
      <c r="N419" s="52">
        <f t="shared" si="1904"/>
        <v>0</v>
      </c>
      <c r="O419" s="52">
        <f t="shared" si="1905"/>
        <v>0</v>
      </c>
      <c r="P419" s="52">
        <f t="shared" si="1906"/>
        <v>0</v>
      </c>
      <c r="Q419" s="52">
        <f t="shared" si="1907"/>
        <v>0</v>
      </c>
      <c r="R419" s="52">
        <f t="shared" si="1908"/>
        <v>0</v>
      </c>
      <c r="S419" s="527">
        <f t="shared" si="1909"/>
        <v>0</v>
      </c>
      <c r="T419" s="533">
        <f t="shared" si="1910"/>
        <v>-1.230651911754274E-5</v>
      </c>
      <c r="U419" s="375">
        <f t="shared" si="1911"/>
        <v>-1.1453406106711732E-5</v>
      </c>
      <c r="V419" s="375">
        <f t="shared" si="1912"/>
        <v>0</v>
      </c>
      <c r="W419" s="386">
        <f t="shared" si="1913"/>
        <v>0</v>
      </c>
      <c r="X419" s="386">
        <f t="shared" si="1914"/>
        <v>0</v>
      </c>
      <c r="Y419" s="386">
        <f t="shared" si="1915"/>
        <v>0</v>
      </c>
      <c r="Z419" s="375">
        <f t="shared" si="1916"/>
        <v>0</v>
      </c>
      <c r="AA419" s="375">
        <f t="shared" si="1917"/>
        <v>0</v>
      </c>
      <c r="AB419" s="386">
        <f t="shared" si="1918"/>
        <v>0</v>
      </c>
      <c r="AC419" s="386">
        <f t="shared" si="1919"/>
        <v>0</v>
      </c>
      <c r="AD419" s="386">
        <f t="shared" si="1920"/>
        <v>0</v>
      </c>
      <c r="AE419" s="386">
        <f t="shared" si="1921"/>
        <v>0</v>
      </c>
      <c r="AF419" s="386">
        <f t="shared" si="1922"/>
        <v>0</v>
      </c>
      <c r="AG419" s="375">
        <f t="shared" si="1923"/>
        <v>0</v>
      </c>
      <c r="AH419" s="375">
        <f t="shared" si="1924"/>
        <v>0</v>
      </c>
      <c r="AI419" s="386">
        <f t="shared" si="1925"/>
        <v>0</v>
      </c>
      <c r="AJ419" s="386">
        <f t="shared" si="1926"/>
        <v>0</v>
      </c>
      <c r="AK419" s="386">
        <f t="shared" si="1927"/>
        <v>0</v>
      </c>
      <c r="AL419" s="377">
        <f t="shared" si="1928"/>
        <v>0</v>
      </c>
      <c r="AM419" s="377">
        <f t="shared" si="1929"/>
        <v>0</v>
      </c>
      <c r="AN419" s="377">
        <f t="shared" si="1930"/>
        <v>0</v>
      </c>
      <c r="AO419" s="283"/>
      <c r="AP419" s="295">
        <f t="shared" si="1931"/>
        <v>0.34697</v>
      </c>
      <c r="AQ419" s="20">
        <f t="shared" si="1964"/>
        <v>0.34697</v>
      </c>
      <c r="AR419" s="95">
        <f t="shared" si="1964"/>
        <v>0.34697</v>
      </c>
      <c r="AS419" s="94">
        <f t="shared" si="1964"/>
        <v>0</v>
      </c>
      <c r="AT419" s="94">
        <f t="shared" si="1948"/>
        <v>0</v>
      </c>
      <c r="AU419" s="94">
        <f t="shared" si="1949"/>
        <v>0</v>
      </c>
      <c r="AV419" s="94">
        <f t="shared" si="1950"/>
        <v>0</v>
      </c>
      <c r="AW419" s="94">
        <f t="shared" ref="AW419:AW442" si="1965">-BH419</f>
        <v>0</v>
      </c>
      <c r="AX419" s="94">
        <f t="shared" si="1952"/>
        <v>0</v>
      </c>
      <c r="AY419" s="94">
        <f t="shared" ref="AY419:AY458" si="1966">-BO419</f>
        <v>0</v>
      </c>
      <c r="AZ419" s="433">
        <f t="shared" ref="AZ419:AZ458" si="1967">-BU419</f>
        <v>0</v>
      </c>
      <c r="BA419" s="657">
        <f>-0.34697</f>
        <v>-0.34697</v>
      </c>
      <c r="BB419" s="327">
        <f>-0.08697-0.26</f>
        <v>-0.34697</v>
      </c>
      <c r="BC419" s="207">
        <v>0</v>
      </c>
      <c r="BD419" s="132">
        <v>0</v>
      </c>
      <c r="BE419" s="132">
        <v>0</v>
      </c>
      <c r="BF419" s="132">
        <v>0</v>
      </c>
      <c r="BG419" s="207">
        <v>0</v>
      </c>
      <c r="BH419" s="207">
        <v>0</v>
      </c>
      <c r="BI419" s="132">
        <v>0</v>
      </c>
      <c r="BJ419" s="132">
        <v>0</v>
      </c>
      <c r="BK419" s="132">
        <v>0</v>
      </c>
      <c r="BL419" s="132">
        <v>0</v>
      </c>
      <c r="BM419" s="132">
        <v>0</v>
      </c>
      <c r="BN419" s="409">
        <v>0</v>
      </c>
      <c r="BO419" s="207">
        <v>0</v>
      </c>
      <c r="BP419" s="389">
        <v>0</v>
      </c>
      <c r="BQ419" s="389">
        <v>0</v>
      </c>
      <c r="BR419" s="389">
        <v>0</v>
      </c>
      <c r="BS419" s="296">
        <v>0</v>
      </c>
      <c r="BT419" s="296">
        <v>0</v>
      </c>
      <c r="BU419" s="296">
        <v>0</v>
      </c>
      <c r="BV419" s="409">
        <v>0</v>
      </c>
      <c r="BW419" s="296">
        <f t="shared" si="1955"/>
        <v>0</v>
      </c>
      <c r="BX419" s="439" t="s">
        <v>653</v>
      </c>
    </row>
    <row r="420" spans="1:76" ht="43.5" hidden="1" customHeight="1" outlineLevel="1" x14ac:dyDescent="0.25">
      <c r="A420" s="678">
        <v>30</v>
      </c>
      <c r="B420" s="702" t="s">
        <v>610</v>
      </c>
      <c r="C420" s="694" t="s">
        <v>610</v>
      </c>
      <c r="D420" s="63" t="s">
        <v>418</v>
      </c>
      <c r="E420" s="463" t="s">
        <v>419</v>
      </c>
      <c r="F420" s="542" t="s">
        <v>417</v>
      </c>
      <c r="G420" s="71" t="s">
        <v>23</v>
      </c>
      <c r="H420" s="311" t="s">
        <v>127</v>
      </c>
      <c r="I420" s="335"/>
      <c r="J420" s="294">
        <f t="shared" si="1900"/>
        <v>1.1122933957579626E-6</v>
      </c>
      <c r="K420" s="52">
        <f t="shared" si="1901"/>
        <v>1.035186948458022E-6</v>
      </c>
      <c r="L420" s="52">
        <f t="shared" si="1902"/>
        <v>0</v>
      </c>
      <c r="M420" s="52">
        <f t="shared" si="1903"/>
        <v>0</v>
      </c>
      <c r="N420" s="52">
        <f t="shared" si="1904"/>
        <v>0</v>
      </c>
      <c r="O420" s="52">
        <f t="shared" si="1905"/>
        <v>0</v>
      </c>
      <c r="P420" s="52">
        <f t="shared" si="1906"/>
        <v>0</v>
      </c>
      <c r="Q420" s="52">
        <f t="shared" si="1907"/>
        <v>0</v>
      </c>
      <c r="R420" s="52">
        <f t="shared" si="1908"/>
        <v>0</v>
      </c>
      <c r="S420" s="527">
        <f t="shared" si="1909"/>
        <v>0</v>
      </c>
      <c r="T420" s="533">
        <f t="shared" si="1910"/>
        <v>-1.1122933957579626E-6</v>
      </c>
      <c r="U420" s="375">
        <f t="shared" si="1911"/>
        <v>-1.035186948458022E-6</v>
      </c>
      <c r="V420" s="375">
        <f t="shared" si="1912"/>
        <v>0</v>
      </c>
      <c r="W420" s="386">
        <f t="shared" si="1913"/>
        <v>0</v>
      </c>
      <c r="X420" s="386">
        <f t="shared" si="1914"/>
        <v>0</v>
      </c>
      <c r="Y420" s="386">
        <f t="shared" si="1915"/>
        <v>0</v>
      </c>
      <c r="Z420" s="375">
        <f t="shared" si="1916"/>
        <v>0</v>
      </c>
      <c r="AA420" s="375">
        <f t="shared" si="1917"/>
        <v>0</v>
      </c>
      <c r="AB420" s="386">
        <f t="shared" si="1918"/>
        <v>0</v>
      </c>
      <c r="AC420" s="386">
        <f t="shared" si="1919"/>
        <v>0</v>
      </c>
      <c r="AD420" s="386">
        <f t="shared" si="1920"/>
        <v>0</v>
      </c>
      <c r="AE420" s="386">
        <f t="shared" si="1921"/>
        <v>0</v>
      </c>
      <c r="AF420" s="386">
        <f t="shared" si="1922"/>
        <v>0</v>
      </c>
      <c r="AG420" s="375">
        <f t="shared" si="1923"/>
        <v>0</v>
      </c>
      <c r="AH420" s="375">
        <f t="shared" si="1924"/>
        <v>0</v>
      </c>
      <c r="AI420" s="386">
        <f t="shared" si="1925"/>
        <v>0</v>
      </c>
      <c r="AJ420" s="386">
        <f t="shared" si="1926"/>
        <v>0</v>
      </c>
      <c r="AK420" s="386">
        <f t="shared" si="1927"/>
        <v>0</v>
      </c>
      <c r="AL420" s="377">
        <f t="shared" si="1928"/>
        <v>0</v>
      </c>
      <c r="AM420" s="377">
        <f t="shared" si="1929"/>
        <v>0</v>
      </c>
      <c r="AN420" s="377">
        <f t="shared" si="1930"/>
        <v>0</v>
      </c>
      <c r="AO420" s="283"/>
      <c r="AP420" s="295">
        <f t="shared" si="1931"/>
        <v>3.1359999999999999E-2</v>
      </c>
      <c r="AQ420" s="20">
        <f t="shared" si="1964"/>
        <v>3.1359999999999999E-2</v>
      </c>
      <c r="AR420" s="95">
        <f t="shared" si="1964"/>
        <v>3.1359999999999999E-2</v>
      </c>
      <c r="AS420" s="94">
        <f t="shared" si="1964"/>
        <v>0</v>
      </c>
      <c r="AT420" s="94">
        <f t="shared" si="1948"/>
        <v>0</v>
      </c>
      <c r="AU420" s="94">
        <f t="shared" si="1949"/>
        <v>0</v>
      </c>
      <c r="AV420" s="94">
        <f t="shared" si="1950"/>
        <v>0</v>
      </c>
      <c r="AW420" s="94">
        <f t="shared" si="1965"/>
        <v>0</v>
      </c>
      <c r="AX420" s="94">
        <f t="shared" si="1952"/>
        <v>0</v>
      </c>
      <c r="AY420" s="94">
        <f t="shared" si="1966"/>
        <v>0</v>
      </c>
      <c r="AZ420" s="433">
        <f t="shared" si="1967"/>
        <v>0</v>
      </c>
      <c r="BA420" s="657">
        <v>-3.1359999999999999E-2</v>
      </c>
      <c r="BB420" s="327">
        <v>-3.1359999999999999E-2</v>
      </c>
      <c r="BC420" s="207">
        <v>0</v>
      </c>
      <c r="BD420" s="132">
        <v>0</v>
      </c>
      <c r="BE420" s="132">
        <v>0</v>
      </c>
      <c r="BF420" s="132">
        <v>0</v>
      </c>
      <c r="BG420" s="207">
        <v>0</v>
      </c>
      <c r="BH420" s="207">
        <v>0</v>
      </c>
      <c r="BI420" s="132">
        <v>0</v>
      </c>
      <c r="BJ420" s="132">
        <v>0</v>
      </c>
      <c r="BK420" s="132">
        <v>0</v>
      </c>
      <c r="BL420" s="132">
        <v>0</v>
      </c>
      <c r="BM420" s="132">
        <v>0</v>
      </c>
      <c r="BN420" s="409">
        <v>0</v>
      </c>
      <c r="BO420" s="207">
        <v>0</v>
      </c>
      <c r="BP420" s="389">
        <v>0</v>
      </c>
      <c r="BQ420" s="389">
        <v>0</v>
      </c>
      <c r="BR420" s="389">
        <v>0</v>
      </c>
      <c r="BS420" s="296">
        <v>0</v>
      </c>
      <c r="BT420" s="296">
        <v>0</v>
      </c>
      <c r="BU420" s="296">
        <v>0</v>
      </c>
      <c r="BV420" s="409">
        <v>0</v>
      </c>
      <c r="BW420" s="296">
        <f t="shared" si="1955"/>
        <v>0</v>
      </c>
      <c r="BX420" s="439" t="s">
        <v>642</v>
      </c>
    </row>
    <row r="421" spans="1:76" ht="43.5" hidden="1" customHeight="1" outlineLevel="1" x14ac:dyDescent="0.25">
      <c r="A421" s="678">
        <v>31</v>
      </c>
      <c r="B421" s="702" t="s">
        <v>610</v>
      </c>
      <c r="C421" s="694" t="s">
        <v>610</v>
      </c>
      <c r="D421" s="63" t="s">
        <v>418</v>
      </c>
      <c r="E421" s="463" t="s">
        <v>435</v>
      </c>
      <c r="F421" s="542" t="s">
        <v>437</v>
      </c>
      <c r="G421" s="71" t="s">
        <v>7</v>
      </c>
      <c r="H421" s="311" t="s">
        <v>129</v>
      </c>
      <c r="I421" s="335"/>
      <c r="J421" s="294">
        <f t="shared" si="1900"/>
        <v>3.3554657019223946E-6</v>
      </c>
      <c r="K421" s="52">
        <f t="shared" si="1901"/>
        <v>3.1228579742322293E-6</v>
      </c>
      <c r="L421" s="52">
        <f t="shared" si="1902"/>
        <v>0</v>
      </c>
      <c r="M421" s="52">
        <f t="shared" si="1903"/>
        <v>0</v>
      </c>
      <c r="N421" s="52">
        <f t="shared" si="1904"/>
        <v>0</v>
      </c>
      <c r="O421" s="52">
        <f t="shared" si="1905"/>
        <v>0</v>
      </c>
      <c r="P421" s="52">
        <f t="shared" si="1906"/>
        <v>0</v>
      </c>
      <c r="Q421" s="52">
        <f t="shared" si="1907"/>
        <v>0</v>
      </c>
      <c r="R421" s="52">
        <f t="shared" si="1908"/>
        <v>0</v>
      </c>
      <c r="S421" s="527">
        <f t="shared" si="1909"/>
        <v>0</v>
      </c>
      <c r="T421" s="533">
        <f t="shared" si="1910"/>
        <v>-3.3554657019223946E-6</v>
      </c>
      <c r="U421" s="375">
        <f t="shared" si="1911"/>
        <v>-3.1228579742322293E-6</v>
      </c>
      <c r="V421" s="375">
        <f t="shared" si="1912"/>
        <v>0</v>
      </c>
      <c r="W421" s="386">
        <f t="shared" si="1913"/>
        <v>0</v>
      </c>
      <c r="X421" s="386">
        <f t="shared" si="1914"/>
        <v>0</v>
      </c>
      <c r="Y421" s="386">
        <f t="shared" si="1915"/>
        <v>0</v>
      </c>
      <c r="Z421" s="375">
        <f t="shared" si="1916"/>
        <v>0</v>
      </c>
      <c r="AA421" s="375">
        <f t="shared" si="1917"/>
        <v>0</v>
      </c>
      <c r="AB421" s="386">
        <f t="shared" si="1918"/>
        <v>0</v>
      </c>
      <c r="AC421" s="386">
        <f t="shared" si="1919"/>
        <v>0</v>
      </c>
      <c r="AD421" s="386">
        <f t="shared" si="1920"/>
        <v>0</v>
      </c>
      <c r="AE421" s="386">
        <f t="shared" si="1921"/>
        <v>0</v>
      </c>
      <c r="AF421" s="386">
        <f t="shared" si="1922"/>
        <v>0</v>
      </c>
      <c r="AG421" s="375">
        <f t="shared" si="1923"/>
        <v>0</v>
      </c>
      <c r="AH421" s="375">
        <f t="shared" si="1924"/>
        <v>0</v>
      </c>
      <c r="AI421" s="386">
        <f t="shared" si="1925"/>
        <v>0</v>
      </c>
      <c r="AJ421" s="386">
        <f t="shared" si="1926"/>
        <v>0</v>
      </c>
      <c r="AK421" s="386">
        <f t="shared" si="1927"/>
        <v>0</v>
      </c>
      <c r="AL421" s="377">
        <f t="shared" si="1928"/>
        <v>0</v>
      </c>
      <c r="AM421" s="377">
        <f t="shared" si="1929"/>
        <v>0</v>
      </c>
      <c r="AN421" s="377">
        <f t="shared" si="1930"/>
        <v>0</v>
      </c>
      <c r="AO421" s="283"/>
      <c r="AP421" s="295">
        <f t="shared" si="1931"/>
        <v>9.4603999999999994E-2</v>
      </c>
      <c r="AQ421" s="20">
        <f t="shared" si="1964"/>
        <v>9.4603999999999994E-2</v>
      </c>
      <c r="AR421" s="95">
        <f t="shared" si="1964"/>
        <v>9.4603999999999994E-2</v>
      </c>
      <c r="AS421" s="94">
        <f t="shared" si="1964"/>
        <v>0</v>
      </c>
      <c r="AT421" s="94">
        <f t="shared" si="1948"/>
        <v>0</v>
      </c>
      <c r="AU421" s="94">
        <f t="shared" si="1949"/>
        <v>0</v>
      </c>
      <c r="AV421" s="94">
        <f t="shared" si="1950"/>
        <v>0</v>
      </c>
      <c r="AW421" s="94">
        <f t="shared" si="1965"/>
        <v>0</v>
      </c>
      <c r="AX421" s="94">
        <f t="shared" si="1952"/>
        <v>0</v>
      </c>
      <c r="AY421" s="94">
        <f t="shared" si="1966"/>
        <v>0</v>
      </c>
      <c r="AZ421" s="433">
        <f t="shared" si="1967"/>
        <v>0</v>
      </c>
      <c r="BA421" s="657">
        <v>-9.4603999999999994E-2</v>
      </c>
      <c r="BB421" s="327">
        <v>-9.4603999999999994E-2</v>
      </c>
      <c r="BC421" s="207">
        <v>0</v>
      </c>
      <c r="BD421" s="132">
        <v>0</v>
      </c>
      <c r="BE421" s="132">
        <v>0</v>
      </c>
      <c r="BF421" s="132">
        <v>0</v>
      </c>
      <c r="BG421" s="207">
        <v>0</v>
      </c>
      <c r="BH421" s="207">
        <v>0</v>
      </c>
      <c r="BI421" s="132">
        <v>0</v>
      </c>
      <c r="BJ421" s="132">
        <v>0</v>
      </c>
      <c r="BK421" s="132">
        <v>0</v>
      </c>
      <c r="BL421" s="132">
        <v>0</v>
      </c>
      <c r="BM421" s="132">
        <v>0</v>
      </c>
      <c r="BN421" s="409">
        <v>0</v>
      </c>
      <c r="BO421" s="207">
        <v>0</v>
      </c>
      <c r="BP421" s="389">
        <v>0</v>
      </c>
      <c r="BQ421" s="389">
        <v>0</v>
      </c>
      <c r="BR421" s="389">
        <v>0</v>
      </c>
      <c r="BS421" s="296">
        <v>0</v>
      </c>
      <c r="BT421" s="296">
        <v>0</v>
      </c>
      <c r="BU421" s="296">
        <v>0</v>
      </c>
      <c r="BV421" s="409">
        <v>0</v>
      </c>
      <c r="BW421" s="296">
        <f t="shared" si="1955"/>
        <v>0</v>
      </c>
      <c r="BX421" s="439" t="s">
        <v>436</v>
      </c>
    </row>
    <row r="422" spans="1:76" ht="43.5" hidden="1" customHeight="1" outlineLevel="1" x14ac:dyDescent="0.25">
      <c r="A422" s="678">
        <v>32</v>
      </c>
      <c r="B422" s="702" t="s">
        <v>610</v>
      </c>
      <c r="C422" s="694" t="s">
        <v>610</v>
      </c>
      <c r="D422" s="63" t="s">
        <v>516</v>
      </c>
      <c r="E422" s="463" t="s">
        <v>646</v>
      </c>
      <c r="F422" s="542" t="s">
        <v>517</v>
      </c>
      <c r="G422" s="71" t="s">
        <v>27</v>
      </c>
      <c r="H422" s="311" t="s">
        <v>129</v>
      </c>
      <c r="I422" s="335"/>
      <c r="J422" s="294">
        <f t="shared" si="1900"/>
        <v>1.2768674185997021E-6</v>
      </c>
      <c r="K422" s="52">
        <f t="shared" si="1901"/>
        <v>1.1883523643013008E-6</v>
      </c>
      <c r="L422" s="52">
        <f t="shared" si="1902"/>
        <v>0</v>
      </c>
      <c r="M422" s="52">
        <f t="shared" si="1903"/>
        <v>0</v>
      </c>
      <c r="N422" s="52">
        <f t="shared" si="1904"/>
        <v>0</v>
      </c>
      <c r="O422" s="52">
        <f t="shared" si="1905"/>
        <v>0</v>
      </c>
      <c r="P422" s="52">
        <f t="shared" si="1906"/>
        <v>0</v>
      </c>
      <c r="Q422" s="52">
        <f t="shared" si="1907"/>
        <v>0</v>
      </c>
      <c r="R422" s="52">
        <f t="shared" si="1908"/>
        <v>0</v>
      </c>
      <c r="S422" s="527">
        <f t="shared" si="1909"/>
        <v>0</v>
      </c>
      <c r="T422" s="533">
        <f t="shared" si="1910"/>
        <v>-1.2768674185997021E-6</v>
      </c>
      <c r="U422" s="375">
        <f t="shared" si="1911"/>
        <v>-1.1883523643013008E-6</v>
      </c>
      <c r="V422" s="375">
        <f t="shared" si="1912"/>
        <v>0</v>
      </c>
      <c r="W422" s="386">
        <f t="shared" si="1913"/>
        <v>-9.7946716097241901E-7</v>
      </c>
      <c r="X422" s="386">
        <f t="shared" si="1914"/>
        <v>0</v>
      </c>
      <c r="Y422" s="386">
        <f t="shared" si="1915"/>
        <v>0</v>
      </c>
      <c r="Z422" s="375">
        <f t="shared" si="1916"/>
        <v>0</v>
      </c>
      <c r="AA422" s="375">
        <f t="shared" si="1917"/>
        <v>0</v>
      </c>
      <c r="AB422" s="386">
        <f t="shared" si="1918"/>
        <v>0</v>
      </c>
      <c r="AC422" s="386">
        <f t="shared" si="1919"/>
        <v>0</v>
      </c>
      <c r="AD422" s="386">
        <f t="shared" si="1920"/>
        <v>0</v>
      </c>
      <c r="AE422" s="386">
        <f t="shared" si="1921"/>
        <v>0</v>
      </c>
      <c r="AF422" s="386">
        <f t="shared" si="1922"/>
        <v>0</v>
      </c>
      <c r="AG422" s="375">
        <f t="shared" si="1923"/>
        <v>0</v>
      </c>
      <c r="AH422" s="375">
        <f t="shared" si="1924"/>
        <v>0</v>
      </c>
      <c r="AI422" s="386">
        <f t="shared" si="1925"/>
        <v>0</v>
      </c>
      <c r="AJ422" s="386">
        <f t="shared" si="1926"/>
        <v>0</v>
      </c>
      <c r="AK422" s="386">
        <f t="shared" si="1927"/>
        <v>0</v>
      </c>
      <c r="AL422" s="377">
        <f t="shared" si="1928"/>
        <v>0</v>
      </c>
      <c r="AM422" s="377">
        <f t="shared" si="1929"/>
        <v>0</v>
      </c>
      <c r="AN422" s="377">
        <f t="shared" si="1930"/>
        <v>0</v>
      </c>
      <c r="AO422" s="283"/>
      <c r="AP422" s="295">
        <f t="shared" si="1931"/>
        <v>3.5999999999999997E-2</v>
      </c>
      <c r="AQ422" s="20">
        <f t="shared" si="1964"/>
        <v>3.5999999999999997E-2</v>
      </c>
      <c r="AR422" s="95">
        <f t="shared" si="1964"/>
        <v>3.5999999999999997E-2</v>
      </c>
      <c r="AS422" s="94">
        <f t="shared" si="1964"/>
        <v>0</v>
      </c>
      <c r="AT422" s="94">
        <f t="shared" si="1948"/>
        <v>0</v>
      </c>
      <c r="AU422" s="94">
        <f t="shared" si="1949"/>
        <v>0</v>
      </c>
      <c r="AV422" s="94">
        <f t="shared" si="1950"/>
        <v>0</v>
      </c>
      <c r="AW422" s="94">
        <f t="shared" si="1965"/>
        <v>0</v>
      </c>
      <c r="AX422" s="94">
        <f t="shared" si="1952"/>
        <v>0</v>
      </c>
      <c r="AY422" s="94">
        <f t="shared" si="1966"/>
        <v>0</v>
      </c>
      <c r="AZ422" s="433">
        <f t="shared" si="1967"/>
        <v>0</v>
      </c>
      <c r="BA422" s="657">
        <v>-3.5999999999999997E-2</v>
      </c>
      <c r="BB422" s="327">
        <v>-3.5999999999999997E-2</v>
      </c>
      <c r="BC422" s="207">
        <v>0</v>
      </c>
      <c r="BD422" s="132">
        <v>-0.03</v>
      </c>
      <c r="BE422" s="132">
        <v>0</v>
      </c>
      <c r="BF422" s="132">
        <v>0</v>
      </c>
      <c r="BG422" s="207">
        <v>0</v>
      </c>
      <c r="BH422" s="207">
        <v>0</v>
      </c>
      <c r="BI422" s="132">
        <v>0</v>
      </c>
      <c r="BJ422" s="132">
        <v>0</v>
      </c>
      <c r="BK422" s="132">
        <v>0</v>
      </c>
      <c r="BL422" s="132">
        <v>0</v>
      </c>
      <c r="BM422" s="132">
        <v>0</v>
      </c>
      <c r="BN422" s="409">
        <v>0</v>
      </c>
      <c r="BO422" s="207">
        <v>0</v>
      </c>
      <c r="BP422" s="389">
        <v>0</v>
      </c>
      <c r="BQ422" s="389">
        <v>0</v>
      </c>
      <c r="BR422" s="389">
        <v>0</v>
      </c>
      <c r="BS422" s="296">
        <v>0</v>
      </c>
      <c r="BT422" s="296">
        <v>0</v>
      </c>
      <c r="BU422" s="296">
        <v>0</v>
      </c>
      <c r="BV422" s="409">
        <v>0</v>
      </c>
      <c r="BW422" s="296">
        <f t="shared" si="1955"/>
        <v>0</v>
      </c>
      <c r="BX422" s="442" t="s">
        <v>515</v>
      </c>
    </row>
    <row r="423" spans="1:76" ht="57.95" hidden="1" customHeight="1" outlineLevel="1" x14ac:dyDescent="0.25">
      <c r="A423" s="678">
        <v>33</v>
      </c>
      <c r="B423" s="702" t="s">
        <v>610</v>
      </c>
      <c r="C423" s="694" t="s">
        <v>610</v>
      </c>
      <c r="D423" s="63">
        <v>44239</v>
      </c>
      <c r="E423" s="463" t="s">
        <v>1194</v>
      </c>
      <c r="F423" s="542" t="s">
        <v>711</v>
      </c>
      <c r="G423" s="71" t="s">
        <v>709</v>
      </c>
      <c r="H423" s="311" t="s">
        <v>129</v>
      </c>
      <c r="I423" s="335"/>
      <c r="J423" s="294">
        <f t="shared" si="1900"/>
        <v>0</v>
      </c>
      <c r="K423" s="52">
        <f t="shared" si="1901"/>
        <v>0</v>
      </c>
      <c r="L423" s="52">
        <f t="shared" si="1902"/>
        <v>3.9064336434867777E-6</v>
      </c>
      <c r="M423" s="52">
        <f t="shared" ref="M423:M464" si="1968">AT423/Y$8</f>
        <v>4.0693437660807619E-6</v>
      </c>
      <c r="N423" s="52">
        <f t="shared" ref="N423:N464" si="1969">AU423/Z$8</f>
        <v>2.5931312286604519E-6</v>
      </c>
      <c r="O423" s="52">
        <f t="shared" ref="O423:O454" si="1970">AV423/AA$8</f>
        <v>0</v>
      </c>
      <c r="P423" s="52">
        <f t="shared" ref="P423:P454" si="1971">AW423/AE$8</f>
        <v>0</v>
      </c>
      <c r="Q423" s="52">
        <f t="shared" ref="Q423:Q454" si="1972">AX423/AF$8</f>
        <v>0</v>
      </c>
      <c r="R423" s="52">
        <f t="shared" ref="R423:R454" si="1973">AY423/AH$8</f>
        <v>0</v>
      </c>
      <c r="S423" s="527">
        <f t="shared" si="1909"/>
        <v>0</v>
      </c>
      <c r="T423" s="533">
        <f t="shared" ref="T423:T471" si="1974">BA423/T$8</f>
        <v>0</v>
      </c>
      <c r="U423" s="375">
        <f t="shared" si="1911"/>
        <v>0</v>
      </c>
      <c r="V423" s="375">
        <f t="shared" si="1912"/>
        <v>-3.9064336434867777E-6</v>
      </c>
      <c r="W423" s="386">
        <f t="shared" si="1913"/>
        <v>-4.1670124407356933E-6</v>
      </c>
      <c r="X423" s="386">
        <f t="shared" si="1914"/>
        <v>-4.0693437660807619E-6</v>
      </c>
      <c r="Y423" s="386">
        <f t="shared" si="1915"/>
        <v>-4.0693437660807619E-6</v>
      </c>
      <c r="Z423" s="375">
        <f t="shared" si="1916"/>
        <v>-2.5931312286604519E-6</v>
      </c>
      <c r="AA423" s="375">
        <f t="shared" si="1917"/>
        <v>0</v>
      </c>
      <c r="AB423" s="386">
        <f t="shared" si="1918"/>
        <v>0</v>
      </c>
      <c r="AC423" s="386">
        <f t="shared" ref="AC423:AC454" si="1975">BJ423/AC$8</f>
        <v>0</v>
      </c>
      <c r="AD423" s="386">
        <f t="shared" ref="AD423:AD454" si="1976">BK423/AD$8</f>
        <v>0</v>
      </c>
      <c r="AE423" s="386">
        <f t="shared" ref="AE423:AE454" si="1977">BL423/AE$8</f>
        <v>0</v>
      </c>
      <c r="AF423" s="386">
        <f t="shared" ref="AF423:AF454" si="1978">BM423/AF$8</f>
        <v>0</v>
      </c>
      <c r="AG423" s="375">
        <f t="shared" ref="AG423:AG454" si="1979">BN423/AG$8</f>
        <v>0</v>
      </c>
      <c r="AH423" s="375">
        <f t="shared" ref="AH423:AH454" si="1980">BO423/AH$8</f>
        <v>0</v>
      </c>
      <c r="AI423" s="386">
        <f t="shared" ref="AI423:AI454" si="1981">BP423/AI$8</f>
        <v>0</v>
      </c>
      <c r="AJ423" s="386">
        <f t="shared" ref="AJ423:AJ454" si="1982">BQ423/AJ$8</f>
        <v>0</v>
      </c>
      <c r="AK423" s="386">
        <f t="shared" ref="AK423:AK454" si="1983">BR423/AK$8</f>
        <v>0</v>
      </c>
      <c r="AL423" s="377">
        <f t="shared" ref="AL423:AL454" si="1984">BS423/AL$8</f>
        <v>0</v>
      </c>
      <c r="AM423" s="377">
        <f t="shared" ref="AM423:AM454" si="1985">BT423/AM$8</f>
        <v>0</v>
      </c>
      <c r="AN423" s="377">
        <f t="shared" ref="AN423:AN454" si="1986">BU423/AN$8</f>
        <v>0</v>
      </c>
      <c r="AO423" s="283"/>
      <c r="AP423" s="295">
        <f t="shared" ref="AP423:AP464" si="1987">AR423+AU423+AZ423+AW423+AY423</f>
        <v>8.7096999999999994E-2</v>
      </c>
      <c r="AQ423" s="20">
        <f t="shared" si="1964"/>
        <v>0</v>
      </c>
      <c r="AR423" s="95">
        <f t="shared" si="1964"/>
        <v>0</v>
      </c>
      <c r="AS423" s="94">
        <f t="shared" si="1964"/>
        <v>0.12763099999999999</v>
      </c>
      <c r="AT423" s="94">
        <f t="shared" si="1948"/>
        <v>0.12763099999999999</v>
      </c>
      <c r="AU423" s="94">
        <f t="shared" si="1949"/>
        <v>8.7096999999999994E-2</v>
      </c>
      <c r="AV423" s="94">
        <f t="shared" si="1950"/>
        <v>0</v>
      </c>
      <c r="AW423" s="94">
        <f t="shared" si="1965"/>
        <v>0</v>
      </c>
      <c r="AX423" s="94">
        <f t="shared" si="1952"/>
        <v>0</v>
      </c>
      <c r="AY423" s="94">
        <f t="shared" si="1966"/>
        <v>0</v>
      </c>
      <c r="AZ423" s="433">
        <f t="shared" si="1967"/>
        <v>0</v>
      </c>
      <c r="BA423" s="657">
        <v>0</v>
      </c>
      <c r="BB423" s="327">
        <v>0</v>
      </c>
      <c r="BC423" s="207">
        <v>-0.12763099999999999</v>
      </c>
      <c r="BD423" s="132">
        <v>-0.12763099999999999</v>
      </c>
      <c r="BE423" s="132">
        <v>-0.12763099999999999</v>
      </c>
      <c r="BF423" s="132">
        <v>-0.12763099999999999</v>
      </c>
      <c r="BG423" s="207">
        <v>-8.7096999999999994E-2</v>
      </c>
      <c r="BH423" s="207">
        <v>0</v>
      </c>
      <c r="BI423" s="132">
        <v>0</v>
      </c>
      <c r="BJ423" s="132">
        <v>0</v>
      </c>
      <c r="BK423" s="132">
        <v>0</v>
      </c>
      <c r="BL423" s="132">
        <v>0</v>
      </c>
      <c r="BM423" s="132">
        <v>0</v>
      </c>
      <c r="BN423" s="1032">
        <v>0</v>
      </c>
      <c r="BO423" s="207">
        <v>0</v>
      </c>
      <c r="BP423" s="389">
        <v>0</v>
      </c>
      <c r="BQ423" s="389">
        <v>0</v>
      </c>
      <c r="BR423" s="389">
        <v>0</v>
      </c>
      <c r="BS423" s="296">
        <v>0</v>
      </c>
      <c r="BT423" s="296">
        <v>0</v>
      </c>
      <c r="BU423" s="296">
        <v>0</v>
      </c>
      <c r="BV423" s="1032">
        <v>0</v>
      </c>
      <c r="BW423" s="296">
        <f t="shared" si="1955"/>
        <v>0</v>
      </c>
      <c r="BX423" s="442" t="s">
        <v>710</v>
      </c>
    </row>
    <row r="424" spans="1:76" ht="57.95" hidden="1" customHeight="1" outlineLevel="1" x14ac:dyDescent="0.25">
      <c r="A424" s="678">
        <v>34</v>
      </c>
      <c r="B424" s="702" t="s">
        <v>610</v>
      </c>
      <c r="C424" s="694" t="s">
        <v>610</v>
      </c>
      <c r="D424" s="63">
        <v>44250</v>
      </c>
      <c r="E424" s="463" t="s">
        <v>1193</v>
      </c>
      <c r="F424" s="542" t="s">
        <v>1101</v>
      </c>
      <c r="G424" s="71" t="s">
        <v>27</v>
      </c>
      <c r="H424" s="311" t="s">
        <v>129</v>
      </c>
      <c r="I424" s="335"/>
      <c r="J424" s="294">
        <f t="shared" si="1900"/>
        <v>0</v>
      </c>
      <c r="K424" s="52">
        <f t="shared" si="1901"/>
        <v>0</v>
      </c>
      <c r="L424" s="52">
        <f t="shared" si="1902"/>
        <v>2.5087230656219394E-5</v>
      </c>
      <c r="M424" s="52">
        <f t="shared" si="1968"/>
        <v>2.6133444209228922E-5</v>
      </c>
      <c r="N424" s="52">
        <f t="shared" si="1969"/>
        <v>2.4403366494500841E-5</v>
      </c>
      <c r="O424" s="52">
        <f t="shared" si="1970"/>
        <v>0</v>
      </c>
      <c r="P424" s="52">
        <f t="shared" si="1971"/>
        <v>0</v>
      </c>
      <c r="Q424" s="52">
        <f t="shared" si="1972"/>
        <v>0</v>
      </c>
      <c r="R424" s="52">
        <f t="shared" si="1973"/>
        <v>0</v>
      </c>
      <c r="S424" s="527">
        <f t="shared" si="1909"/>
        <v>0</v>
      </c>
      <c r="T424" s="533">
        <f t="shared" si="1974"/>
        <v>0</v>
      </c>
      <c r="U424" s="375">
        <f t="shared" si="1911"/>
        <v>0</v>
      </c>
      <c r="V424" s="375">
        <f t="shared" si="1912"/>
        <v>-2.5087230656219394E-5</v>
      </c>
      <c r="W424" s="386">
        <f t="shared" si="1913"/>
        <v>-2.6760675283034776E-5</v>
      </c>
      <c r="X424" s="386">
        <f t="shared" si="1914"/>
        <v>-2.6133444209228922E-5</v>
      </c>
      <c r="Y424" s="386">
        <f t="shared" si="1915"/>
        <v>-2.6133444209228922E-5</v>
      </c>
      <c r="Z424" s="375">
        <f t="shared" si="1916"/>
        <v>-2.4403366494500841E-5</v>
      </c>
      <c r="AA424" s="375">
        <f t="shared" si="1917"/>
        <v>0</v>
      </c>
      <c r="AB424" s="386">
        <f t="shared" si="1918"/>
        <v>0</v>
      </c>
      <c r="AC424" s="386">
        <f t="shared" si="1975"/>
        <v>0</v>
      </c>
      <c r="AD424" s="386">
        <f t="shared" si="1976"/>
        <v>0</v>
      </c>
      <c r="AE424" s="386">
        <f t="shared" si="1977"/>
        <v>0</v>
      </c>
      <c r="AF424" s="386">
        <f t="shared" si="1978"/>
        <v>0</v>
      </c>
      <c r="AG424" s="375">
        <f t="shared" si="1979"/>
        <v>0</v>
      </c>
      <c r="AH424" s="375">
        <f t="shared" si="1980"/>
        <v>0</v>
      </c>
      <c r="AI424" s="386">
        <f t="shared" si="1981"/>
        <v>0</v>
      </c>
      <c r="AJ424" s="386">
        <f t="shared" si="1982"/>
        <v>0</v>
      </c>
      <c r="AK424" s="386">
        <f t="shared" si="1983"/>
        <v>0</v>
      </c>
      <c r="AL424" s="377">
        <f t="shared" si="1984"/>
        <v>0</v>
      </c>
      <c r="AM424" s="377">
        <f t="shared" si="1985"/>
        <v>0</v>
      </c>
      <c r="AN424" s="377">
        <f t="shared" si="1986"/>
        <v>0</v>
      </c>
      <c r="AO424" s="283"/>
      <c r="AP424" s="295">
        <f t="shared" si="1987"/>
        <v>0.81964999999999999</v>
      </c>
      <c r="AQ424" s="20">
        <f>-BA424</f>
        <v>0</v>
      </c>
      <c r="AR424" s="95">
        <f>-BB424</f>
        <v>0</v>
      </c>
      <c r="AS424" s="94">
        <f t="shared" si="1964"/>
        <v>0.81964999999999999</v>
      </c>
      <c r="AT424" s="94">
        <f t="shared" si="1948"/>
        <v>0.81964999999999999</v>
      </c>
      <c r="AU424" s="94">
        <f t="shared" si="1949"/>
        <v>0.81964999999999999</v>
      </c>
      <c r="AV424" s="94">
        <f t="shared" si="1950"/>
        <v>0</v>
      </c>
      <c r="AW424" s="94">
        <f t="shared" si="1965"/>
        <v>0</v>
      </c>
      <c r="AX424" s="94">
        <f t="shared" si="1952"/>
        <v>0</v>
      </c>
      <c r="AY424" s="94">
        <f t="shared" si="1966"/>
        <v>0</v>
      </c>
      <c r="AZ424" s="433">
        <f t="shared" si="1967"/>
        <v>0</v>
      </c>
      <c r="BA424" s="657">
        <v>0</v>
      </c>
      <c r="BB424" s="327">
        <v>0</v>
      </c>
      <c r="BC424" s="207">
        <v>-0.81964999999999999</v>
      </c>
      <c r="BD424" s="132">
        <v>-0.81964999999999999</v>
      </c>
      <c r="BE424" s="132">
        <v>-0.81964999999999999</v>
      </c>
      <c r="BF424" s="132">
        <v>-0.81964999999999999</v>
      </c>
      <c r="BG424" s="207">
        <v>-0.81964999999999999</v>
      </c>
      <c r="BH424" s="207">
        <v>0</v>
      </c>
      <c r="BI424" s="132">
        <v>0</v>
      </c>
      <c r="BJ424" s="132">
        <v>0</v>
      </c>
      <c r="BK424" s="132">
        <v>0</v>
      </c>
      <c r="BL424" s="132">
        <v>0</v>
      </c>
      <c r="BM424" s="132">
        <v>0</v>
      </c>
      <c r="BN424" s="409">
        <v>0</v>
      </c>
      <c r="BO424" s="207">
        <v>0</v>
      </c>
      <c r="BP424" s="389">
        <v>0</v>
      </c>
      <c r="BQ424" s="389">
        <v>0</v>
      </c>
      <c r="BR424" s="389">
        <v>0</v>
      </c>
      <c r="BS424" s="296">
        <v>0</v>
      </c>
      <c r="BT424" s="296">
        <v>0</v>
      </c>
      <c r="BU424" s="296">
        <v>0</v>
      </c>
      <c r="BV424" s="409">
        <v>0</v>
      </c>
      <c r="BW424" s="296">
        <f t="shared" si="1955"/>
        <v>0</v>
      </c>
      <c r="BX424" s="442" t="s">
        <v>1102</v>
      </c>
    </row>
    <row r="425" spans="1:76" ht="72.599999999999994" hidden="1" customHeight="1" outlineLevel="1" x14ac:dyDescent="0.25">
      <c r="A425" s="678">
        <v>35</v>
      </c>
      <c r="B425" s="702" t="s">
        <v>610</v>
      </c>
      <c r="C425" s="694" t="s">
        <v>610</v>
      </c>
      <c r="D425" s="64">
        <v>44260</v>
      </c>
      <c r="E425" s="463" t="s">
        <v>1190</v>
      </c>
      <c r="F425" s="544" t="s">
        <v>1170</v>
      </c>
      <c r="G425" s="73" t="s">
        <v>38</v>
      </c>
      <c r="H425" s="313" t="s">
        <v>129</v>
      </c>
      <c r="I425" s="334"/>
      <c r="J425" s="294">
        <f t="shared" si="1900"/>
        <v>0</v>
      </c>
      <c r="K425" s="52">
        <f t="shared" si="1901"/>
        <v>0</v>
      </c>
      <c r="L425" s="52">
        <f t="shared" si="1902"/>
        <v>1.5239960822722823E-6</v>
      </c>
      <c r="M425" s="52">
        <f t="shared" si="1968"/>
        <v>1.5875513378465523E-6</v>
      </c>
      <c r="N425" s="52">
        <f t="shared" si="1969"/>
        <v>1.4824527841080778E-6</v>
      </c>
      <c r="O425" s="52">
        <f t="shared" si="1970"/>
        <v>0</v>
      </c>
      <c r="P425" s="52">
        <f t="shared" si="1971"/>
        <v>0</v>
      </c>
      <c r="Q425" s="52">
        <f t="shared" si="1972"/>
        <v>0</v>
      </c>
      <c r="R425" s="52">
        <f t="shared" si="1973"/>
        <v>0</v>
      </c>
      <c r="S425" s="527">
        <f t="shared" si="1909"/>
        <v>0</v>
      </c>
      <c r="T425" s="533">
        <f t="shared" si="1974"/>
        <v>0</v>
      </c>
      <c r="U425" s="375">
        <f t="shared" si="1911"/>
        <v>0</v>
      </c>
      <c r="V425" s="375">
        <f t="shared" si="1912"/>
        <v>-1.5239960822722823E-6</v>
      </c>
      <c r="W425" s="386">
        <f t="shared" si="1913"/>
        <v>-1.6256542959712898E-6</v>
      </c>
      <c r="X425" s="386">
        <f t="shared" si="1914"/>
        <v>-1.5875513378465523E-6</v>
      </c>
      <c r="Y425" s="386">
        <f t="shared" si="1915"/>
        <v>-1.5875513378465523E-6</v>
      </c>
      <c r="Z425" s="375">
        <f t="shared" si="1916"/>
        <v>-1.4824527841080778E-6</v>
      </c>
      <c r="AA425" s="375">
        <f t="shared" si="1917"/>
        <v>0</v>
      </c>
      <c r="AB425" s="386">
        <f t="shared" si="1918"/>
        <v>0</v>
      </c>
      <c r="AC425" s="386">
        <f t="shared" si="1975"/>
        <v>0</v>
      </c>
      <c r="AD425" s="386">
        <f t="shared" si="1976"/>
        <v>0</v>
      </c>
      <c r="AE425" s="386">
        <f t="shared" si="1977"/>
        <v>0</v>
      </c>
      <c r="AF425" s="386">
        <f t="shared" si="1978"/>
        <v>0</v>
      </c>
      <c r="AG425" s="375">
        <f t="shared" si="1979"/>
        <v>0</v>
      </c>
      <c r="AH425" s="375">
        <f t="shared" si="1980"/>
        <v>0</v>
      </c>
      <c r="AI425" s="386">
        <f t="shared" si="1981"/>
        <v>0</v>
      </c>
      <c r="AJ425" s="386">
        <f t="shared" si="1982"/>
        <v>0</v>
      </c>
      <c r="AK425" s="386">
        <f t="shared" si="1983"/>
        <v>0</v>
      </c>
      <c r="AL425" s="377">
        <f t="shared" si="1984"/>
        <v>0</v>
      </c>
      <c r="AM425" s="377">
        <f t="shared" si="1985"/>
        <v>0</v>
      </c>
      <c r="AN425" s="377">
        <f t="shared" si="1986"/>
        <v>0</v>
      </c>
      <c r="AO425" s="283"/>
      <c r="AP425" s="295">
        <f t="shared" si="1987"/>
        <v>4.9792000000000003E-2</v>
      </c>
      <c r="AQ425" s="180">
        <f t="shared" ref="AQ425:AS458" si="1988">-BA425</f>
        <v>0</v>
      </c>
      <c r="AR425" s="80">
        <f t="shared" si="1988"/>
        <v>0</v>
      </c>
      <c r="AS425" s="80">
        <f t="shared" si="1964"/>
        <v>4.9792000000000003E-2</v>
      </c>
      <c r="AT425" s="80">
        <f t="shared" si="1948"/>
        <v>4.9792000000000003E-2</v>
      </c>
      <c r="AU425" s="80">
        <f t="shared" si="1949"/>
        <v>4.9792000000000003E-2</v>
      </c>
      <c r="AV425" s="80">
        <f t="shared" si="1950"/>
        <v>0</v>
      </c>
      <c r="AW425" s="80">
        <f t="shared" si="1965"/>
        <v>0</v>
      </c>
      <c r="AX425" s="80">
        <f t="shared" si="1952"/>
        <v>0</v>
      </c>
      <c r="AY425" s="80">
        <f t="shared" si="1966"/>
        <v>0</v>
      </c>
      <c r="AZ425" s="432">
        <f t="shared" si="1967"/>
        <v>0</v>
      </c>
      <c r="BA425" s="1008">
        <v>0</v>
      </c>
      <c r="BB425" s="409">
        <v>0</v>
      </c>
      <c r="BC425" s="207">
        <v>-4.9792000000000003E-2</v>
      </c>
      <c r="BD425" s="132">
        <v>-4.9792000000000003E-2</v>
      </c>
      <c r="BE425" s="132">
        <v>-4.9792000000000003E-2</v>
      </c>
      <c r="BF425" s="132">
        <v>-4.9792000000000003E-2</v>
      </c>
      <c r="BG425" s="207">
        <v>-4.9792000000000003E-2</v>
      </c>
      <c r="BH425" s="207">
        <v>0</v>
      </c>
      <c r="BI425" s="132">
        <v>0</v>
      </c>
      <c r="BJ425" s="132">
        <v>0</v>
      </c>
      <c r="BK425" s="132">
        <v>0</v>
      </c>
      <c r="BL425" s="132">
        <v>0</v>
      </c>
      <c r="BM425" s="132">
        <v>0</v>
      </c>
      <c r="BN425" s="409">
        <v>0</v>
      </c>
      <c r="BO425" s="207">
        <v>0</v>
      </c>
      <c r="BP425" s="389">
        <v>0</v>
      </c>
      <c r="BQ425" s="389">
        <v>0</v>
      </c>
      <c r="BR425" s="389">
        <v>0</v>
      </c>
      <c r="BS425" s="296">
        <v>0</v>
      </c>
      <c r="BT425" s="296">
        <v>0</v>
      </c>
      <c r="BU425" s="296">
        <v>0</v>
      </c>
      <c r="BV425" s="409">
        <v>0</v>
      </c>
      <c r="BW425" s="296">
        <f>-BV425</f>
        <v>0</v>
      </c>
      <c r="BX425" s="439" t="s">
        <v>1171</v>
      </c>
    </row>
    <row r="426" spans="1:76" ht="72.599999999999994" hidden="1" customHeight="1" outlineLevel="1" x14ac:dyDescent="0.25">
      <c r="A426" s="678">
        <v>36</v>
      </c>
      <c r="B426" s="702" t="s">
        <v>610</v>
      </c>
      <c r="C426" s="694" t="s">
        <v>610</v>
      </c>
      <c r="D426" s="64">
        <v>44314</v>
      </c>
      <c r="E426" s="463" t="s">
        <v>1460</v>
      </c>
      <c r="F426" s="544" t="s">
        <v>1355</v>
      </c>
      <c r="G426" s="73" t="s">
        <v>38</v>
      </c>
      <c r="H426" s="313" t="s">
        <v>129</v>
      </c>
      <c r="I426" s="334"/>
      <c r="J426" s="294">
        <f t="shared" si="1900"/>
        <v>0</v>
      </c>
      <c r="K426" s="52">
        <f t="shared" si="1901"/>
        <v>0</v>
      </c>
      <c r="L426" s="52">
        <f t="shared" si="1902"/>
        <v>1.1936826640548482E-5</v>
      </c>
      <c r="M426" s="52">
        <f t="shared" si="1968"/>
        <v>1.2434628489720345E-5</v>
      </c>
      <c r="N426" s="52">
        <f t="shared" si="1969"/>
        <v>1.1611435286836245E-5</v>
      </c>
      <c r="O426" s="52">
        <f t="shared" si="1970"/>
        <v>0</v>
      </c>
      <c r="P426" s="52">
        <f t="shared" si="1971"/>
        <v>0</v>
      </c>
      <c r="Q426" s="52">
        <f t="shared" si="1972"/>
        <v>0</v>
      </c>
      <c r="R426" s="52">
        <f t="shared" si="1973"/>
        <v>0</v>
      </c>
      <c r="S426" s="527">
        <f t="shared" si="1909"/>
        <v>0</v>
      </c>
      <c r="T426" s="533">
        <f t="shared" si="1974"/>
        <v>0</v>
      </c>
      <c r="U426" s="375">
        <f t="shared" si="1911"/>
        <v>0</v>
      </c>
      <c r="V426" s="375">
        <f t="shared" si="1912"/>
        <v>-1.1936826640548482E-5</v>
      </c>
      <c r="W426" s="386">
        <f t="shared" si="1913"/>
        <v>0</v>
      </c>
      <c r="X426" s="386">
        <f t="shared" si="1914"/>
        <v>-1.2434628489720345E-5</v>
      </c>
      <c r="Y426" s="386">
        <f t="shared" si="1915"/>
        <v>-1.2434628489720345E-5</v>
      </c>
      <c r="Z426" s="375">
        <f t="shared" si="1916"/>
        <v>-1.1611435286836245E-5</v>
      </c>
      <c r="AA426" s="375">
        <f t="shared" si="1917"/>
        <v>0</v>
      </c>
      <c r="AB426" s="386">
        <f t="shared" si="1918"/>
        <v>0</v>
      </c>
      <c r="AC426" s="386">
        <f t="shared" si="1975"/>
        <v>0</v>
      </c>
      <c r="AD426" s="386">
        <f t="shared" si="1976"/>
        <v>0</v>
      </c>
      <c r="AE426" s="386">
        <f t="shared" si="1977"/>
        <v>0</v>
      </c>
      <c r="AF426" s="386">
        <f t="shared" si="1978"/>
        <v>0</v>
      </c>
      <c r="AG426" s="375">
        <f t="shared" si="1979"/>
        <v>0</v>
      </c>
      <c r="AH426" s="375">
        <f t="shared" si="1980"/>
        <v>0</v>
      </c>
      <c r="AI426" s="386">
        <f t="shared" si="1981"/>
        <v>0</v>
      </c>
      <c r="AJ426" s="386">
        <f t="shared" si="1982"/>
        <v>0</v>
      </c>
      <c r="AK426" s="386">
        <f t="shared" si="1983"/>
        <v>0</v>
      </c>
      <c r="AL426" s="377">
        <f t="shared" si="1984"/>
        <v>0</v>
      </c>
      <c r="AM426" s="377">
        <f t="shared" si="1985"/>
        <v>0</v>
      </c>
      <c r="AN426" s="377">
        <f t="shared" si="1986"/>
        <v>0</v>
      </c>
      <c r="AO426" s="283"/>
      <c r="AP426" s="295">
        <f t="shared" si="1987"/>
        <v>0.39</v>
      </c>
      <c r="AQ426" s="180">
        <f t="shared" ref="AQ426:AQ431" si="1989">-BA426</f>
        <v>0</v>
      </c>
      <c r="AR426" s="80">
        <f t="shared" ref="AR426:AR431" si="1990">-BB426</f>
        <v>0</v>
      </c>
      <c r="AS426" s="80">
        <f t="shared" ref="AS426:AS431" si="1991">-BC426</f>
        <v>0.39</v>
      </c>
      <c r="AT426" s="80">
        <f t="shared" si="1948"/>
        <v>0.39</v>
      </c>
      <c r="AU426" s="80">
        <f t="shared" si="1949"/>
        <v>0.39</v>
      </c>
      <c r="AV426" s="80">
        <f t="shared" si="1950"/>
        <v>0</v>
      </c>
      <c r="AW426" s="80">
        <f t="shared" si="1965"/>
        <v>0</v>
      </c>
      <c r="AX426" s="80">
        <f t="shared" si="1952"/>
        <v>0</v>
      </c>
      <c r="AY426" s="80">
        <f t="shared" si="1966"/>
        <v>0</v>
      </c>
      <c r="AZ426" s="432">
        <f t="shared" si="1967"/>
        <v>0</v>
      </c>
      <c r="BA426" s="1008">
        <v>0</v>
      </c>
      <c r="BB426" s="409">
        <v>0</v>
      </c>
      <c r="BC426" s="207">
        <v>-0.39</v>
      </c>
      <c r="BD426" s="132">
        <v>0</v>
      </c>
      <c r="BE426" s="132">
        <v>-0.39</v>
      </c>
      <c r="BF426" s="132">
        <v>-0.39</v>
      </c>
      <c r="BG426" s="207">
        <v>-0.39</v>
      </c>
      <c r="BH426" s="207">
        <v>0</v>
      </c>
      <c r="BI426" s="132">
        <v>0</v>
      </c>
      <c r="BJ426" s="132">
        <v>0</v>
      </c>
      <c r="BK426" s="132">
        <v>0</v>
      </c>
      <c r="BL426" s="132">
        <v>0</v>
      </c>
      <c r="BM426" s="132">
        <v>0</v>
      </c>
      <c r="BN426" s="409">
        <v>0</v>
      </c>
      <c r="BO426" s="207">
        <v>0</v>
      </c>
      <c r="BP426" s="389">
        <v>0</v>
      </c>
      <c r="BQ426" s="389">
        <v>0</v>
      </c>
      <c r="BR426" s="389">
        <v>0</v>
      </c>
      <c r="BS426" s="296">
        <v>0</v>
      </c>
      <c r="BT426" s="296">
        <v>0</v>
      </c>
      <c r="BU426" s="296">
        <v>0</v>
      </c>
      <c r="BV426" s="409">
        <v>0</v>
      </c>
      <c r="BW426" s="296">
        <f>-BV426</f>
        <v>0</v>
      </c>
      <c r="BX426" s="439" t="s">
        <v>1356</v>
      </c>
    </row>
    <row r="427" spans="1:76" ht="43.5" hidden="1" customHeight="1" outlineLevel="1" x14ac:dyDescent="0.25">
      <c r="A427" s="678">
        <v>37</v>
      </c>
      <c r="B427" s="702" t="s">
        <v>610</v>
      </c>
      <c r="C427" s="694" t="s">
        <v>610</v>
      </c>
      <c r="D427" s="64">
        <v>44355</v>
      </c>
      <c r="E427" s="463" t="s">
        <v>1466</v>
      </c>
      <c r="F427" s="544" t="s">
        <v>1462</v>
      </c>
      <c r="G427" s="71" t="s">
        <v>27</v>
      </c>
      <c r="H427" s="313" t="s">
        <v>129</v>
      </c>
      <c r="I427" s="334"/>
      <c r="J427" s="294">
        <f t="shared" si="1900"/>
        <v>0</v>
      </c>
      <c r="K427" s="52">
        <f t="shared" si="1901"/>
        <v>0</v>
      </c>
      <c r="L427" s="52">
        <f t="shared" si="1902"/>
        <v>9.1821743388834473E-7</v>
      </c>
      <c r="M427" s="52">
        <f t="shared" si="1968"/>
        <v>9.5650988382464188E-7</v>
      </c>
      <c r="N427" s="52">
        <f t="shared" si="1969"/>
        <v>8.9318732975663417E-7</v>
      </c>
      <c r="O427" s="52">
        <f t="shared" si="1970"/>
        <v>0</v>
      </c>
      <c r="P427" s="52">
        <f t="shared" si="1971"/>
        <v>0</v>
      </c>
      <c r="Q427" s="52">
        <f t="shared" si="1972"/>
        <v>0</v>
      </c>
      <c r="R427" s="52">
        <f t="shared" si="1973"/>
        <v>0</v>
      </c>
      <c r="S427" s="527">
        <f t="shared" si="1909"/>
        <v>0</v>
      </c>
      <c r="T427" s="533">
        <f t="shared" si="1974"/>
        <v>0</v>
      </c>
      <c r="U427" s="375">
        <f t="shared" si="1911"/>
        <v>0</v>
      </c>
      <c r="V427" s="375">
        <f t="shared" si="1912"/>
        <v>-9.1821743388834473E-7</v>
      </c>
      <c r="W427" s="386">
        <f t="shared" si="1913"/>
        <v>0</v>
      </c>
      <c r="X427" s="386">
        <f t="shared" si="1914"/>
        <v>-9.5650988382464188E-7</v>
      </c>
      <c r="Y427" s="386">
        <f t="shared" si="1915"/>
        <v>-9.5650988382464188E-7</v>
      </c>
      <c r="Z427" s="375">
        <f t="shared" si="1916"/>
        <v>-8.9318732975663417E-7</v>
      </c>
      <c r="AA427" s="375">
        <f t="shared" si="1917"/>
        <v>0</v>
      </c>
      <c r="AB427" s="386">
        <f t="shared" si="1918"/>
        <v>0</v>
      </c>
      <c r="AC427" s="386">
        <f t="shared" si="1975"/>
        <v>0</v>
      </c>
      <c r="AD427" s="386">
        <f t="shared" si="1976"/>
        <v>0</v>
      </c>
      <c r="AE427" s="386">
        <f t="shared" si="1977"/>
        <v>0</v>
      </c>
      <c r="AF427" s="386">
        <f t="shared" si="1978"/>
        <v>0</v>
      </c>
      <c r="AG427" s="375">
        <f t="shared" si="1979"/>
        <v>0</v>
      </c>
      <c r="AH427" s="375">
        <f t="shared" si="1980"/>
        <v>0</v>
      </c>
      <c r="AI427" s="386">
        <f t="shared" si="1981"/>
        <v>0</v>
      </c>
      <c r="AJ427" s="386">
        <f t="shared" si="1982"/>
        <v>0</v>
      </c>
      <c r="AK427" s="386">
        <f t="shared" si="1983"/>
        <v>0</v>
      </c>
      <c r="AL427" s="377">
        <f t="shared" si="1984"/>
        <v>0</v>
      </c>
      <c r="AM427" s="377">
        <f t="shared" si="1985"/>
        <v>0</v>
      </c>
      <c r="AN427" s="377">
        <f t="shared" si="1986"/>
        <v>0</v>
      </c>
      <c r="AO427" s="283"/>
      <c r="AP427" s="295">
        <f t="shared" si="1987"/>
        <v>0.03</v>
      </c>
      <c r="AQ427" s="180">
        <f t="shared" si="1989"/>
        <v>0</v>
      </c>
      <c r="AR427" s="80">
        <f t="shared" si="1990"/>
        <v>0</v>
      </c>
      <c r="AS427" s="80">
        <f t="shared" si="1991"/>
        <v>0.03</v>
      </c>
      <c r="AT427" s="80">
        <f t="shared" si="1948"/>
        <v>0.03</v>
      </c>
      <c r="AU427" s="80">
        <f t="shared" si="1949"/>
        <v>0.03</v>
      </c>
      <c r="AV427" s="80">
        <f t="shared" si="1950"/>
        <v>0</v>
      </c>
      <c r="AW427" s="80">
        <f t="shared" si="1965"/>
        <v>0</v>
      </c>
      <c r="AX427" s="80">
        <f t="shared" si="1952"/>
        <v>0</v>
      </c>
      <c r="AY427" s="80">
        <f t="shared" si="1966"/>
        <v>0</v>
      </c>
      <c r="AZ427" s="432">
        <f t="shared" si="1967"/>
        <v>0</v>
      </c>
      <c r="BA427" s="1008">
        <v>0</v>
      </c>
      <c r="BB427" s="409">
        <v>0</v>
      </c>
      <c r="BC427" s="207">
        <v>-0.03</v>
      </c>
      <c r="BD427" s="132">
        <v>0</v>
      </c>
      <c r="BE427" s="132">
        <v>-0.03</v>
      </c>
      <c r="BF427" s="132">
        <v>-0.03</v>
      </c>
      <c r="BG427" s="207">
        <v>-0.03</v>
      </c>
      <c r="BH427" s="207">
        <v>0</v>
      </c>
      <c r="BI427" s="132">
        <v>0</v>
      </c>
      <c r="BJ427" s="132">
        <v>0</v>
      </c>
      <c r="BK427" s="132">
        <v>0</v>
      </c>
      <c r="BL427" s="132">
        <v>0</v>
      </c>
      <c r="BM427" s="132">
        <v>0</v>
      </c>
      <c r="BN427" s="409">
        <v>0</v>
      </c>
      <c r="BO427" s="207">
        <v>0</v>
      </c>
      <c r="BP427" s="389">
        <v>0</v>
      </c>
      <c r="BQ427" s="389">
        <v>0</v>
      </c>
      <c r="BR427" s="389">
        <v>0</v>
      </c>
      <c r="BS427" s="296">
        <v>0</v>
      </c>
      <c r="BT427" s="296">
        <v>0</v>
      </c>
      <c r="BU427" s="296">
        <v>0</v>
      </c>
      <c r="BV427" s="409">
        <v>0</v>
      </c>
      <c r="BW427" s="296">
        <f>-BV427</f>
        <v>0</v>
      </c>
      <c r="BX427" s="439" t="s">
        <v>1463</v>
      </c>
    </row>
    <row r="428" spans="1:76" ht="43.5" hidden="1" customHeight="1" outlineLevel="1" x14ac:dyDescent="0.25">
      <c r="A428" s="678">
        <v>38</v>
      </c>
      <c r="B428" s="702" t="s">
        <v>610</v>
      </c>
      <c r="C428" s="694" t="s">
        <v>610</v>
      </c>
      <c r="D428" s="63">
        <v>44362</v>
      </c>
      <c r="E428" s="463" t="s">
        <v>1642</v>
      </c>
      <c r="F428" s="542" t="s">
        <v>1475</v>
      </c>
      <c r="G428" s="71" t="s">
        <v>27</v>
      </c>
      <c r="H428" s="311" t="s">
        <v>129</v>
      </c>
      <c r="I428" s="335"/>
      <c r="J428" s="294">
        <f t="shared" si="1900"/>
        <v>0</v>
      </c>
      <c r="K428" s="52">
        <f t="shared" si="1901"/>
        <v>0</v>
      </c>
      <c r="L428" s="52">
        <f t="shared" si="1902"/>
        <v>1.1147465719882467E-5</v>
      </c>
      <c r="M428" s="52">
        <f t="shared" si="1968"/>
        <v>1.1612348826259093E-5</v>
      </c>
      <c r="N428" s="52">
        <f t="shared" si="1969"/>
        <v>1.0843591912355457E-5</v>
      </c>
      <c r="O428" s="52">
        <f t="shared" si="1970"/>
        <v>0</v>
      </c>
      <c r="P428" s="52">
        <f t="shared" si="1971"/>
        <v>0</v>
      </c>
      <c r="Q428" s="52">
        <f t="shared" si="1972"/>
        <v>0</v>
      </c>
      <c r="R428" s="52">
        <f t="shared" si="1973"/>
        <v>0</v>
      </c>
      <c r="S428" s="527">
        <f t="shared" si="1909"/>
        <v>0</v>
      </c>
      <c r="T428" s="533">
        <f t="shared" si="1974"/>
        <v>0</v>
      </c>
      <c r="U428" s="375">
        <f t="shared" si="1911"/>
        <v>0</v>
      </c>
      <c r="V428" s="375">
        <f t="shared" si="1912"/>
        <v>-1.1147465719882467E-5</v>
      </c>
      <c r="W428" s="386">
        <f t="shared" si="1913"/>
        <v>0</v>
      </c>
      <c r="X428" s="386">
        <f t="shared" si="1914"/>
        <v>-1.1612348826259093E-5</v>
      </c>
      <c r="Y428" s="386">
        <f t="shared" si="1915"/>
        <v>-1.1612348826259093E-5</v>
      </c>
      <c r="Z428" s="375">
        <f t="shared" si="1916"/>
        <v>-1.0843591912355457E-5</v>
      </c>
      <c r="AA428" s="375">
        <f t="shared" si="1917"/>
        <v>0</v>
      </c>
      <c r="AB428" s="386">
        <f t="shared" si="1918"/>
        <v>0</v>
      </c>
      <c r="AC428" s="386">
        <f t="shared" si="1975"/>
        <v>0</v>
      </c>
      <c r="AD428" s="386">
        <f t="shared" si="1976"/>
        <v>0</v>
      </c>
      <c r="AE428" s="386">
        <f t="shared" si="1977"/>
        <v>0</v>
      </c>
      <c r="AF428" s="386">
        <f t="shared" si="1978"/>
        <v>0</v>
      </c>
      <c r="AG428" s="375">
        <f t="shared" si="1979"/>
        <v>0</v>
      </c>
      <c r="AH428" s="375">
        <f t="shared" si="1980"/>
        <v>0</v>
      </c>
      <c r="AI428" s="386">
        <f t="shared" si="1981"/>
        <v>0</v>
      </c>
      <c r="AJ428" s="386">
        <f t="shared" si="1982"/>
        <v>0</v>
      </c>
      <c r="AK428" s="386">
        <f t="shared" si="1983"/>
        <v>0</v>
      </c>
      <c r="AL428" s="377">
        <f t="shared" si="1984"/>
        <v>0</v>
      </c>
      <c r="AM428" s="377">
        <f t="shared" si="1985"/>
        <v>0</v>
      </c>
      <c r="AN428" s="377">
        <f t="shared" si="1986"/>
        <v>0</v>
      </c>
      <c r="AO428" s="283"/>
      <c r="AP428" s="295">
        <f t="shared" si="1987"/>
        <v>0.36420999999999998</v>
      </c>
      <c r="AQ428" s="20">
        <f t="shared" ref="AQ428:AQ429" si="1992">-BA428</f>
        <v>0</v>
      </c>
      <c r="AR428" s="95">
        <f t="shared" ref="AR428:AR429" si="1993">-BB428</f>
        <v>0</v>
      </c>
      <c r="AS428" s="94">
        <f t="shared" ref="AS428:AS429" si="1994">-BC428</f>
        <v>0.36420999999999998</v>
      </c>
      <c r="AT428" s="94">
        <f t="shared" si="1948"/>
        <v>0.36420999999999998</v>
      </c>
      <c r="AU428" s="94">
        <f t="shared" si="1949"/>
        <v>0.36420999999999998</v>
      </c>
      <c r="AV428" s="94">
        <f t="shared" si="1950"/>
        <v>0</v>
      </c>
      <c r="AW428" s="94">
        <f t="shared" si="1965"/>
        <v>0</v>
      </c>
      <c r="AX428" s="94">
        <f t="shared" si="1952"/>
        <v>0</v>
      </c>
      <c r="AY428" s="94">
        <f t="shared" si="1966"/>
        <v>0</v>
      </c>
      <c r="AZ428" s="433">
        <f t="shared" si="1967"/>
        <v>0</v>
      </c>
      <c r="BA428" s="657">
        <v>0</v>
      </c>
      <c r="BB428" s="327">
        <v>0</v>
      </c>
      <c r="BC428" s="207">
        <v>-0.36420999999999998</v>
      </c>
      <c r="BD428" s="132">
        <v>0</v>
      </c>
      <c r="BE428" s="132">
        <v>-0.36420999999999998</v>
      </c>
      <c r="BF428" s="132">
        <v>-0.36420999999999998</v>
      </c>
      <c r="BG428" s="207">
        <v>-0.36420999999999998</v>
      </c>
      <c r="BH428" s="207">
        <v>0</v>
      </c>
      <c r="BI428" s="132">
        <v>0</v>
      </c>
      <c r="BJ428" s="132">
        <v>0</v>
      </c>
      <c r="BK428" s="132">
        <v>0</v>
      </c>
      <c r="BL428" s="132">
        <v>0</v>
      </c>
      <c r="BM428" s="132">
        <v>0</v>
      </c>
      <c r="BN428" s="409">
        <v>0</v>
      </c>
      <c r="BO428" s="207">
        <v>0</v>
      </c>
      <c r="BP428" s="389">
        <v>0</v>
      </c>
      <c r="BQ428" s="389">
        <v>0</v>
      </c>
      <c r="BR428" s="389">
        <v>0</v>
      </c>
      <c r="BS428" s="296">
        <v>0</v>
      </c>
      <c r="BT428" s="296">
        <v>0</v>
      </c>
      <c r="BU428" s="296">
        <v>0</v>
      </c>
      <c r="BV428" s="409">
        <v>0</v>
      </c>
      <c r="BW428" s="296">
        <f t="shared" ref="BW428:BW429" si="1995">-BV428</f>
        <v>0</v>
      </c>
      <c r="BX428" s="439" t="s">
        <v>1476</v>
      </c>
    </row>
    <row r="429" spans="1:76" ht="101.45" hidden="1" customHeight="1" outlineLevel="1" x14ac:dyDescent="0.25">
      <c r="A429" s="678">
        <v>39</v>
      </c>
      <c r="B429" s="702" t="s">
        <v>610</v>
      </c>
      <c r="C429" s="694" t="s">
        <v>610</v>
      </c>
      <c r="D429" s="63">
        <v>44361</v>
      </c>
      <c r="E429" s="463" t="s">
        <v>1558</v>
      </c>
      <c r="F429" s="542" t="s">
        <v>417</v>
      </c>
      <c r="G429" s="71" t="s">
        <v>23</v>
      </c>
      <c r="H429" s="311" t="s">
        <v>1811</v>
      </c>
      <c r="I429" s="335"/>
      <c r="J429" s="294">
        <f t="shared" ref="J429" si="1996">AQ429/T$8</f>
        <v>0</v>
      </c>
      <c r="K429" s="52">
        <f t="shared" ref="K429" si="1997">AR429/U$8</f>
        <v>0</v>
      </c>
      <c r="L429" s="52">
        <f t="shared" ref="L429" si="1998">AS429/V$8</f>
        <v>1.4029750244857982E-6</v>
      </c>
      <c r="M429" s="52">
        <f t="shared" si="1968"/>
        <v>1.4614833351584643E-6</v>
      </c>
      <c r="N429" s="52">
        <f t="shared" si="1969"/>
        <v>1.3647306940461531E-6</v>
      </c>
      <c r="O429" s="52">
        <f t="shared" si="1970"/>
        <v>0</v>
      </c>
      <c r="P429" s="52">
        <f t="shared" si="1971"/>
        <v>0</v>
      </c>
      <c r="Q429" s="52">
        <f t="shared" si="1972"/>
        <v>0</v>
      </c>
      <c r="R429" s="52">
        <f t="shared" si="1973"/>
        <v>0</v>
      </c>
      <c r="S429" s="527">
        <f t="shared" ref="S429" si="1999">AZ429/AN$8</f>
        <v>0</v>
      </c>
      <c r="T429" s="533">
        <f t="shared" ref="T429" si="2000">BA429/T$8</f>
        <v>0</v>
      </c>
      <c r="U429" s="375">
        <f t="shared" ref="U429" si="2001">BB429/U$8</f>
        <v>0</v>
      </c>
      <c r="V429" s="375">
        <f t="shared" ref="V429" si="2002">BC429/V$8</f>
        <v>-1.4029750244857982E-6</v>
      </c>
      <c r="W429" s="386">
        <f t="shared" ref="W429" si="2003">BD429/W$8</f>
        <v>0</v>
      </c>
      <c r="X429" s="386">
        <f t="shared" ref="X429" si="2004">BE429/X$8</f>
        <v>-1.4614833351584643E-6</v>
      </c>
      <c r="Y429" s="386">
        <f t="shared" ref="Y429" si="2005">BF429/Y$8</f>
        <v>-1.4614833351584643E-6</v>
      </c>
      <c r="Z429" s="375">
        <f t="shared" ref="Z429:Z448" si="2006">BG429/Z$8</f>
        <v>-1.3647306940461531E-6</v>
      </c>
      <c r="AA429" s="375">
        <f t="shared" ref="AA429" si="2007">BH429/AA$8</f>
        <v>0</v>
      </c>
      <c r="AB429" s="386">
        <f t="shared" ref="AB429" si="2008">BI429/AB$8</f>
        <v>0</v>
      </c>
      <c r="AC429" s="386">
        <f t="shared" si="1975"/>
        <v>0</v>
      </c>
      <c r="AD429" s="386">
        <f t="shared" si="1976"/>
        <v>0</v>
      </c>
      <c r="AE429" s="386">
        <f t="shared" si="1977"/>
        <v>0</v>
      </c>
      <c r="AF429" s="386">
        <f t="shared" si="1978"/>
        <v>0</v>
      </c>
      <c r="AG429" s="375">
        <f t="shared" si="1979"/>
        <v>0</v>
      </c>
      <c r="AH429" s="375">
        <f t="shared" si="1980"/>
        <v>0</v>
      </c>
      <c r="AI429" s="386">
        <f t="shared" si="1981"/>
        <v>0</v>
      </c>
      <c r="AJ429" s="386">
        <f t="shared" si="1982"/>
        <v>0</v>
      </c>
      <c r="AK429" s="386">
        <f t="shared" si="1983"/>
        <v>0</v>
      </c>
      <c r="AL429" s="377">
        <f t="shared" si="1984"/>
        <v>0</v>
      </c>
      <c r="AM429" s="377">
        <f t="shared" si="1985"/>
        <v>0</v>
      </c>
      <c r="AN429" s="377">
        <f t="shared" si="1986"/>
        <v>0</v>
      </c>
      <c r="AO429" s="283"/>
      <c r="AP429" s="295">
        <f t="shared" si="1987"/>
        <v>4.5837999999999997E-2</v>
      </c>
      <c r="AQ429" s="20">
        <f t="shared" si="1992"/>
        <v>0</v>
      </c>
      <c r="AR429" s="95">
        <f t="shared" si="1993"/>
        <v>0</v>
      </c>
      <c r="AS429" s="94">
        <f t="shared" si="1994"/>
        <v>4.5837999999999997E-2</v>
      </c>
      <c r="AT429" s="94">
        <f t="shared" si="1948"/>
        <v>4.5837999999999997E-2</v>
      </c>
      <c r="AU429" s="94">
        <f t="shared" si="1949"/>
        <v>4.5837999999999997E-2</v>
      </c>
      <c r="AV429" s="94">
        <f t="shared" si="1950"/>
        <v>0</v>
      </c>
      <c r="AW429" s="94">
        <f t="shared" ref="AW429" si="2009">-BH429</f>
        <v>0</v>
      </c>
      <c r="AX429" s="94">
        <f t="shared" si="1952"/>
        <v>0</v>
      </c>
      <c r="AY429" s="94">
        <f t="shared" ref="AY429" si="2010">-BO429</f>
        <v>0</v>
      </c>
      <c r="AZ429" s="433">
        <f t="shared" ref="AZ429" si="2011">-BU429</f>
        <v>0</v>
      </c>
      <c r="BA429" s="657">
        <v>0</v>
      </c>
      <c r="BB429" s="327">
        <v>0</v>
      </c>
      <c r="BC429" s="207">
        <v>-4.5837999999999997E-2</v>
      </c>
      <c r="BD429" s="132">
        <v>0</v>
      </c>
      <c r="BE429" s="132">
        <v>-4.5837999999999997E-2</v>
      </c>
      <c r="BF429" s="132">
        <v>-4.5837999999999997E-2</v>
      </c>
      <c r="BG429" s="207">
        <v>-4.5837999999999997E-2</v>
      </c>
      <c r="BH429" s="207">
        <v>0</v>
      </c>
      <c r="BI429" s="132">
        <v>0</v>
      </c>
      <c r="BJ429" s="132">
        <v>0</v>
      </c>
      <c r="BK429" s="132">
        <v>0</v>
      </c>
      <c r="BL429" s="132">
        <v>0</v>
      </c>
      <c r="BM429" s="132">
        <v>0</v>
      </c>
      <c r="BN429" s="409">
        <v>0</v>
      </c>
      <c r="BO429" s="207">
        <v>0</v>
      </c>
      <c r="BP429" s="389">
        <v>0</v>
      </c>
      <c r="BQ429" s="389">
        <v>0</v>
      </c>
      <c r="BR429" s="389">
        <v>0</v>
      </c>
      <c r="BS429" s="296">
        <v>0</v>
      </c>
      <c r="BT429" s="296">
        <v>0</v>
      </c>
      <c r="BU429" s="296">
        <v>0</v>
      </c>
      <c r="BV429" s="409">
        <v>0</v>
      </c>
      <c r="BW429" s="296">
        <f t="shared" si="1995"/>
        <v>0</v>
      </c>
      <c r="BX429" s="439" t="s">
        <v>1472</v>
      </c>
    </row>
    <row r="430" spans="1:76" ht="86.1" hidden="1" customHeight="1" outlineLevel="1" x14ac:dyDescent="0.25">
      <c r="A430" s="678">
        <v>40</v>
      </c>
      <c r="B430" s="702" t="s">
        <v>610</v>
      </c>
      <c r="C430" s="694" t="s">
        <v>610</v>
      </c>
      <c r="D430" s="645">
        <v>44530</v>
      </c>
      <c r="E430" s="463" t="s">
        <v>1881</v>
      </c>
      <c r="F430" s="542" t="s">
        <v>417</v>
      </c>
      <c r="G430" s="71" t="s">
        <v>23</v>
      </c>
      <c r="H430" s="311" t="s">
        <v>1811</v>
      </c>
      <c r="I430" s="335"/>
      <c r="J430" s="294">
        <f t="shared" si="1900"/>
        <v>0</v>
      </c>
      <c r="K430" s="52">
        <f t="shared" si="1901"/>
        <v>0</v>
      </c>
      <c r="L430" s="52">
        <f t="shared" si="1902"/>
        <v>3.5667238001958861E-6</v>
      </c>
      <c r="M430" s="52">
        <f t="shared" si="1968"/>
        <v>3.7154669927284385E-6</v>
      </c>
      <c r="N430" s="52">
        <f t="shared" si="1969"/>
        <v>3.4694968637066696E-6</v>
      </c>
      <c r="O430" s="52">
        <f t="shared" si="1970"/>
        <v>0</v>
      </c>
      <c r="P430" s="52">
        <f t="shared" si="1971"/>
        <v>0</v>
      </c>
      <c r="Q430" s="52">
        <f t="shared" si="1972"/>
        <v>0</v>
      </c>
      <c r="R430" s="52">
        <f t="shared" si="1973"/>
        <v>0</v>
      </c>
      <c r="S430" s="527">
        <f t="shared" si="1909"/>
        <v>0</v>
      </c>
      <c r="T430" s="533">
        <f t="shared" si="1974"/>
        <v>0</v>
      </c>
      <c r="U430" s="375">
        <f t="shared" si="1911"/>
        <v>0</v>
      </c>
      <c r="V430" s="375">
        <f t="shared" si="1912"/>
        <v>-3.5667238001958861E-6</v>
      </c>
      <c r="W430" s="386">
        <f t="shared" si="1913"/>
        <v>0</v>
      </c>
      <c r="X430" s="386">
        <f t="shared" si="1914"/>
        <v>-1.4614833351584643E-6</v>
      </c>
      <c r="Y430" s="386">
        <f>BF430/Y$8</f>
        <v>-1.4614833351584643E-6</v>
      </c>
      <c r="Z430" s="375">
        <f t="shared" si="2006"/>
        <v>-3.4694968637066696E-6</v>
      </c>
      <c r="AA430" s="375">
        <f t="shared" si="1917"/>
        <v>0</v>
      </c>
      <c r="AB430" s="386">
        <f t="shared" si="1918"/>
        <v>0</v>
      </c>
      <c r="AC430" s="386">
        <f t="shared" si="1975"/>
        <v>0</v>
      </c>
      <c r="AD430" s="386">
        <f t="shared" si="1976"/>
        <v>0</v>
      </c>
      <c r="AE430" s="386">
        <f t="shared" si="1977"/>
        <v>0</v>
      </c>
      <c r="AF430" s="386">
        <f t="shared" si="1978"/>
        <v>0</v>
      </c>
      <c r="AG430" s="375">
        <f t="shared" si="1979"/>
        <v>0</v>
      </c>
      <c r="AH430" s="375">
        <f t="shared" si="1980"/>
        <v>0</v>
      </c>
      <c r="AI430" s="386">
        <f t="shared" si="1981"/>
        <v>0</v>
      </c>
      <c r="AJ430" s="386">
        <f t="shared" si="1982"/>
        <v>0</v>
      </c>
      <c r="AK430" s="386">
        <f t="shared" si="1983"/>
        <v>0</v>
      </c>
      <c r="AL430" s="377">
        <f t="shared" si="1984"/>
        <v>0</v>
      </c>
      <c r="AM430" s="377">
        <f t="shared" si="1985"/>
        <v>0</v>
      </c>
      <c r="AN430" s="377">
        <f t="shared" si="1986"/>
        <v>0</v>
      </c>
      <c r="AO430" s="283"/>
      <c r="AP430" s="295">
        <f t="shared" si="1987"/>
        <v>0.116532</v>
      </c>
      <c r="AQ430" s="20">
        <f t="shared" si="1989"/>
        <v>0</v>
      </c>
      <c r="AR430" s="95">
        <f t="shared" si="1990"/>
        <v>0</v>
      </c>
      <c r="AS430" s="94">
        <f t="shared" si="1991"/>
        <v>0.116532</v>
      </c>
      <c r="AT430" s="94">
        <f t="shared" si="1948"/>
        <v>0.116532</v>
      </c>
      <c r="AU430" s="94">
        <f t="shared" si="1949"/>
        <v>0.116532</v>
      </c>
      <c r="AV430" s="94">
        <f t="shared" si="1950"/>
        <v>0</v>
      </c>
      <c r="AW430" s="94">
        <f t="shared" si="1965"/>
        <v>0</v>
      </c>
      <c r="AX430" s="94">
        <f t="shared" si="1952"/>
        <v>0</v>
      </c>
      <c r="AY430" s="94">
        <f t="shared" si="1966"/>
        <v>0</v>
      </c>
      <c r="AZ430" s="433">
        <f t="shared" si="1967"/>
        <v>0</v>
      </c>
      <c r="BA430" s="657">
        <v>0</v>
      </c>
      <c r="BB430" s="327">
        <v>0</v>
      </c>
      <c r="BC430" s="207">
        <f>-0.116532</f>
        <v>-0.116532</v>
      </c>
      <c r="BD430" s="132">
        <v>0</v>
      </c>
      <c r="BE430" s="132">
        <v>-4.5837999999999997E-2</v>
      </c>
      <c r="BF430" s="132">
        <v>-4.5837999999999997E-2</v>
      </c>
      <c r="BG430" s="207">
        <v>-0.116532</v>
      </c>
      <c r="BH430" s="207">
        <v>0</v>
      </c>
      <c r="BI430" s="132">
        <v>0</v>
      </c>
      <c r="BJ430" s="132">
        <v>0</v>
      </c>
      <c r="BK430" s="132">
        <v>0</v>
      </c>
      <c r="BL430" s="132">
        <v>0</v>
      </c>
      <c r="BM430" s="132">
        <v>0</v>
      </c>
      <c r="BN430" s="409">
        <v>0</v>
      </c>
      <c r="BO430" s="207">
        <v>0</v>
      </c>
      <c r="BP430" s="389">
        <v>0</v>
      </c>
      <c r="BQ430" s="389">
        <v>0</v>
      </c>
      <c r="BR430" s="389">
        <v>0</v>
      </c>
      <c r="BS430" s="296">
        <v>0</v>
      </c>
      <c r="BT430" s="296">
        <v>0</v>
      </c>
      <c r="BU430" s="296">
        <v>0</v>
      </c>
      <c r="BV430" s="409">
        <v>0</v>
      </c>
      <c r="BW430" s="296">
        <f t="shared" ref="BW430:BW431" si="2012">-BV430</f>
        <v>0</v>
      </c>
      <c r="BX430" s="439" t="s">
        <v>1812</v>
      </c>
    </row>
    <row r="431" spans="1:76" ht="87" hidden="1" customHeight="1" outlineLevel="1" x14ac:dyDescent="0.25">
      <c r="A431" s="678">
        <v>39</v>
      </c>
      <c r="B431" s="702" t="s">
        <v>610</v>
      </c>
      <c r="C431" s="694" t="s">
        <v>610</v>
      </c>
      <c r="D431" s="63">
        <v>44684</v>
      </c>
      <c r="E431" s="463" t="s">
        <v>2093</v>
      </c>
      <c r="F431" s="542" t="s">
        <v>417</v>
      </c>
      <c r="G431" s="71" t="s">
        <v>23</v>
      </c>
      <c r="H431" s="311" t="s">
        <v>1811</v>
      </c>
      <c r="I431" s="335"/>
      <c r="J431" s="294">
        <f t="shared" si="1900"/>
        <v>0</v>
      </c>
      <c r="K431" s="52">
        <f t="shared" si="1901"/>
        <v>0</v>
      </c>
      <c r="L431" s="52">
        <f t="shared" si="1902"/>
        <v>0</v>
      </c>
      <c r="M431" s="52">
        <f t="shared" ref="M431" si="2013">AT431/Y$8</f>
        <v>0</v>
      </c>
      <c r="N431" s="52">
        <f t="shared" ref="N431" si="2014">AU431/Z$8</f>
        <v>0</v>
      </c>
      <c r="O431" s="52">
        <f t="shared" si="1970"/>
        <v>2.5239593013786571E-6</v>
      </c>
      <c r="P431" s="52">
        <f t="shared" si="1971"/>
        <v>2.5947376916498839E-6</v>
      </c>
      <c r="Q431" s="52">
        <f t="shared" si="1972"/>
        <v>2.5239593013786571E-6</v>
      </c>
      <c r="R431" s="52">
        <f t="shared" si="1973"/>
        <v>0</v>
      </c>
      <c r="S431" s="527">
        <f t="shared" si="1909"/>
        <v>0</v>
      </c>
      <c r="T431" s="533">
        <f t="shared" si="1974"/>
        <v>0</v>
      </c>
      <c r="U431" s="375">
        <f t="shared" si="1911"/>
        <v>0</v>
      </c>
      <c r="V431" s="375">
        <f t="shared" si="1912"/>
        <v>0</v>
      </c>
      <c r="W431" s="386">
        <f t="shared" si="1913"/>
        <v>0</v>
      </c>
      <c r="X431" s="386">
        <f t="shared" si="1914"/>
        <v>-1.4614833351584643E-6</v>
      </c>
      <c r="Y431" s="386">
        <f t="shared" ref="Y431" si="2015">BF431/Y$8</f>
        <v>-1.4614833351584643E-6</v>
      </c>
      <c r="Z431" s="375">
        <f t="shared" ref="Z431" si="2016">BG431/Z$8</f>
        <v>0</v>
      </c>
      <c r="AA431" s="375">
        <f t="shared" si="1917"/>
        <v>-2.5239593013786571E-6</v>
      </c>
      <c r="AB431" s="386">
        <f t="shared" si="1918"/>
        <v>0</v>
      </c>
      <c r="AC431" s="386">
        <f t="shared" si="1975"/>
        <v>0</v>
      </c>
      <c r="AD431" s="386">
        <f t="shared" si="1976"/>
        <v>0</v>
      </c>
      <c r="AE431" s="386">
        <f t="shared" si="1977"/>
        <v>-2.5947376916498839E-6</v>
      </c>
      <c r="AF431" s="386">
        <f t="shared" si="1978"/>
        <v>-2.5239593013786571E-6</v>
      </c>
      <c r="AG431" s="375">
        <f t="shared" si="1979"/>
        <v>-2.5470863097680386E-6</v>
      </c>
      <c r="AH431" s="375">
        <f t="shared" si="1980"/>
        <v>0</v>
      </c>
      <c r="AI431" s="386">
        <f t="shared" si="1981"/>
        <v>0</v>
      </c>
      <c r="AJ431" s="386">
        <f t="shared" si="1982"/>
        <v>0</v>
      </c>
      <c r="AK431" s="386">
        <f t="shared" si="1983"/>
        <v>0</v>
      </c>
      <c r="AL431" s="377">
        <f t="shared" si="1984"/>
        <v>0</v>
      </c>
      <c r="AM431" s="377">
        <f t="shared" si="1985"/>
        <v>0</v>
      </c>
      <c r="AN431" s="377">
        <f t="shared" si="1986"/>
        <v>0</v>
      </c>
      <c r="AO431" s="283"/>
      <c r="AP431" s="295">
        <f t="shared" ref="AP431" si="2017">AR431+AU431+AZ431+AW431+AY431</f>
        <v>9.9542000000000005E-2</v>
      </c>
      <c r="AQ431" s="20">
        <f t="shared" si="1989"/>
        <v>0</v>
      </c>
      <c r="AR431" s="95">
        <f t="shared" si="1990"/>
        <v>0</v>
      </c>
      <c r="AS431" s="94">
        <f t="shared" si="1991"/>
        <v>0</v>
      </c>
      <c r="AT431" s="94">
        <f t="shared" ref="AT431" si="2018">-BC431</f>
        <v>0</v>
      </c>
      <c r="AU431" s="94">
        <f t="shared" ref="AU431" si="2019">-BG431</f>
        <v>0</v>
      </c>
      <c r="AV431" s="94">
        <f t="shared" si="1950"/>
        <v>9.9542000000000005E-2</v>
      </c>
      <c r="AW431" s="94">
        <f t="shared" si="1965"/>
        <v>9.9542000000000005E-2</v>
      </c>
      <c r="AX431" s="94">
        <f t="shared" si="1952"/>
        <v>9.9542000000000005E-2</v>
      </c>
      <c r="AY431" s="94">
        <f t="shared" si="1966"/>
        <v>0</v>
      </c>
      <c r="AZ431" s="433">
        <f t="shared" si="1967"/>
        <v>0</v>
      </c>
      <c r="BA431" s="657">
        <v>0</v>
      </c>
      <c r="BB431" s="327">
        <v>0</v>
      </c>
      <c r="BC431" s="207">
        <v>0</v>
      </c>
      <c r="BD431" s="132">
        <v>0</v>
      </c>
      <c r="BE431" s="132">
        <v>-4.5837999999999997E-2</v>
      </c>
      <c r="BF431" s="132">
        <v>-4.5837999999999997E-2</v>
      </c>
      <c r="BG431" s="207">
        <v>0</v>
      </c>
      <c r="BH431" s="207">
        <v>-9.9542000000000005E-2</v>
      </c>
      <c r="BI431" s="132">
        <v>0</v>
      </c>
      <c r="BJ431" s="132">
        <v>0</v>
      </c>
      <c r="BK431" s="132">
        <v>0</v>
      </c>
      <c r="BL431" s="1042">
        <v>-9.9542000000000005E-2</v>
      </c>
      <c r="BM431" s="1042">
        <v>-9.9542000000000005E-2</v>
      </c>
      <c r="BN431" s="713">
        <f>-0.099542</f>
        <v>-9.9542000000000005E-2</v>
      </c>
      <c r="BO431" s="207">
        <v>0</v>
      </c>
      <c r="BP431" s="389">
        <v>0</v>
      </c>
      <c r="BQ431" s="389">
        <v>0</v>
      </c>
      <c r="BR431" s="389">
        <v>0</v>
      </c>
      <c r="BS431" s="296">
        <v>0</v>
      </c>
      <c r="BT431" s="296">
        <v>0</v>
      </c>
      <c r="BU431" s="296">
        <v>0</v>
      </c>
      <c r="BV431" s="713">
        <v>0</v>
      </c>
      <c r="BW431" s="296">
        <f t="shared" si="2012"/>
        <v>0</v>
      </c>
      <c r="BX431" s="439" t="s">
        <v>2092</v>
      </c>
    </row>
    <row r="432" spans="1:76" ht="101.45" hidden="1" customHeight="1" outlineLevel="1" x14ac:dyDescent="0.25">
      <c r="A432" s="678">
        <v>41</v>
      </c>
      <c r="B432" s="702" t="s">
        <v>194</v>
      </c>
      <c r="C432" s="686" t="s">
        <v>194</v>
      </c>
      <c r="D432" s="63">
        <v>43965</v>
      </c>
      <c r="E432" s="463" t="s">
        <v>195</v>
      </c>
      <c r="F432" s="542" t="s">
        <v>232</v>
      </c>
      <c r="G432" s="71" t="s">
        <v>192</v>
      </c>
      <c r="H432" s="311" t="s">
        <v>130</v>
      </c>
      <c r="I432" s="335"/>
      <c r="J432" s="294">
        <f t="shared" si="1900"/>
        <v>2.8388309569411932E-6</v>
      </c>
      <c r="K432" s="52">
        <f t="shared" si="1901"/>
        <v>2.6420043939328671E-6</v>
      </c>
      <c r="L432" s="52">
        <f t="shared" si="1902"/>
        <v>0</v>
      </c>
      <c r="M432" s="52">
        <f t="shared" si="1968"/>
        <v>0</v>
      </c>
      <c r="N432" s="52">
        <f t="shared" si="1969"/>
        <v>0</v>
      </c>
      <c r="O432" s="52">
        <f t="shared" si="1970"/>
        <v>0</v>
      </c>
      <c r="P432" s="52">
        <f t="shared" si="1971"/>
        <v>0</v>
      </c>
      <c r="Q432" s="52">
        <f t="shared" si="1972"/>
        <v>0</v>
      </c>
      <c r="R432" s="52">
        <f t="shared" si="1973"/>
        <v>0</v>
      </c>
      <c r="S432" s="527">
        <f t="shared" si="1909"/>
        <v>0</v>
      </c>
      <c r="T432" s="533">
        <f t="shared" si="1974"/>
        <v>-2.8388309569411932E-6</v>
      </c>
      <c r="U432" s="375">
        <f t="shared" si="1911"/>
        <v>-2.6420043939328671E-6</v>
      </c>
      <c r="V432" s="375">
        <f t="shared" si="1912"/>
        <v>0</v>
      </c>
      <c r="W432" s="386">
        <f t="shared" si="1913"/>
        <v>0</v>
      </c>
      <c r="X432" s="386">
        <f t="shared" si="1914"/>
        <v>0</v>
      </c>
      <c r="Y432" s="386">
        <f>BF432/Y$8</f>
        <v>0</v>
      </c>
      <c r="Z432" s="375">
        <f t="shared" si="2006"/>
        <v>0</v>
      </c>
      <c r="AA432" s="375">
        <f t="shared" si="1917"/>
        <v>0</v>
      </c>
      <c r="AB432" s="386">
        <f t="shared" si="1918"/>
        <v>0</v>
      </c>
      <c r="AC432" s="386">
        <f t="shared" si="1975"/>
        <v>0</v>
      </c>
      <c r="AD432" s="386">
        <f t="shared" si="1976"/>
        <v>0</v>
      </c>
      <c r="AE432" s="386">
        <f t="shared" si="1977"/>
        <v>0</v>
      </c>
      <c r="AF432" s="386">
        <f t="shared" si="1978"/>
        <v>0</v>
      </c>
      <c r="AG432" s="375">
        <f t="shared" si="1979"/>
        <v>0</v>
      </c>
      <c r="AH432" s="375">
        <f t="shared" si="1980"/>
        <v>0</v>
      </c>
      <c r="AI432" s="386">
        <f t="shared" si="1981"/>
        <v>0</v>
      </c>
      <c r="AJ432" s="386">
        <f t="shared" si="1982"/>
        <v>0</v>
      </c>
      <c r="AK432" s="386">
        <f t="shared" si="1983"/>
        <v>0</v>
      </c>
      <c r="AL432" s="377">
        <f t="shared" si="1984"/>
        <v>0</v>
      </c>
      <c r="AM432" s="377">
        <f t="shared" si="1985"/>
        <v>0</v>
      </c>
      <c r="AN432" s="377">
        <f t="shared" si="1986"/>
        <v>0</v>
      </c>
      <c r="AO432" s="283"/>
      <c r="AP432" s="295">
        <f t="shared" si="1987"/>
        <v>8.0036999999999997E-2</v>
      </c>
      <c r="AQ432" s="20">
        <f t="shared" si="1988"/>
        <v>8.0037999999999998E-2</v>
      </c>
      <c r="AR432" s="95">
        <f t="shared" si="1988"/>
        <v>8.0036999999999997E-2</v>
      </c>
      <c r="AS432" s="94">
        <f t="shared" si="1988"/>
        <v>0</v>
      </c>
      <c r="AT432" s="94">
        <f t="shared" si="1948"/>
        <v>0</v>
      </c>
      <c r="AU432" s="94">
        <f t="shared" si="1949"/>
        <v>0</v>
      </c>
      <c r="AV432" s="94">
        <f t="shared" si="1950"/>
        <v>0</v>
      </c>
      <c r="AW432" s="94">
        <f t="shared" si="1965"/>
        <v>0</v>
      </c>
      <c r="AX432" s="94">
        <f t="shared" si="1952"/>
        <v>0</v>
      </c>
      <c r="AY432" s="94">
        <f t="shared" si="1966"/>
        <v>0</v>
      </c>
      <c r="AZ432" s="433">
        <f t="shared" si="1967"/>
        <v>0</v>
      </c>
      <c r="BA432" s="657">
        <v>-8.0037999999999998E-2</v>
      </c>
      <c r="BB432" s="327">
        <v>-8.0036999999999997E-2</v>
      </c>
      <c r="BC432" s="207">
        <v>0</v>
      </c>
      <c r="BD432" s="132">
        <v>0</v>
      </c>
      <c r="BE432" s="132">
        <v>0</v>
      </c>
      <c r="BF432" s="132">
        <v>0</v>
      </c>
      <c r="BG432" s="207">
        <v>0</v>
      </c>
      <c r="BH432" s="207">
        <v>0</v>
      </c>
      <c r="BI432" s="132">
        <v>0</v>
      </c>
      <c r="BJ432" s="132">
        <v>0</v>
      </c>
      <c r="BK432" s="132">
        <v>0</v>
      </c>
      <c r="BL432" s="132">
        <v>0</v>
      </c>
      <c r="BM432" s="132">
        <v>0</v>
      </c>
      <c r="BN432" s="409">
        <v>0</v>
      </c>
      <c r="BO432" s="207">
        <v>0</v>
      </c>
      <c r="BP432" s="389">
        <v>0</v>
      </c>
      <c r="BQ432" s="389">
        <v>0</v>
      </c>
      <c r="BR432" s="389">
        <v>0</v>
      </c>
      <c r="BS432" s="296">
        <v>0</v>
      </c>
      <c r="BT432" s="296">
        <v>0</v>
      </c>
      <c r="BU432" s="296">
        <v>0</v>
      </c>
      <c r="BV432" s="409">
        <v>0</v>
      </c>
      <c r="BW432" s="296">
        <f t="shared" si="1955"/>
        <v>0</v>
      </c>
      <c r="BX432" s="448" t="s">
        <v>407</v>
      </c>
    </row>
    <row r="433" spans="1:76" ht="72.599999999999994" hidden="1" customHeight="1" outlineLevel="1" x14ac:dyDescent="0.25">
      <c r="A433" s="678">
        <v>42</v>
      </c>
      <c r="B433" s="702" t="s">
        <v>218</v>
      </c>
      <c r="C433" s="686" t="s">
        <v>218</v>
      </c>
      <c r="D433" s="63" t="s">
        <v>601</v>
      </c>
      <c r="E433" s="463" t="s">
        <v>600</v>
      </c>
      <c r="F433" s="542" t="s">
        <v>602</v>
      </c>
      <c r="G433" s="242" t="s">
        <v>219</v>
      </c>
      <c r="H433" s="311" t="s">
        <v>129</v>
      </c>
      <c r="I433" s="335"/>
      <c r="J433" s="294">
        <f t="shared" si="1900"/>
        <v>5.1429382138043551E-6</v>
      </c>
      <c r="K433" s="52">
        <f t="shared" si="1901"/>
        <v>0</v>
      </c>
      <c r="L433" s="52">
        <f t="shared" si="1902"/>
        <v>7.4987757100881485E-6</v>
      </c>
      <c r="M433" s="52">
        <f t="shared" si="1968"/>
        <v>7.811497384567908E-6</v>
      </c>
      <c r="N433" s="52">
        <f t="shared" si="1969"/>
        <v>0</v>
      </c>
      <c r="O433" s="52">
        <f t="shared" si="1970"/>
        <v>0</v>
      </c>
      <c r="P433" s="52">
        <f t="shared" si="1971"/>
        <v>0</v>
      </c>
      <c r="Q433" s="52">
        <f t="shared" si="1972"/>
        <v>0</v>
      </c>
      <c r="R433" s="52">
        <f t="shared" si="1973"/>
        <v>0</v>
      </c>
      <c r="S433" s="527">
        <f t="shared" si="1909"/>
        <v>0</v>
      </c>
      <c r="T433" s="533">
        <f t="shared" si="1974"/>
        <v>-5.1429382138043551E-6</v>
      </c>
      <c r="U433" s="375">
        <f t="shared" si="1911"/>
        <v>0</v>
      </c>
      <c r="V433" s="375">
        <f t="shared" si="1912"/>
        <v>-7.4987757100881485E-6</v>
      </c>
      <c r="W433" s="386">
        <f t="shared" si="1913"/>
        <v>-7.9989818146080895E-6</v>
      </c>
      <c r="X433" s="386">
        <f t="shared" si="1914"/>
        <v>-7.811497384567908E-6</v>
      </c>
      <c r="Y433" s="386">
        <f>BF433/Y$8</f>
        <v>-7.811497384567908E-6</v>
      </c>
      <c r="Z433" s="375">
        <f t="shared" si="2006"/>
        <v>0</v>
      </c>
      <c r="AA433" s="375">
        <f t="shared" si="1917"/>
        <v>0</v>
      </c>
      <c r="AB433" s="386">
        <f t="shared" si="1918"/>
        <v>0</v>
      </c>
      <c r="AC433" s="386">
        <f t="shared" si="1975"/>
        <v>0</v>
      </c>
      <c r="AD433" s="386">
        <f t="shared" si="1976"/>
        <v>0</v>
      </c>
      <c r="AE433" s="386">
        <f t="shared" si="1977"/>
        <v>0</v>
      </c>
      <c r="AF433" s="386">
        <f t="shared" si="1978"/>
        <v>0</v>
      </c>
      <c r="AG433" s="375">
        <f t="shared" si="1979"/>
        <v>0</v>
      </c>
      <c r="AH433" s="375">
        <f t="shared" si="1980"/>
        <v>0</v>
      </c>
      <c r="AI433" s="386">
        <f t="shared" si="1981"/>
        <v>0</v>
      </c>
      <c r="AJ433" s="386">
        <f t="shared" si="1982"/>
        <v>0</v>
      </c>
      <c r="AK433" s="386">
        <f t="shared" si="1983"/>
        <v>0</v>
      </c>
      <c r="AL433" s="377">
        <f t="shared" si="1984"/>
        <v>0</v>
      </c>
      <c r="AM433" s="377">
        <f t="shared" si="1985"/>
        <v>0</v>
      </c>
      <c r="AN433" s="377">
        <f t="shared" si="1986"/>
        <v>0</v>
      </c>
      <c r="AO433" s="283"/>
      <c r="AP433" s="295">
        <f t="shared" si="1987"/>
        <v>0</v>
      </c>
      <c r="AQ433" s="20">
        <f t="shared" si="1988"/>
        <v>0.14499999999999999</v>
      </c>
      <c r="AR433" s="95">
        <f t="shared" si="1988"/>
        <v>0</v>
      </c>
      <c r="AS433" s="94">
        <f t="shared" si="1988"/>
        <v>0.245</v>
      </c>
      <c r="AT433" s="94">
        <f t="shared" si="1948"/>
        <v>0.245</v>
      </c>
      <c r="AU433" s="94">
        <f t="shared" si="1949"/>
        <v>0</v>
      </c>
      <c r="AV433" s="94">
        <f t="shared" si="1950"/>
        <v>0</v>
      </c>
      <c r="AW433" s="94">
        <f t="shared" si="1965"/>
        <v>0</v>
      </c>
      <c r="AX433" s="94">
        <f t="shared" si="1952"/>
        <v>0</v>
      </c>
      <c r="AY433" s="94">
        <f t="shared" si="1966"/>
        <v>0</v>
      </c>
      <c r="AZ433" s="433">
        <f t="shared" si="1967"/>
        <v>0</v>
      </c>
      <c r="BA433" s="1008">
        <v>-0.14499999999999999</v>
      </c>
      <c r="BB433" s="409">
        <v>0</v>
      </c>
      <c r="BC433" s="207">
        <v>-0.245</v>
      </c>
      <c r="BD433" s="132">
        <v>-0.245</v>
      </c>
      <c r="BE433" s="132">
        <v>-0.245</v>
      </c>
      <c r="BF433" s="132">
        <v>-0.245</v>
      </c>
      <c r="BG433" s="207">
        <v>0</v>
      </c>
      <c r="BH433" s="207">
        <v>0</v>
      </c>
      <c r="BI433" s="132">
        <v>0</v>
      </c>
      <c r="BJ433" s="132">
        <v>0</v>
      </c>
      <c r="BK433" s="132">
        <v>0</v>
      </c>
      <c r="BL433" s="132">
        <v>0</v>
      </c>
      <c r="BM433" s="132">
        <v>0</v>
      </c>
      <c r="BN433" s="409">
        <v>0</v>
      </c>
      <c r="BO433" s="207">
        <v>0</v>
      </c>
      <c r="BP433" s="389">
        <v>0</v>
      </c>
      <c r="BQ433" s="389">
        <v>0</v>
      </c>
      <c r="BR433" s="389">
        <v>0</v>
      </c>
      <c r="BS433" s="296">
        <v>0</v>
      </c>
      <c r="BT433" s="296">
        <v>0</v>
      </c>
      <c r="BU433" s="296">
        <v>0</v>
      </c>
      <c r="BV433" s="409">
        <v>0</v>
      </c>
      <c r="BW433" s="296">
        <f t="shared" si="1955"/>
        <v>0</v>
      </c>
      <c r="BX433" s="439" t="s">
        <v>603</v>
      </c>
    </row>
    <row r="434" spans="1:76" ht="57.95" hidden="1" customHeight="1" outlineLevel="1" x14ac:dyDescent="0.25">
      <c r="A434" s="678">
        <v>43</v>
      </c>
      <c r="B434" s="702" t="s">
        <v>224</v>
      </c>
      <c r="C434" s="694" t="s">
        <v>224</v>
      </c>
      <c r="D434" s="63" t="s">
        <v>599</v>
      </c>
      <c r="E434" s="463" t="s">
        <v>215</v>
      </c>
      <c r="F434" s="542" t="s">
        <v>605</v>
      </c>
      <c r="G434" s="242" t="s">
        <v>280</v>
      </c>
      <c r="H434" s="311" t="s">
        <v>127</v>
      </c>
      <c r="I434" s="335"/>
      <c r="J434" s="294">
        <f t="shared" si="1900"/>
        <v>0</v>
      </c>
      <c r="K434" s="52">
        <f t="shared" si="1901"/>
        <v>0</v>
      </c>
      <c r="L434" s="52">
        <f t="shared" si="1902"/>
        <v>1.4042605288932421E-4</v>
      </c>
      <c r="M434" s="52">
        <f t="shared" si="1968"/>
        <v>1.4628224489958192E-4</v>
      </c>
      <c r="N434" s="52">
        <f t="shared" si="1969"/>
        <v>0</v>
      </c>
      <c r="O434" s="52">
        <f t="shared" si="1970"/>
        <v>0</v>
      </c>
      <c r="P434" s="52">
        <f t="shared" si="1971"/>
        <v>0</v>
      </c>
      <c r="Q434" s="52">
        <f t="shared" si="1972"/>
        <v>0</v>
      </c>
      <c r="R434" s="52">
        <f t="shared" si="1973"/>
        <v>0</v>
      </c>
      <c r="S434" s="527">
        <f t="shared" si="1909"/>
        <v>0</v>
      </c>
      <c r="T434" s="533">
        <f t="shared" si="1974"/>
        <v>0</v>
      </c>
      <c r="U434" s="375">
        <f t="shared" si="1911"/>
        <v>0</v>
      </c>
      <c r="V434" s="375">
        <f t="shared" si="1912"/>
        <v>-1.4042605288932421E-4</v>
      </c>
      <c r="W434" s="386">
        <f t="shared" si="1913"/>
        <v>-4.8973358048620956E-4</v>
      </c>
      <c r="X434" s="386">
        <f t="shared" si="1914"/>
        <v>-4.0135154725281976E-4</v>
      </c>
      <c r="Y434" s="386">
        <f>BF434/Y$8</f>
        <v>-4.0135154725281976E-4</v>
      </c>
      <c r="Z434" s="375">
        <f t="shared" si="2006"/>
        <v>0</v>
      </c>
      <c r="AA434" s="375">
        <f t="shared" si="1917"/>
        <v>0</v>
      </c>
      <c r="AB434" s="386">
        <f t="shared" si="1918"/>
        <v>0</v>
      </c>
      <c r="AC434" s="386">
        <f t="shared" si="1975"/>
        <v>0</v>
      </c>
      <c r="AD434" s="386">
        <f t="shared" si="1976"/>
        <v>0</v>
      </c>
      <c r="AE434" s="386">
        <f t="shared" si="1977"/>
        <v>0</v>
      </c>
      <c r="AF434" s="386">
        <f t="shared" si="1978"/>
        <v>0</v>
      </c>
      <c r="AG434" s="375">
        <f t="shared" si="1979"/>
        <v>0</v>
      </c>
      <c r="AH434" s="375">
        <f t="shared" si="1980"/>
        <v>0</v>
      </c>
      <c r="AI434" s="386">
        <f t="shared" si="1981"/>
        <v>0</v>
      </c>
      <c r="AJ434" s="386">
        <f t="shared" si="1982"/>
        <v>0</v>
      </c>
      <c r="AK434" s="386">
        <f t="shared" si="1983"/>
        <v>0</v>
      </c>
      <c r="AL434" s="377">
        <f t="shared" si="1984"/>
        <v>0</v>
      </c>
      <c r="AM434" s="377">
        <f t="shared" si="1985"/>
        <v>0</v>
      </c>
      <c r="AN434" s="377">
        <f t="shared" si="1986"/>
        <v>0</v>
      </c>
      <c r="AO434" s="283"/>
      <c r="AP434" s="295">
        <f t="shared" si="1987"/>
        <v>0</v>
      </c>
      <c r="AQ434" s="20">
        <f t="shared" ref="AQ434" si="2020">-BA434</f>
        <v>0</v>
      </c>
      <c r="AR434" s="95">
        <f t="shared" ref="AR434" si="2021">-BB434</f>
        <v>0</v>
      </c>
      <c r="AS434" s="94">
        <f>-BC434</f>
        <v>4.588000000000001</v>
      </c>
      <c r="AT434" s="94">
        <f t="shared" si="1948"/>
        <v>4.588000000000001</v>
      </c>
      <c r="AU434" s="94">
        <f t="shared" si="1949"/>
        <v>0</v>
      </c>
      <c r="AV434" s="94">
        <f t="shared" si="1950"/>
        <v>0</v>
      </c>
      <c r="AW434" s="94">
        <f t="shared" si="1965"/>
        <v>0</v>
      </c>
      <c r="AX434" s="94">
        <f t="shared" si="1952"/>
        <v>0</v>
      </c>
      <c r="AY434" s="94">
        <f t="shared" si="1966"/>
        <v>0</v>
      </c>
      <c r="AZ434" s="433">
        <f t="shared" si="1967"/>
        <v>0</v>
      </c>
      <c r="BA434" s="657">
        <v>0</v>
      </c>
      <c r="BB434" s="327">
        <v>0</v>
      </c>
      <c r="BC434" s="207">
        <f>-15+0.372+2.04+8</f>
        <v>-4.588000000000001</v>
      </c>
      <c r="BD434" s="132">
        <v>-15</v>
      </c>
      <c r="BE434" s="132">
        <f>-14.628+2.04</f>
        <v>-12.588000000000001</v>
      </c>
      <c r="BF434" s="132">
        <f>-14.628+2.04</f>
        <v>-12.588000000000001</v>
      </c>
      <c r="BG434" s="207">
        <v>0</v>
      </c>
      <c r="BH434" s="207">
        <v>0</v>
      </c>
      <c r="BI434" s="132">
        <v>0</v>
      </c>
      <c r="BJ434" s="132">
        <v>0</v>
      </c>
      <c r="BK434" s="132">
        <v>0</v>
      </c>
      <c r="BL434" s="132">
        <v>0</v>
      </c>
      <c r="BM434" s="132">
        <v>0</v>
      </c>
      <c r="BN434" s="409">
        <v>0</v>
      </c>
      <c r="BO434" s="207">
        <v>0</v>
      </c>
      <c r="BP434" s="389">
        <v>0</v>
      </c>
      <c r="BQ434" s="389">
        <v>0</v>
      </c>
      <c r="BR434" s="389">
        <v>0</v>
      </c>
      <c r="BS434" s="296">
        <v>0</v>
      </c>
      <c r="BT434" s="296">
        <v>0</v>
      </c>
      <c r="BU434" s="296">
        <v>0</v>
      </c>
      <c r="BV434" s="409">
        <v>0</v>
      </c>
      <c r="BW434" s="296">
        <f t="shared" ref="BW434" si="2022">-BV434</f>
        <v>0</v>
      </c>
      <c r="BX434" s="439" t="s">
        <v>606</v>
      </c>
    </row>
    <row r="435" spans="1:76" ht="145.5" hidden="1" customHeight="1" outlineLevel="1" x14ac:dyDescent="0.25">
      <c r="A435" s="678">
        <v>44</v>
      </c>
      <c r="B435" s="702" t="s">
        <v>224</v>
      </c>
      <c r="C435" s="694" t="s">
        <v>224</v>
      </c>
      <c r="D435" s="63">
        <v>44446</v>
      </c>
      <c r="E435" s="463" t="s">
        <v>1644</v>
      </c>
      <c r="F435" s="542" t="s">
        <v>1606</v>
      </c>
      <c r="G435" s="242" t="s">
        <v>25</v>
      </c>
      <c r="H435" s="311" t="s">
        <v>127</v>
      </c>
      <c r="I435" s="335"/>
      <c r="J435" s="294">
        <f t="shared" si="1900"/>
        <v>0</v>
      </c>
      <c r="K435" s="52">
        <f t="shared" si="1901"/>
        <v>0</v>
      </c>
      <c r="L435" s="52">
        <f t="shared" si="1902"/>
        <v>6.2438785504407451E-5</v>
      </c>
      <c r="M435" s="52">
        <f t="shared" si="1968"/>
        <v>6.5042672100075645E-5</v>
      </c>
      <c r="N435" s="52">
        <f t="shared" si="1969"/>
        <v>3.72571062653846E-5</v>
      </c>
      <c r="O435" s="52">
        <f t="shared" si="1970"/>
        <v>0</v>
      </c>
      <c r="P435" s="52">
        <f t="shared" si="1971"/>
        <v>0</v>
      </c>
      <c r="Q435" s="52">
        <f t="shared" si="1972"/>
        <v>0</v>
      </c>
      <c r="R435" s="52">
        <f t="shared" si="1973"/>
        <v>0</v>
      </c>
      <c r="S435" s="527">
        <f t="shared" si="1909"/>
        <v>0</v>
      </c>
      <c r="T435" s="533">
        <f t="shared" si="1974"/>
        <v>0</v>
      </c>
      <c r="U435" s="375">
        <f t="shared" si="1911"/>
        <v>0</v>
      </c>
      <c r="V435" s="375">
        <f t="shared" si="1912"/>
        <v>-6.2438785504407451E-5</v>
      </c>
      <c r="W435" s="386">
        <f t="shared" si="1913"/>
        <v>0</v>
      </c>
      <c r="X435" s="386">
        <f t="shared" si="1914"/>
        <v>-6.5042672100075645E-5</v>
      </c>
      <c r="Y435" s="386">
        <f>BF435/Y$8</f>
        <v>-6.5042672100075645E-5</v>
      </c>
      <c r="Z435" s="375">
        <f t="shared" si="2006"/>
        <v>-3.72571062653846E-5</v>
      </c>
      <c r="AA435" s="375">
        <f t="shared" si="1917"/>
        <v>0</v>
      </c>
      <c r="AB435" s="386">
        <f t="shared" si="1918"/>
        <v>0</v>
      </c>
      <c r="AC435" s="386">
        <f t="shared" si="1975"/>
        <v>0</v>
      </c>
      <c r="AD435" s="386">
        <f t="shared" si="1976"/>
        <v>0</v>
      </c>
      <c r="AE435" s="386">
        <f t="shared" si="1977"/>
        <v>0</v>
      </c>
      <c r="AF435" s="386">
        <f t="shared" si="1978"/>
        <v>0</v>
      </c>
      <c r="AG435" s="375">
        <f t="shared" si="1979"/>
        <v>0</v>
      </c>
      <c r="AH435" s="375">
        <f t="shared" si="1980"/>
        <v>0</v>
      </c>
      <c r="AI435" s="386">
        <f t="shared" si="1981"/>
        <v>0</v>
      </c>
      <c r="AJ435" s="386">
        <f t="shared" si="1982"/>
        <v>0</v>
      </c>
      <c r="AK435" s="386">
        <f t="shared" si="1983"/>
        <v>0</v>
      </c>
      <c r="AL435" s="377">
        <f t="shared" si="1984"/>
        <v>0</v>
      </c>
      <c r="AM435" s="377">
        <f t="shared" si="1985"/>
        <v>0</v>
      </c>
      <c r="AN435" s="377">
        <f t="shared" si="1986"/>
        <v>0</v>
      </c>
      <c r="AO435" s="283"/>
      <c r="AP435" s="295">
        <f t="shared" si="1987"/>
        <v>1.251376</v>
      </c>
      <c r="AQ435" s="20">
        <f t="shared" ref="AQ435:AQ436" si="2023">-BA435</f>
        <v>0</v>
      </c>
      <c r="AR435" s="95">
        <f t="shared" ref="AR435:AR436" si="2024">-BB435</f>
        <v>0</v>
      </c>
      <c r="AS435" s="94">
        <f t="shared" ref="AS435:AS436" si="2025">-BC435</f>
        <v>2.04</v>
      </c>
      <c r="AT435" s="94">
        <f t="shared" si="1948"/>
        <v>2.04</v>
      </c>
      <c r="AU435" s="94">
        <f t="shared" si="1949"/>
        <v>1.251376</v>
      </c>
      <c r="AV435" s="94">
        <f t="shared" si="1950"/>
        <v>0</v>
      </c>
      <c r="AW435" s="94">
        <f t="shared" ref="AW435:AW436" si="2026">-BH435</f>
        <v>0</v>
      </c>
      <c r="AX435" s="94">
        <f t="shared" si="1952"/>
        <v>0</v>
      </c>
      <c r="AY435" s="94">
        <f t="shared" ref="AY435:AY436" si="2027">-BO435</f>
        <v>0</v>
      </c>
      <c r="AZ435" s="433">
        <f t="shared" ref="AZ435:AZ436" si="2028">-BU435</f>
        <v>0</v>
      </c>
      <c r="BA435" s="657">
        <v>0</v>
      </c>
      <c r="BB435" s="327">
        <v>0</v>
      </c>
      <c r="BC435" s="207">
        <f>-2.04</f>
        <v>-2.04</v>
      </c>
      <c r="BD435" s="132">
        <v>0</v>
      </c>
      <c r="BE435" s="132">
        <f>-2.04</f>
        <v>-2.04</v>
      </c>
      <c r="BF435" s="132">
        <f>-2.04</f>
        <v>-2.04</v>
      </c>
      <c r="BG435" s="207">
        <f>-1.251376</f>
        <v>-1.251376</v>
      </c>
      <c r="BH435" s="207">
        <v>0</v>
      </c>
      <c r="BI435" s="132">
        <v>0</v>
      </c>
      <c r="BJ435" s="132">
        <v>0</v>
      </c>
      <c r="BK435" s="132">
        <v>0</v>
      </c>
      <c r="BL435" s="132">
        <v>0</v>
      </c>
      <c r="BM435" s="132">
        <v>0</v>
      </c>
      <c r="BN435" s="409">
        <v>0</v>
      </c>
      <c r="BO435" s="207">
        <v>0</v>
      </c>
      <c r="BP435" s="389">
        <v>0</v>
      </c>
      <c r="BQ435" s="389">
        <v>0</v>
      </c>
      <c r="BR435" s="389">
        <v>0</v>
      </c>
      <c r="BS435" s="296">
        <v>0</v>
      </c>
      <c r="BT435" s="296">
        <v>0</v>
      </c>
      <c r="BU435" s="296">
        <v>0</v>
      </c>
      <c r="BV435" s="409">
        <v>0</v>
      </c>
      <c r="BW435" s="296">
        <f t="shared" ref="BW435:BW436" si="2029">-BV435</f>
        <v>0</v>
      </c>
      <c r="BX435" s="439" t="s">
        <v>1607</v>
      </c>
    </row>
    <row r="436" spans="1:76" ht="145.5" hidden="1" customHeight="1" outlineLevel="1" x14ac:dyDescent="0.25">
      <c r="A436" s="678">
        <v>45</v>
      </c>
      <c r="B436" s="702" t="s">
        <v>224</v>
      </c>
      <c r="C436" s="694" t="s">
        <v>224</v>
      </c>
      <c r="D436" s="63">
        <v>44343</v>
      </c>
      <c r="E436" s="463" t="s">
        <v>1459</v>
      </c>
      <c r="F436" s="542" t="s">
        <v>1429</v>
      </c>
      <c r="G436" s="242" t="s">
        <v>25</v>
      </c>
      <c r="H436" s="311" t="s">
        <v>127</v>
      </c>
      <c r="I436" s="335"/>
      <c r="J436" s="294">
        <f>AQ436/T$8</f>
        <v>0</v>
      </c>
      <c r="K436" s="52">
        <f t="shared" ref="K436" si="2030">AR436/U$8</f>
        <v>0</v>
      </c>
      <c r="L436" s="52">
        <f>AS436/V$8</f>
        <v>1.1385896180215475E-5</v>
      </c>
      <c r="M436" s="52">
        <f t="shared" si="1968"/>
        <v>1.186072255942556E-5</v>
      </c>
      <c r="N436" s="52">
        <f t="shared" si="1969"/>
        <v>8.6910104476419703E-6</v>
      </c>
      <c r="O436" s="52">
        <f t="shared" si="1970"/>
        <v>0</v>
      </c>
      <c r="P436" s="52">
        <f t="shared" si="1971"/>
        <v>0</v>
      </c>
      <c r="Q436" s="52">
        <f t="shared" si="1972"/>
        <v>0</v>
      </c>
      <c r="R436" s="52">
        <f t="shared" si="1973"/>
        <v>0</v>
      </c>
      <c r="S436" s="527">
        <f t="shared" ref="S436" si="2031">AZ436/AN$8</f>
        <v>0</v>
      </c>
      <c r="T436" s="533">
        <f>BA436/T$8</f>
        <v>0</v>
      </c>
      <c r="U436" s="375">
        <f t="shared" ref="U436" si="2032">BB436/U$8</f>
        <v>0</v>
      </c>
      <c r="V436" s="375">
        <f t="shared" ref="V436" si="2033">BC436/V$8</f>
        <v>-1.1385896180215475E-5</v>
      </c>
      <c r="W436" s="386">
        <f t="shared" ref="W436" si="2034">BD436/W$8</f>
        <v>0</v>
      </c>
      <c r="X436" s="386">
        <f t="shared" ref="X436" si="2035">BE436/X$8</f>
        <v>-1.186072255942556E-5</v>
      </c>
      <c r="Y436" s="386">
        <f t="shared" ref="Y436" si="2036">BF436/Y$8</f>
        <v>-1.186072255942556E-5</v>
      </c>
      <c r="Z436" s="375">
        <f t="shared" si="2006"/>
        <v>-8.6910104476419703E-6</v>
      </c>
      <c r="AA436" s="375">
        <f t="shared" ref="AA436" si="2037">BH436/AA$8</f>
        <v>0</v>
      </c>
      <c r="AB436" s="386">
        <f t="shared" ref="AB436" si="2038">BI436/AB$8</f>
        <v>0</v>
      </c>
      <c r="AC436" s="386">
        <f t="shared" si="1975"/>
        <v>0</v>
      </c>
      <c r="AD436" s="386">
        <f t="shared" si="1976"/>
        <v>0</v>
      </c>
      <c r="AE436" s="386">
        <f t="shared" si="1977"/>
        <v>0</v>
      </c>
      <c r="AF436" s="386">
        <f t="shared" si="1978"/>
        <v>0</v>
      </c>
      <c r="AG436" s="375">
        <f t="shared" si="1979"/>
        <v>0</v>
      </c>
      <c r="AH436" s="375">
        <f t="shared" si="1980"/>
        <v>0</v>
      </c>
      <c r="AI436" s="386">
        <f t="shared" si="1981"/>
        <v>0</v>
      </c>
      <c r="AJ436" s="386">
        <f t="shared" si="1982"/>
        <v>0</v>
      </c>
      <c r="AK436" s="386">
        <f t="shared" si="1983"/>
        <v>0</v>
      </c>
      <c r="AL436" s="377">
        <f t="shared" si="1984"/>
        <v>0</v>
      </c>
      <c r="AM436" s="377">
        <f t="shared" si="1985"/>
        <v>0</v>
      </c>
      <c r="AN436" s="377">
        <f t="shared" si="1986"/>
        <v>0</v>
      </c>
      <c r="AO436" s="283"/>
      <c r="AP436" s="295">
        <f t="shared" si="1987"/>
        <v>0.29191</v>
      </c>
      <c r="AQ436" s="20">
        <f t="shared" si="2023"/>
        <v>0</v>
      </c>
      <c r="AR436" s="95">
        <f t="shared" si="2024"/>
        <v>0</v>
      </c>
      <c r="AS436" s="94">
        <f t="shared" si="2025"/>
        <v>0.372</v>
      </c>
      <c r="AT436" s="94">
        <f t="shared" si="1948"/>
        <v>0.372</v>
      </c>
      <c r="AU436" s="94">
        <f t="shared" si="1949"/>
        <v>0.29191</v>
      </c>
      <c r="AV436" s="94">
        <f t="shared" si="1950"/>
        <v>0</v>
      </c>
      <c r="AW436" s="94">
        <f t="shared" si="2026"/>
        <v>0</v>
      </c>
      <c r="AX436" s="94">
        <f t="shared" si="1952"/>
        <v>0</v>
      </c>
      <c r="AY436" s="94">
        <f t="shared" si="2027"/>
        <v>0</v>
      </c>
      <c r="AZ436" s="433">
        <f t="shared" si="2028"/>
        <v>0</v>
      </c>
      <c r="BA436" s="657">
        <v>0</v>
      </c>
      <c r="BB436" s="327">
        <v>0</v>
      </c>
      <c r="BC436" s="207">
        <v>-0.372</v>
      </c>
      <c r="BD436" s="132">
        <v>0</v>
      </c>
      <c r="BE436" s="132">
        <v>-0.372</v>
      </c>
      <c r="BF436" s="132">
        <v>-0.372</v>
      </c>
      <c r="BG436" s="207">
        <f>-0.29191</f>
        <v>-0.29191</v>
      </c>
      <c r="BH436" s="207">
        <v>0</v>
      </c>
      <c r="BI436" s="132">
        <v>0</v>
      </c>
      <c r="BJ436" s="132">
        <v>0</v>
      </c>
      <c r="BK436" s="132">
        <v>0</v>
      </c>
      <c r="BL436" s="132">
        <v>0</v>
      </c>
      <c r="BM436" s="132">
        <v>0</v>
      </c>
      <c r="BN436" s="409">
        <v>0</v>
      </c>
      <c r="BO436" s="207">
        <v>0</v>
      </c>
      <c r="BP436" s="389">
        <v>0</v>
      </c>
      <c r="BQ436" s="389">
        <v>0</v>
      </c>
      <c r="BR436" s="389">
        <v>0</v>
      </c>
      <c r="BS436" s="296">
        <v>0</v>
      </c>
      <c r="BT436" s="296">
        <v>0</v>
      </c>
      <c r="BU436" s="296">
        <v>0</v>
      </c>
      <c r="BV436" s="409">
        <v>0</v>
      </c>
      <c r="BW436" s="296">
        <f t="shared" si="2029"/>
        <v>0</v>
      </c>
      <c r="BX436" s="439" t="s">
        <v>1430</v>
      </c>
    </row>
    <row r="437" spans="1:76" ht="80.45" hidden="1" customHeight="1" outlineLevel="1" x14ac:dyDescent="0.25">
      <c r="A437" s="678">
        <v>46</v>
      </c>
      <c r="B437" s="702" t="s">
        <v>224</v>
      </c>
      <c r="C437" s="694" t="s">
        <v>224</v>
      </c>
      <c r="D437" s="640">
        <v>44509</v>
      </c>
      <c r="E437" s="463" t="s">
        <v>1815</v>
      </c>
      <c r="F437" s="542" t="s">
        <v>1816</v>
      </c>
      <c r="G437" s="242" t="s">
        <v>216</v>
      </c>
      <c r="H437" s="311" t="s">
        <v>127</v>
      </c>
      <c r="I437" s="335"/>
      <c r="J437" s="294">
        <f t="shared" si="1900"/>
        <v>0</v>
      </c>
      <c r="K437" s="52">
        <f t="shared" si="1901"/>
        <v>0</v>
      </c>
      <c r="L437" s="52">
        <f t="shared" si="1902"/>
        <v>2.4485798237022528E-4</v>
      </c>
      <c r="M437" s="52">
        <f t="shared" si="1968"/>
        <v>2.5506930235323784E-4</v>
      </c>
      <c r="N437" s="52">
        <f t="shared" si="1969"/>
        <v>0</v>
      </c>
      <c r="O437" s="52">
        <f t="shared" si="1970"/>
        <v>0</v>
      </c>
      <c r="P437" s="52">
        <f t="shared" si="1971"/>
        <v>0</v>
      </c>
      <c r="Q437" s="52">
        <f t="shared" si="1972"/>
        <v>0</v>
      </c>
      <c r="R437" s="52">
        <f t="shared" si="1973"/>
        <v>0</v>
      </c>
      <c r="S437" s="527">
        <f t="shared" si="1909"/>
        <v>0</v>
      </c>
      <c r="T437" s="533">
        <f t="shared" si="1974"/>
        <v>0</v>
      </c>
      <c r="U437" s="375">
        <f t="shared" si="1911"/>
        <v>0</v>
      </c>
      <c r="V437" s="375">
        <f t="shared" si="1912"/>
        <v>-2.4485798237022528E-4</v>
      </c>
      <c r="W437" s="386">
        <f t="shared" si="1913"/>
        <v>0</v>
      </c>
      <c r="X437" s="386">
        <f t="shared" si="1914"/>
        <v>-1.186072255942556E-5</v>
      </c>
      <c r="Y437" s="386">
        <f t="shared" ref="Y437:Y444" si="2039">BF437/Y$8</f>
        <v>0</v>
      </c>
      <c r="Z437" s="375">
        <f t="shared" si="2006"/>
        <v>0</v>
      </c>
      <c r="AA437" s="375">
        <f t="shared" si="1917"/>
        <v>0</v>
      </c>
      <c r="AB437" s="386">
        <f t="shared" si="1918"/>
        <v>0</v>
      </c>
      <c r="AC437" s="386">
        <f t="shared" si="1975"/>
        <v>0</v>
      </c>
      <c r="AD437" s="386">
        <f t="shared" si="1976"/>
        <v>0</v>
      </c>
      <c r="AE437" s="386">
        <f t="shared" si="1977"/>
        <v>0</v>
      </c>
      <c r="AF437" s="386">
        <f t="shared" si="1978"/>
        <v>0</v>
      </c>
      <c r="AG437" s="375">
        <f t="shared" si="1979"/>
        <v>0</v>
      </c>
      <c r="AH437" s="375">
        <f t="shared" si="1980"/>
        <v>0</v>
      </c>
      <c r="AI437" s="386">
        <f t="shared" si="1981"/>
        <v>0</v>
      </c>
      <c r="AJ437" s="386">
        <f t="shared" si="1982"/>
        <v>0</v>
      </c>
      <c r="AK437" s="386">
        <f t="shared" si="1983"/>
        <v>0</v>
      </c>
      <c r="AL437" s="377">
        <f t="shared" si="1984"/>
        <v>0</v>
      </c>
      <c r="AM437" s="377">
        <f t="shared" si="1985"/>
        <v>0</v>
      </c>
      <c r="AN437" s="377">
        <f t="shared" si="1986"/>
        <v>0</v>
      </c>
      <c r="AO437" s="283"/>
      <c r="AP437" s="295">
        <f t="shared" si="1987"/>
        <v>0</v>
      </c>
      <c r="AQ437" s="20">
        <f t="shared" si="1988"/>
        <v>0</v>
      </c>
      <c r="AR437" s="95">
        <f t="shared" si="1988"/>
        <v>0</v>
      </c>
      <c r="AS437" s="94">
        <f t="shared" si="1988"/>
        <v>8</v>
      </c>
      <c r="AT437" s="94">
        <f t="shared" si="1948"/>
        <v>8</v>
      </c>
      <c r="AU437" s="94">
        <f t="shared" si="1949"/>
        <v>0</v>
      </c>
      <c r="AV437" s="94">
        <f t="shared" ref="AV437:AV468" si="2040">-BH437</f>
        <v>0</v>
      </c>
      <c r="AW437" s="94">
        <f t="shared" si="1965"/>
        <v>0</v>
      </c>
      <c r="AX437" s="94">
        <f t="shared" ref="AX437:AX468" si="2041">-BN437</f>
        <v>0</v>
      </c>
      <c r="AY437" s="94">
        <f t="shared" si="1966"/>
        <v>0</v>
      </c>
      <c r="AZ437" s="433">
        <f t="shared" si="1967"/>
        <v>0</v>
      </c>
      <c r="BA437" s="657">
        <v>0</v>
      </c>
      <c r="BB437" s="327">
        <v>0</v>
      </c>
      <c r="BC437" s="207">
        <f>-8</f>
        <v>-8</v>
      </c>
      <c r="BD437" s="132">
        <v>0</v>
      </c>
      <c r="BE437" s="132">
        <v>-0.372</v>
      </c>
      <c r="BF437" s="132">
        <f>0</f>
        <v>0</v>
      </c>
      <c r="BG437" s="207">
        <f>0</f>
        <v>0</v>
      </c>
      <c r="BH437" s="207">
        <v>0</v>
      </c>
      <c r="BI437" s="132">
        <v>0</v>
      </c>
      <c r="BJ437" s="132">
        <v>0</v>
      </c>
      <c r="BK437" s="132">
        <v>0</v>
      </c>
      <c r="BL437" s="132">
        <v>0</v>
      </c>
      <c r="BM437" s="132">
        <v>0</v>
      </c>
      <c r="BN437" s="409">
        <f>0</f>
        <v>0</v>
      </c>
      <c r="BO437" s="207">
        <v>0</v>
      </c>
      <c r="BP437" s="389">
        <v>0</v>
      </c>
      <c r="BQ437" s="389">
        <v>0</v>
      </c>
      <c r="BR437" s="389">
        <v>0</v>
      </c>
      <c r="BS437" s="296">
        <v>0</v>
      </c>
      <c r="BT437" s="296">
        <v>0</v>
      </c>
      <c r="BU437" s="296">
        <v>0</v>
      </c>
      <c r="BV437" s="409">
        <f>0</f>
        <v>0</v>
      </c>
      <c r="BW437" s="296">
        <f t="shared" si="1955"/>
        <v>0</v>
      </c>
      <c r="BX437" s="439" t="s">
        <v>1813</v>
      </c>
    </row>
    <row r="438" spans="1:76" ht="43.5" hidden="1" customHeight="1" outlineLevel="1" x14ac:dyDescent="0.25">
      <c r="A438" s="678">
        <v>47</v>
      </c>
      <c r="B438" s="702" t="s">
        <v>242</v>
      </c>
      <c r="C438" s="694" t="s">
        <v>242</v>
      </c>
      <c r="D438" s="63" t="s">
        <v>599</v>
      </c>
      <c r="E438" s="463" t="s">
        <v>215</v>
      </c>
      <c r="F438" s="542" t="s">
        <v>351</v>
      </c>
      <c r="G438" s="242" t="s">
        <v>225</v>
      </c>
      <c r="H438" s="311" t="s">
        <v>129</v>
      </c>
      <c r="I438" s="335"/>
      <c r="J438" s="294">
        <f t="shared" si="1900"/>
        <v>2.8405689153720651E-6</v>
      </c>
      <c r="K438" s="52">
        <f t="shared" si="1901"/>
        <v>2.6436548833277303E-6</v>
      </c>
      <c r="L438" s="52">
        <f t="shared" si="1902"/>
        <v>4.3459629040156706E-5</v>
      </c>
      <c r="M438" s="52">
        <f t="shared" si="1968"/>
        <v>4.527202728903662E-5</v>
      </c>
      <c r="N438" s="52">
        <f t="shared" si="1969"/>
        <v>0</v>
      </c>
      <c r="O438" s="52">
        <f t="shared" si="1970"/>
        <v>0</v>
      </c>
      <c r="P438" s="52">
        <f t="shared" si="1971"/>
        <v>0</v>
      </c>
      <c r="Q438" s="52">
        <f t="shared" si="1972"/>
        <v>0</v>
      </c>
      <c r="R438" s="52">
        <f t="shared" si="1973"/>
        <v>0</v>
      </c>
      <c r="S438" s="527">
        <f t="shared" si="1909"/>
        <v>0</v>
      </c>
      <c r="T438" s="533">
        <f t="shared" si="1974"/>
        <v>-2.8405689153720651E-6</v>
      </c>
      <c r="U438" s="375">
        <f t="shared" si="1911"/>
        <v>-2.6436548833277303E-6</v>
      </c>
      <c r="V438" s="375">
        <f t="shared" si="1912"/>
        <v>-4.3459629040156706E-5</v>
      </c>
      <c r="W438" s="386">
        <f t="shared" si="1913"/>
        <v>-4.6358605164594345E-5</v>
      </c>
      <c r="X438" s="386">
        <f t="shared" si="1914"/>
        <v>-4.527202728903662E-5</v>
      </c>
      <c r="Y438" s="386">
        <f t="shared" si="2039"/>
        <v>-4.527202728903662E-5</v>
      </c>
      <c r="Z438" s="375">
        <f t="shared" si="2006"/>
        <v>0</v>
      </c>
      <c r="AA438" s="375">
        <f t="shared" si="1917"/>
        <v>0</v>
      </c>
      <c r="AB438" s="386">
        <f t="shared" si="1918"/>
        <v>0</v>
      </c>
      <c r="AC438" s="386">
        <f t="shared" si="1975"/>
        <v>0</v>
      </c>
      <c r="AD438" s="386">
        <f t="shared" si="1976"/>
        <v>0</v>
      </c>
      <c r="AE438" s="386">
        <f t="shared" si="1977"/>
        <v>0</v>
      </c>
      <c r="AF438" s="386">
        <f t="shared" si="1978"/>
        <v>0</v>
      </c>
      <c r="AG438" s="375">
        <f t="shared" si="1979"/>
        <v>0</v>
      </c>
      <c r="AH438" s="375">
        <f t="shared" si="1980"/>
        <v>0</v>
      </c>
      <c r="AI438" s="386">
        <f t="shared" si="1981"/>
        <v>0</v>
      </c>
      <c r="AJ438" s="386">
        <f t="shared" si="1982"/>
        <v>0</v>
      </c>
      <c r="AK438" s="386">
        <f t="shared" si="1983"/>
        <v>0</v>
      </c>
      <c r="AL438" s="377">
        <f t="shared" si="1984"/>
        <v>0</v>
      </c>
      <c r="AM438" s="377">
        <f t="shared" si="1985"/>
        <v>0</v>
      </c>
      <c r="AN438" s="377">
        <f t="shared" si="1986"/>
        <v>0</v>
      </c>
      <c r="AO438" s="283"/>
      <c r="AP438" s="295">
        <f t="shared" si="1987"/>
        <v>8.0087000000000005E-2</v>
      </c>
      <c r="AQ438" s="20">
        <f t="shared" si="1988"/>
        <v>8.0087000000000005E-2</v>
      </c>
      <c r="AR438" s="95">
        <f t="shared" si="1988"/>
        <v>8.0087000000000005E-2</v>
      </c>
      <c r="AS438" s="94">
        <f t="shared" si="1988"/>
        <v>1.419913</v>
      </c>
      <c r="AT438" s="94">
        <f t="shared" ref="AT438:AT478" si="2042">-BC438</f>
        <v>1.419913</v>
      </c>
      <c r="AU438" s="94">
        <f t="shared" ref="AU438:AU478" si="2043">-BG438</f>
        <v>0</v>
      </c>
      <c r="AV438" s="94">
        <f t="shared" si="2040"/>
        <v>0</v>
      </c>
      <c r="AW438" s="94">
        <f t="shared" si="1965"/>
        <v>0</v>
      </c>
      <c r="AX438" s="94">
        <f t="shared" si="2041"/>
        <v>0</v>
      </c>
      <c r="AY438" s="94">
        <f t="shared" si="1966"/>
        <v>0</v>
      </c>
      <c r="AZ438" s="433">
        <f t="shared" si="1967"/>
        <v>0</v>
      </c>
      <c r="BA438" s="657">
        <v>-8.0087000000000005E-2</v>
      </c>
      <c r="BB438" s="327">
        <v>-8.0087000000000005E-2</v>
      </c>
      <c r="BC438" s="207">
        <v>-1.419913</v>
      </c>
      <c r="BD438" s="132">
        <v>-1.419913</v>
      </c>
      <c r="BE438" s="132">
        <v>-1.419913</v>
      </c>
      <c r="BF438" s="132">
        <v>-1.419913</v>
      </c>
      <c r="BG438" s="207">
        <v>0</v>
      </c>
      <c r="BH438" s="207">
        <v>0</v>
      </c>
      <c r="BI438" s="132">
        <v>0</v>
      </c>
      <c r="BJ438" s="132">
        <v>0</v>
      </c>
      <c r="BK438" s="132">
        <v>0</v>
      </c>
      <c r="BL438" s="132">
        <v>0</v>
      </c>
      <c r="BM438" s="132">
        <v>0</v>
      </c>
      <c r="BN438" s="409">
        <v>0</v>
      </c>
      <c r="BO438" s="207">
        <v>0</v>
      </c>
      <c r="BP438" s="389">
        <v>0</v>
      </c>
      <c r="BQ438" s="389">
        <v>0</v>
      </c>
      <c r="BR438" s="389">
        <v>0</v>
      </c>
      <c r="BS438" s="296">
        <v>0</v>
      </c>
      <c r="BT438" s="296">
        <v>0</v>
      </c>
      <c r="BU438" s="296">
        <v>0</v>
      </c>
      <c r="BV438" s="409">
        <v>0</v>
      </c>
      <c r="BW438" s="296">
        <f t="shared" si="1955"/>
        <v>0</v>
      </c>
      <c r="BX438" s="439" t="s">
        <v>647</v>
      </c>
    </row>
    <row r="439" spans="1:76" ht="57.95" hidden="1" customHeight="1" outlineLevel="1" x14ac:dyDescent="0.25">
      <c r="A439" s="678">
        <v>48</v>
      </c>
      <c r="B439" s="702" t="s">
        <v>242</v>
      </c>
      <c r="C439" s="694" t="s">
        <v>242</v>
      </c>
      <c r="D439" s="63" t="s">
        <v>599</v>
      </c>
      <c r="E439" s="463" t="s">
        <v>215</v>
      </c>
      <c r="F439" s="542" t="s">
        <v>226</v>
      </c>
      <c r="G439" s="242" t="s">
        <v>225</v>
      </c>
      <c r="H439" s="311" t="s">
        <v>129</v>
      </c>
      <c r="I439" s="335"/>
      <c r="J439" s="294">
        <f t="shared" si="1900"/>
        <v>0</v>
      </c>
      <c r="K439" s="52">
        <f t="shared" si="1901"/>
        <v>0</v>
      </c>
      <c r="L439" s="52">
        <f t="shared" si="1902"/>
        <v>1.8364348677766894E-4</v>
      </c>
      <c r="M439" s="52">
        <f t="shared" si="1968"/>
        <v>1.9130197676492836E-4</v>
      </c>
      <c r="N439" s="52">
        <f t="shared" si="1969"/>
        <v>0</v>
      </c>
      <c r="O439" s="52">
        <f t="shared" si="1970"/>
        <v>0</v>
      </c>
      <c r="P439" s="52">
        <f t="shared" si="1971"/>
        <v>0</v>
      </c>
      <c r="Q439" s="52">
        <f t="shared" si="1972"/>
        <v>0</v>
      </c>
      <c r="R439" s="52">
        <f t="shared" si="1973"/>
        <v>0</v>
      </c>
      <c r="S439" s="527">
        <f t="shared" si="1909"/>
        <v>0</v>
      </c>
      <c r="T439" s="533">
        <f t="shared" si="1974"/>
        <v>0</v>
      </c>
      <c r="U439" s="375">
        <f t="shared" si="1911"/>
        <v>0</v>
      </c>
      <c r="V439" s="375">
        <f t="shared" si="1912"/>
        <v>-1.8364348677766894E-4</v>
      </c>
      <c r="W439" s="386">
        <f t="shared" si="1913"/>
        <v>-1.958934321944838E-4</v>
      </c>
      <c r="X439" s="386">
        <f t="shared" si="1914"/>
        <v>-1.9130197676492836E-4</v>
      </c>
      <c r="Y439" s="386">
        <f t="shared" si="2039"/>
        <v>-1.9130197676492836E-4</v>
      </c>
      <c r="Z439" s="375">
        <f t="shared" si="2006"/>
        <v>0</v>
      </c>
      <c r="AA439" s="375">
        <f t="shared" si="1917"/>
        <v>0</v>
      </c>
      <c r="AB439" s="386">
        <f t="shared" si="1918"/>
        <v>0</v>
      </c>
      <c r="AC439" s="386">
        <f t="shared" si="1975"/>
        <v>0</v>
      </c>
      <c r="AD439" s="386">
        <f t="shared" si="1976"/>
        <v>0</v>
      </c>
      <c r="AE439" s="386">
        <f t="shared" si="1977"/>
        <v>0</v>
      </c>
      <c r="AF439" s="386">
        <f t="shared" si="1978"/>
        <v>0</v>
      </c>
      <c r="AG439" s="375">
        <f t="shared" si="1979"/>
        <v>0</v>
      </c>
      <c r="AH439" s="375">
        <f t="shared" si="1980"/>
        <v>0</v>
      </c>
      <c r="AI439" s="386">
        <f t="shared" si="1981"/>
        <v>0</v>
      </c>
      <c r="AJ439" s="386">
        <f t="shared" si="1982"/>
        <v>0</v>
      </c>
      <c r="AK439" s="386">
        <f t="shared" si="1983"/>
        <v>0</v>
      </c>
      <c r="AL439" s="377">
        <f t="shared" si="1984"/>
        <v>0</v>
      </c>
      <c r="AM439" s="377">
        <f t="shared" si="1985"/>
        <v>0</v>
      </c>
      <c r="AN439" s="377">
        <f t="shared" si="1986"/>
        <v>0</v>
      </c>
      <c r="AO439" s="283"/>
      <c r="AP439" s="295">
        <f t="shared" si="1987"/>
        <v>0</v>
      </c>
      <c r="AQ439" s="20">
        <f t="shared" si="1988"/>
        <v>0</v>
      </c>
      <c r="AR439" s="95">
        <f t="shared" si="1988"/>
        <v>0</v>
      </c>
      <c r="AS439" s="94">
        <f t="shared" si="1988"/>
        <v>6</v>
      </c>
      <c r="AT439" s="94">
        <f t="shared" si="2042"/>
        <v>6</v>
      </c>
      <c r="AU439" s="94">
        <f t="shared" si="2043"/>
        <v>0</v>
      </c>
      <c r="AV439" s="94">
        <f t="shared" si="2040"/>
        <v>0</v>
      </c>
      <c r="AW439" s="94">
        <f t="shared" si="1965"/>
        <v>0</v>
      </c>
      <c r="AX439" s="94">
        <f t="shared" si="2041"/>
        <v>0</v>
      </c>
      <c r="AY439" s="94">
        <f t="shared" si="1966"/>
        <v>0</v>
      </c>
      <c r="AZ439" s="433">
        <f t="shared" si="1967"/>
        <v>0</v>
      </c>
      <c r="BA439" s="657">
        <v>0</v>
      </c>
      <c r="BB439" s="327">
        <v>0</v>
      </c>
      <c r="BC439" s="207">
        <v>-6</v>
      </c>
      <c r="BD439" s="132">
        <v>-6</v>
      </c>
      <c r="BE439" s="132">
        <v>-6</v>
      </c>
      <c r="BF439" s="132">
        <v>-6</v>
      </c>
      <c r="BG439" s="207">
        <v>0</v>
      </c>
      <c r="BH439" s="207">
        <v>0</v>
      </c>
      <c r="BI439" s="132">
        <v>0</v>
      </c>
      <c r="BJ439" s="132">
        <v>0</v>
      </c>
      <c r="BK439" s="132">
        <v>0</v>
      </c>
      <c r="BL439" s="132">
        <v>0</v>
      </c>
      <c r="BM439" s="132">
        <v>0</v>
      </c>
      <c r="BN439" s="409">
        <v>0</v>
      </c>
      <c r="BO439" s="207">
        <v>0</v>
      </c>
      <c r="BP439" s="389">
        <v>0</v>
      </c>
      <c r="BQ439" s="389">
        <v>0</v>
      </c>
      <c r="BR439" s="389">
        <v>0</v>
      </c>
      <c r="BS439" s="296">
        <v>0</v>
      </c>
      <c r="BT439" s="296">
        <v>0</v>
      </c>
      <c r="BU439" s="296">
        <v>0</v>
      </c>
      <c r="BV439" s="409">
        <v>0</v>
      </c>
      <c r="BW439" s="296">
        <f t="shared" si="1955"/>
        <v>0</v>
      </c>
      <c r="BX439" s="439" t="s">
        <v>607</v>
      </c>
    </row>
    <row r="440" spans="1:76" ht="57.95" hidden="1" customHeight="1" outlineLevel="1" x14ac:dyDescent="0.25">
      <c r="A440" s="678">
        <v>49</v>
      </c>
      <c r="B440" s="702" t="s">
        <v>242</v>
      </c>
      <c r="C440" s="694" t="s">
        <v>242</v>
      </c>
      <c r="D440" s="63">
        <v>44103</v>
      </c>
      <c r="E440" s="463" t="s">
        <v>381</v>
      </c>
      <c r="F440" s="542" t="s">
        <v>380</v>
      </c>
      <c r="G440" s="242" t="s">
        <v>225</v>
      </c>
      <c r="H440" s="311" t="s">
        <v>129</v>
      </c>
      <c r="I440" s="335"/>
      <c r="J440" s="294">
        <f t="shared" si="1900"/>
        <v>8.7036603532666526E-6</v>
      </c>
      <c r="K440" s="52">
        <f t="shared" si="1901"/>
        <v>8.0939009630440575E-6</v>
      </c>
      <c r="L440" s="52">
        <f t="shared" si="1902"/>
        <v>0</v>
      </c>
      <c r="M440" s="52">
        <f t="shared" si="1968"/>
        <v>0</v>
      </c>
      <c r="N440" s="52">
        <f t="shared" si="1969"/>
        <v>0</v>
      </c>
      <c r="O440" s="52">
        <f t="shared" si="1970"/>
        <v>0</v>
      </c>
      <c r="P440" s="52">
        <f t="shared" si="1971"/>
        <v>0</v>
      </c>
      <c r="Q440" s="52">
        <f t="shared" si="1972"/>
        <v>0</v>
      </c>
      <c r="R440" s="52">
        <f t="shared" si="1973"/>
        <v>0</v>
      </c>
      <c r="S440" s="527">
        <f t="shared" si="1909"/>
        <v>0</v>
      </c>
      <c r="T440" s="533">
        <f t="shared" si="1974"/>
        <v>-8.7036603532666526E-6</v>
      </c>
      <c r="U440" s="375">
        <f t="shared" si="1911"/>
        <v>-8.0939009630440575E-6</v>
      </c>
      <c r="V440" s="375">
        <f t="shared" si="1912"/>
        <v>0</v>
      </c>
      <c r="W440" s="386">
        <f t="shared" si="1913"/>
        <v>0</v>
      </c>
      <c r="X440" s="386">
        <f t="shared" si="1914"/>
        <v>0</v>
      </c>
      <c r="Y440" s="386">
        <f t="shared" si="2039"/>
        <v>0</v>
      </c>
      <c r="Z440" s="375">
        <f t="shared" si="2006"/>
        <v>0</v>
      </c>
      <c r="AA440" s="375">
        <f t="shared" si="1917"/>
        <v>0</v>
      </c>
      <c r="AB440" s="386">
        <f t="shared" si="1918"/>
        <v>0</v>
      </c>
      <c r="AC440" s="386">
        <f t="shared" si="1975"/>
        <v>0</v>
      </c>
      <c r="AD440" s="386">
        <f t="shared" si="1976"/>
        <v>0</v>
      </c>
      <c r="AE440" s="386">
        <f t="shared" si="1977"/>
        <v>0</v>
      </c>
      <c r="AF440" s="386">
        <f t="shared" si="1978"/>
        <v>0</v>
      </c>
      <c r="AG440" s="375">
        <f t="shared" si="1979"/>
        <v>0</v>
      </c>
      <c r="AH440" s="375">
        <f t="shared" si="1980"/>
        <v>0</v>
      </c>
      <c r="AI440" s="386">
        <f t="shared" si="1981"/>
        <v>0</v>
      </c>
      <c r="AJ440" s="386">
        <f t="shared" si="1982"/>
        <v>0</v>
      </c>
      <c r="AK440" s="386">
        <f t="shared" si="1983"/>
        <v>0</v>
      </c>
      <c r="AL440" s="377">
        <f t="shared" si="1984"/>
        <v>0</v>
      </c>
      <c r="AM440" s="377">
        <f t="shared" si="1985"/>
        <v>0</v>
      </c>
      <c r="AN440" s="377">
        <f t="shared" si="1986"/>
        <v>0</v>
      </c>
      <c r="AO440" s="283"/>
      <c r="AP440" s="295">
        <f t="shared" si="1987"/>
        <v>0.245197</v>
      </c>
      <c r="AQ440" s="20">
        <f t="shared" si="1988"/>
        <v>0.245391</v>
      </c>
      <c r="AR440" s="95">
        <f t="shared" si="1988"/>
        <v>0.245197</v>
      </c>
      <c r="AS440" s="94">
        <f t="shared" si="1988"/>
        <v>0</v>
      </c>
      <c r="AT440" s="94">
        <f t="shared" si="2042"/>
        <v>0</v>
      </c>
      <c r="AU440" s="94">
        <f t="shared" si="2043"/>
        <v>0</v>
      </c>
      <c r="AV440" s="94">
        <f t="shared" si="2040"/>
        <v>0</v>
      </c>
      <c r="AW440" s="94">
        <f t="shared" si="1965"/>
        <v>0</v>
      </c>
      <c r="AX440" s="94">
        <f t="shared" si="2041"/>
        <v>0</v>
      </c>
      <c r="AY440" s="94">
        <f t="shared" si="1966"/>
        <v>0</v>
      </c>
      <c r="AZ440" s="433">
        <f t="shared" si="1967"/>
        <v>0</v>
      </c>
      <c r="BA440" s="657">
        <v>-0.245391</v>
      </c>
      <c r="BB440" s="327">
        <v>-0.245197</v>
      </c>
      <c r="BC440" s="207">
        <v>0</v>
      </c>
      <c r="BD440" s="132">
        <v>0</v>
      </c>
      <c r="BE440" s="132">
        <v>0</v>
      </c>
      <c r="BF440" s="132">
        <v>0</v>
      </c>
      <c r="BG440" s="207">
        <v>0</v>
      </c>
      <c r="BH440" s="207">
        <v>0</v>
      </c>
      <c r="BI440" s="132">
        <v>0</v>
      </c>
      <c r="BJ440" s="132">
        <v>0</v>
      </c>
      <c r="BK440" s="132">
        <v>0</v>
      </c>
      <c r="BL440" s="132">
        <v>0</v>
      </c>
      <c r="BM440" s="132">
        <v>0</v>
      </c>
      <c r="BN440" s="409">
        <v>0</v>
      </c>
      <c r="BO440" s="207">
        <v>0</v>
      </c>
      <c r="BP440" s="389">
        <v>0</v>
      </c>
      <c r="BQ440" s="389">
        <v>0</v>
      </c>
      <c r="BR440" s="389">
        <v>0</v>
      </c>
      <c r="BS440" s="296">
        <v>0</v>
      </c>
      <c r="BT440" s="296">
        <v>0</v>
      </c>
      <c r="BU440" s="296">
        <v>0</v>
      </c>
      <c r="BV440" s="409">
        <v>0</v>
      </c>
      <c r="BW440" s="296">
        <f t="shared" si="1955"/>
        <v>0</v>
      </c>
      <c r="BX440" s="439" t="s">
        <v>378</v>
      </c>
    </row>
    <row r="441" spans="1:76" ht="57.95" hidden="1" customHeight="1" outlineLevel="1" x14ac:dyDescent="0.25">
      <c r="A441" s="678">
        <v>50</v>
      </c>
      <c r="B441" s="702" t="s">
        <v>242</v>
      </c>
      <c r="C441" s="694" t="s">
        <v>242</v>
      </c>
      <c r="D441" s="63">
        <v>44125</v>
      </c>
      <c r="E441" s="463" t="s">
        <v>382</v>
      </c>
      <c r="F441" s="542" t="s">
        <v>390</v>
      </c>
      <c r="G441" s="242" t="s">
        <v>225</v>
      </c>
      <c r="H441" s="311" t="s">
        <v>130</v>
      </c>
      <c r="I441" s="335"/>
      <c r="J441" s="294">
        <f t="shared" si="1900"/>
        <v>2.3452862311130026E-6</v>
      </c>
      <c r="K441" s="52">
        <f t="shared" si="1901"/>
        <v>2.0892554955932759E-6</v>
      </c>
      <c r="L441" s="52">
        <f t="shared" si="1902"/>
        <v>0</v>
      </c>
      <c r="M441" s="52">
        <f t="shared" si="1968"/>
        <v>0</v>
      </c>
      <c r="N441" s="52">
        <f t="shared" si="1969"/>
        <v>0</v>
      </c>
      <c r="O441" s="52">
        <f t="shared" si="1970"/>
        <v>0</v>
      </c>
      <c r="P441" s="52">
        <f t="shared" si="1971"/>
        <v>0</v>
      </c>
      <c r="Q441" s="52">
        <f t="shared" si="1972"/>
        <v>0</v>
      </c>
      <c r="R441" s="52">
        <f t="shared" si="1973"/>
        <v>0</v>
      </c>
      <c r="S441" s="527">
        <f t="shared" si="1909"/>
        <v>0</v>
      </c>
      <c r="T441" s="533">
        <f t="shared" si="1974"/>
        <v>-2.3452862311130026E-6</v>
      </c>
      <c r="U441" s="375">
        <f t="shared" si="1911"/>
        <v>-2.0892554955932759E-6</v>
      </c>
      <c r="V441" s="375">
        <f t="shared" si="1912"/>
        <v>0</v>
      </c>
      <c r="W441" s="386">
        <f t="shared" si="1913"/>
        <v>0</v>
      </c>
      <c r="X441" s="386">
        <f t="shared" si="1914"/>
        <v>0</v>
      </c>
      <c r="Y441" s="386">
        <f t="shared" si="2039"/>
        <v>0</v>
      </c>
      <c r="Z441" s="375">
        <f t="shared" si="2006"/>
        <v>0</v>
      </c>
      <c r="AA441" s="375">
        <f t="shared" si="1917"/>
        <v>0</v>
      </c>
      <c r="AB441" s="386">
        <f t="shared" si="1918"/>
        <v>0</v>
      </c>
      <c r="AC441" s="386">
        <f t="shared" si="1975"/>
        <v>0</v>
      </c>
      <c r="AD441" s="386">
        <f t="shared" si="1976"/>
        <v>0</v>
      </c>
      <c r="AE441" s="386">
        <f t="shared" si="1977"/>
        <v>0</v>
      </c>
      <c r="AF441" s="386">
        <f t="shared" si="1978"/>
        <v>0</v>
      </c>
      <c r="AG441" s="375">
        <f t="shared" si="1979"/>
        <v>0</v>
      </c>
      <c r="AH441" s="375">
        <f t="shared" si="1980"/>
        <v>0</v>
      </c>
      <c r="AI441" s="386">
        <f t="shared" si="1981"/>
        <v>0</v>
      </c>
      <c r="AJ441" s="386">
        <f t="shared" si="1982"/>
        <v>0</v>
      </c>
      <c r="AK441" s="386">
        <f t="shared" si="1983"/>
        <v>0</v>
      </c>
      <c r="AL441" s="377">
        <f t="shared" si="1984"/>
        <v>0</v>
      </c>
      <c r="AM441" s="377">
        <f t="shared" si="1985"/>
        <v>0</v>
      </c>
      <c r="AN441" s="377">
        <f t="shared" si="1986"/>
        <v>0</v>
      </c>
      <c r="AO441" s="283"/>
      <c r="AP441" s="295">
        <f t="shared" si="1987"/>
        <v>6.3292000000000001E-2</v>
      </c>
      <c r="AQ441" s="20">
        <f t="shared" si="1988"/>
        <v>6.6123000000000001E-2</v>
      </c>
      <c r="AR441" s="95">
        <f t="shared" si="1988"/>
        <v>6.3292000000000001E-2</v>
      </c>
      <c r="AS441" s="94">
        <f t="shared" si="1988"/>
        <v>0</v>
      </c>
      <c r="AT441" s="94">
        <f t="shared" si="2042"/>
        <v>0</v>
      </c>
      <c r="AU441" s="94">
        <f t="shared" si="2043"/>
        <v>0</v>
      </c>
      <c r="AV441" s="94">
        <f t="shared" si="2040"/>
        <v>0</v>
      </c>
      <c r="AW441" s="94">
        <f t="shared" si="1965"/>
        <v>0</v>
      </c>
      <c r="AX441" s="94">
        <f t="shared" si="2041"/>
        <v>0</v>
      </c>
      <c r="AY441" s="94">
        <f t="shared" si="1966"/>
        <v>0</v>
      </c>
      <c r="AZ441" s="433">
        <f t="shared" si="1967"/>
        <v>0</v>
      </c>
      <c r="BA441" s="657">
        <v>-6.6123000000000001E-2</v>
      </c>
      <c r="BB441" s="327">
        <v>-6.3292000000000001E-2</v>
      </c>
      <c r="BC441" s="207">
        <v>0</v>
      </c>
      <c r="BD441" s="132">
        <v>0</v>
      </c>
      <c r="BE441" s="132">
        <v>0</v>
      </c>
      <c r="BF441" s="132">
        <v>0</v>
      </c>
      <c r="BG441" s="207">
        <v>0</v>
      </c>
      <c r="BH441" s="207">
        <v>0</v>
      </c>
      <c r="BI441" s="132">
        <v>0</v>
      </c>
      <c r="BJ441" s="132">
        <v>0</v>
      </c>
      <c r="BK441" s="132">
        <v>0</v>
      </c>
      <c r="BL441" s="132">
        <v>0</v>
      </c>
      <c r="BM441" s="132">
        <v>0</v>
      </c>
      <c r="BN441" s="409">
        <v>0</v>
      </c>
      <c r="BO441" s="207">
        <v>0</v>
      </c>
      <c r="BP441" s="389">
        <v>0</v>
      </c>
      <c r="BQ441" s="389">
        <v>0</v>
      </c>
      <c r="BR441" s="389">
        <v>0</v>
      </c>
      <c r="BS441" s="296">
        <v>0</v>
      </c>
      <c r="BT441" s="296">
        <v>0</v>
      </c>
      <c r="BU441" s="296">
        <v>0</v>
      </c>
      <c r="BV441" s="409">
        <v>0</v>
      </c>
      <c r="BW441" s="296">
        <f t="shared" si="1955"/>
        <v>0</v>
      </c>
      <c r="BX441" s="439" t="s">
        <v>379</v>
      </c>
    </row>
    <row r="442" spans="1:76" ht="43.5" hidden="1" customHeight="1" outlineLevel="1" x14ac:dyDescent="0.25">
      <c r="A442" s="678">
        <v>51</v>
      </c>
      <c r="B442" s="702" t="s">
        <v>242</v>
      </c>
      <c r="C442" s="694" t="s">
        <v>242</v>
      </c>
      <c r="D442" s="63">
        <v>44307</v>
      </c>
      <c r="E442" s="463" t="s">
        <v>1449</v>
      </c>
      <c r="F442" s="542" t="s">
        <v>1322</v>
      </c>
      <c r="G442" s="242" t="s">
        <v>225</v>
      </c>
      <c r="H442" s="311" t="s">
        <v>129</v>
      </c>
      <c r="I442" s="335"/>
      <c r="J442" s="294">
        <f t="shared" si="1900"/>
        <v>2.3452862311130026E-6</v>
      </c>
      <c r="K442" s="52">
        <f t="shared" si="1901"/>
        <v>0</v>
      </c>
      <c r="L442" s="52">
        <f t="shared" si="1902"/>
        <v>9.1264691478942209E-6</v>
      </c>
      <c r="M442" s="52">
        <f t="shared" si="1968"/>
        <v>9.5070705719610564E-6</v>
      </c>
      <c r="N442" s="52">
        <f t="shared" si="1969"/>
        <v>8.8776865995611059E-6</v>
      </c>
      <c r="O442" s="52">
        <f t="shared" si="1970"/>
        <v>0</v>
      </c>
      <c r="P442" s="52">
        <f t="shared" si="1971"/>
        <v>0</v>
      </c>
      <c r="Q442" s="52">
        <f t="shared" si="1972"/>
        <v>0</v>
      </c>
      <c r="R442" s="52">
        <f t="shared" si="1973"/>
        <v>0</v>
      </c>
      <c r="S442" s="527">
        <f t="shared" si="1909"/>
        <v>0</v>
      </c>
      <c r="T442" s="533">
        <f t="shared" si="1974"/>
        <v>-2.3452862311130026E-6</v>
      </c>
      <c r="U442" s="375">
        <f t="shared" si="1911"/>
        <v>0</v>
      </c>
      <c r="V442" s="375">
        <f t="shared" si="1912"/>
        <v>-9.1264691478942209E-6</v>
      </c>
      <c r="W442" s="386">
        <f t="shared" si="1913"/>
        <v>0</v>
      </c>
      <c r="X442" s="386">
        <f t="shared" si="1914"/>
        <v>-9.5070705719610564E-6</v>
      </c>
      <c r="Y442" s="386">
        <f t="shared" si="2039"/>
        <v>-9.5070705719610564E-6</v>
      </c>
      <c r="Z442" s="375">
        <f t="shared" si="2006"/>
        <v>-8.8776865995611059E-6</v>
      </c>
      <c r="AA442" s="375">
        <f t="shared" si="1917"/>
        <v>0</v>
      </c>
      <c r="AB442" s="386">
        <f t="shared" si="1918"/>
        <v>0</v>
      </c>
      <c r="AC442" s="386">
        <f t="shared" si="1975"/>
        <v>0</v>
      </c>
      <c r="AD442" s="386">
        <f t="shared" si="1976"/>
        <v>0</v>
      </c>
      <c r="AE442" s="386">
        <f t="shared" si="1977"/>
        <v>0</v>
      </c>
      <c r="AF442" s="386">
        <f t="shared" si="1978"/>
        <v>0</v>
      </c>
      <c r="AG442" s="375">
        <f t="shared" si="1979"/>
        <v>0</v>
      </c>
      <c r="AH442" s="375">
        <f t="shared" si="1980"/>
        <v>0</v>
      </c>
      <c r="AI442" s="386">
        <f t="shared" si="1981"/>
        <v>0</v>
      </c>
      <c r="AJ442" s="386">
        <f t="shared" si="1982"/>
        <v>0</v>
      </c>
      <c r="AK442" s="386">
        <f t="shared" si="1983"/>
        <v>0</v>
      </c>
      <c r="AL442" s="377">
        <f t="shared" si="1984"/>
        <v>0</v>
      </c>
      <c r="AM442" s="377">
        <f t="shared" si="1985"/>
        <v>0</v>
      </c>
      <c r="AN442" s="377">
        <f t="shared" si="1986"/>
        <v>0</v>
      </c>
      <c r="AO442" s="283"/>
      <c r="AP442" s="295">
        <f t="shared" si="1987"/>
        <v>0.29818</v>
      </c>
      <c r="AQ442" s="20">
        <f t="shared" ref="AQ442:AQ457" si="2044">-BA442</f>
        <v>6.6123000000000001E-2</v>
      </c>
      <c r="AR442" s="95">
        <f t="shared" ref="AR442:AR457" si="2045">-BB442</f>
        <v>0</v>
      </c>
      <c r="AS442" s="94">
        <f t="shared" ref="AS442" si="2046">-BC442</f>
        <v>0.29818</v>
      </c>
      <c r="AT442" s="94">
        <f t="shared" si="2042"/>
        <v>0.29818</v>
      </c>
      <c r="AU442" s="94">
        <f t="shared" si="2043"/>
        <v>0.29818</v>
      </c>
      <c r="AV442" s="94">
        <f t="shared" si="2040"/>
        <v>0</v>
      </c>
      <c r="AW442" s="94">
        <f t="shared" si="1965"/>
        <v>0</v>
      </c>
      <c r="AX442" s="94">
        <f t="shared" si="2041"/>
        <v>0</v>
      </c>
      <c r="AY442" s="94">
        <f t="shared" si="1966"/>
        <v>0</v>
      </c>
      <c r="AZ442" s="433">
        <f t="shared" si="1967"/>
        <v>0</v>
      </c>
      <c r="BA442" s="657">
        <v>-6.6123000000000001E-2</v>
      </c>
      <c r="BB442" s="327">
        <v>0</v>
      </c>
      <c r="BC442" s="207">
        <v>-0.29818</v>
      </c>
      <c r="BD442" s="132">
        <v>0</v>
      </c>
      <c r="BE442" s="132">
        <v>-0.29818</v>
      </c>
      <c r="BF442" s="132">
        <v>-0.29818</v>
      </c>
      <c r="BG442" s="207">
        <v>-0.29818</v>
      </c>
      <c r="BH442" s="207">
        <v>0</v>
      </c>
      <c r="BI442" s="132">
        <v>0</v>
      </c>
      <c r="BJ442" s="132">
        <v>0</v>
      </c>
      <c r="BK442" s="132">
        <v>0</v>
      </c>
      <c r="BL442" s="132">
        <v>0</v>
      </c>
      <c r="BM442" s="132">
        <v>0</v>
      </c>
      <c r="BN442" s="409">
        <v>0</v>
      </c>
      <c r="BO442" s="207">
        <v>0</v>
      </c>
      <c r="BP442" s="389">
        <v>0</v>
      </c>
      <c r="BQ442" s="389">
        <v>0</v>
      </c>
      <c r="BR442" s="389">
        <v>0</v>
      </c>
      <c r="BS442" s="296">
        <v>0</v>
      </c>
      <c r="BT442" s="296">
        <v>0</v>
      </c>
      <c r="BU442" s="296">
        <v>0</v>
      </c>
      <c r="BV442" s="409">
        <v>0</v>
      </c>
      <c r="BW442" s="296">
        <f t="shared" ref="BW442:BW449" si="2047">-BV442</f>
        <v>0</v>
      </c>
      <c r="BX442" s="439" t="s">
        <v>1321</v>
      </c>
    </row>
    <row r="443" spans="1:76" ht="90.95" hidden="1" customHeight="1" outlineLevel="1" x14ac:dyDescent="0.25">
      <c r="A443" s="678">
        <v>52</v>
      </c>
      <c r="B443" s="702" t="s">
        <v>242</v>
      </c>
      <c r="C443" s="694" t="s">
        <v>242</v>
      </c>
      <c r="D443" s="63">
        <v>44384</v>
      </c>
      <c r="E443" s="463" t="s">
        <v>1508</v>
      </c>
      <c r="F443" s="542" t="s">
        <v>1611</v>
      </c>
      <c r="G443" s="242" t="s">
        <v>225</v>
      </c>
      <c r="H443" s="311" t="s">
        <v>130</v>
      </c>
      <c r="I443" s="335"/>
      <c r="J443" s="294">
        <f t="shared" si="1900"/>
        <v>2.3452862311130026E-6</v>
      </c>
      <c r="K443" s="52">
        <f t="shared" si="1901"/>
        <v>0</v>
      </c>
      <c r="L443" s="52">
        <f t="shared" si="1902"/>
        <v>2.3287646914789423E-5</v>
      </c>
      <c r="M443" s="52">
        <f t="shared" si="1968"/>
        <v>2.4258812371583801E-5</v>
      </c>
      <c r="N443" s="52">
        <f t="shared" si="1969"/>
        <v>2.2652838419821806E-5</v>
      </c>
      <c r="O443" s="52">
        <f t="shared" si="1970"/>
        <v>0</v>
      </c>
      <c r="P443" s="52">
        <f t="shared" si="1971"/>
        <v>0</v>
      </c>
      <c r="Q443" s="52">
        <f t="shared" si="1972"/>
        <v>0</v>
      </c>
      <c r="R443" s="52">
        <f t="shared" si="1973"/>
        <v>0</v>
      </c>
      <c r="S443" s="527">
        <f t="shared" si="1909"/>
        <v>0</v>
      </c>
      <c r="T443" s="533">
        <f t="shared" si="1974"/>
        <v>-2.3452862311130026E-6</v>
      </c>
      <c r="U443" s="375">
        <f t="shared" si="1911"/>
        <v>0</v>
      </c>
      <c r="V443" s="375">
        <f t="shared" si="1912"/>
        <v>-2.3287646914789423E-5</v>
      </c>
      <c r="W443" s="386">
        <f t="shared" si="1913"/>
        <v>0</v>
      </c>
      <c r="X443" s="386">
        <f t="shared" si="1914"/>
        <v>-2.4258812371583801E-5</v>
      </c>
      <c r="Y443" s="386">
        <f t="shared" si="2039"/>
        <v>-2.4258812371583801E-5</v>
      </c>
      <c r="Z443" s="375">
        <f t="shared" si="2006"/>
        <v>-2.2652838419821806E-5</v>
      </c>
      <c r="AA443" s="375">
        <f t="shared" si="1917"/>
        <v>0</v>
      </c>
      <c r="AB443" s="386">
        <f t="shared" si="1918"/>
        <v>0</v>
      </c>
      <c r="AC443" s="386">
        <f t="shared" si="1975"/>
        <v>0</v>
      </c>
      <c r="AD443" s="386">
        <f t="shared" si="1976"/>
        <v>0</v>
      </c>
      <c r="AE443" s="386">
        <f t="shared" si="1977"/>
        <v>0</v>
      </c>
      <c r="AF443" s="386">
        <f t="shared" si="1978"/>
        <v>0</v>
      </c>
      <c r="AG443" s="375">
        <f t="shared" si="1979"/>
        <v>0</v>
      </c>
      <c r="AH443" s="375">
        <f t="shared" si="1980"/>
        <v>0</v>
      </c>
      <c r="AI443" s="386">
        <f t="shared" si="1981"/>
        <v>0</v>
      </c>
      <c r="AJ443" s="386">
        <f t="shared" si="1982"/>
        <v>0</v>
      </c>
      <c r="AK443" s="386">
        <f t="shared" si="1983"/>
        <v>0</v>
      </c>
      <c r="AL443" s="377">
        <f t="shared" si="1984"/>
        <v>0</v>
      </c>
      <c r="AM443" s="377">
        <f t="shared" si="1985"/>
        <v>0</v>
      </c>
      <c r="AN443" s="377">
        <f t="shared" si="1986"/>
        <v>0</v>
      </c>
      <c r="AO443" s="283"/>
      <c r="AP443" s="295">
        <f t="shared" si="1987"/>
        <v>0.76085400000000003</v>
      </c>
      <c r="AQ443" s="20">
        <f t="shared" si="2044"/>
        <v>6.6123000000000001E-2</v>
      </c>
      <c r="AR443" s="95">
        <f t="shared" si="2045"/>
        <v>0</v>
      </c>
      <c r="AS443" s="94">
        <f t="shared" ref="AS443:AS458" si="2048">-BC443</f>
        <v>0.76085400000000003</v>
      </c>
      <c r="AT443" s="94">
        <f t="shared" si="2042"/>
        <v>0.76085400000000003</v>
      </c>
      <c r="AU443" s="94">
        <f t="shared" si="2043"/>
        <v>0.76085400000000003</v>
      </c>
      <c r="AV443" s="94">
        <f t="shared" si="2040"/>
        <v>0</v>
      </c>
      <c r="AW443" s="94">
        <f t="shared" ref="AW443:AW449" si="2049">-BH443</f>
        <v>0</v>
      </c>
      <c r="AX443" s="94">
        <f t="shared" si="2041"/>
        <v>0</v>
      </c>
      <c r="AY443" s="94">
        <f t="shared" ref="AY443:AY450" si="2050">-BO443</f>
        <v>0</v>
      </c>
      <c r="AZ443" s="433">
        <f t="shared" ref="AZ443:AZ457" si="2051">-BU443</f>
        <v>0</v>
      </c>
      <c r="BA443" s="657">
        <v>-6.6123000000000001E-2</v>
      </c>
      <c r="BB443" s="327">
        <v>0</v>
      </c>
      <c r="BC443" s="207">
        <f>-0.760854</f>
        <v>-0.76085400000000003</v>
      </c>
      <c r="BD443" s="132">
        <v>0</v>
      </c>
      <c r="BE443" s="132">
        <v>-0.76085400000000003</v>
      </c>
      <c r="BF443" s="132">
        <v>-0.76085400000000003</v>
      </c>
      <c r="BG443" s="207">
        <v>-0.76085400000000003</v>
      </c>
      <c r="BH443" s="207">
        <v>0</v>
      </c>
      <c r="BI443" s="132">
        <v>0</v>
      </c>
      <c r="BJ443" s="132">
        <v>0</v>
      </c>
      <c r="BK443" s="132">
        <v>0</v>
      </c>
      <c r="BL443" s="132">
        <v>0</v>
      </c>
      <c r="BM443" s="132">
        <v>0</v>
      </c>
      <c r="BN443" s="409">
        <v>0</v>
      </c>
      <c r="BO443" s="207">
        <v>0</v>
      </c>
      <c r="BP443" s="389">
        <v>0</v>
      </c>
      <c r="BQ443" s="389">
        <v>0</v>
      </c>
      <c r="BR443" s="389">
        <v>0</v>
      </c>
      <c r="BS443" s="296">
        <v>0</v>
      </c>
      <c r="BT443" s="296">
        <v>0</v>
      </c>
      <c r="BU443" s="296">
        <v>0</v>
      </c>
      <c r="BV443" s="409">
        <v>0</v>
      </c>
      <c r="BW443" s="296">
        <f t="shared" si="2047"/>
        <v>0</v>
      </c>
      <c r="BX443" s="439" t="s">
        <v>1509</v>
      </c>
    </row>
    <row r="444" spans="1:76" ht="90.95" hidden="1" customHeight="1" outlineLevel="1" x14ac:dyDescent="0.25">
      <c r="A444" s="678">
        <v>53</v>
      </c>
      <c r="B444" s="702" t="s">
        <v>242</v>
      </c>
      <c r="C444" s="694" t="s">
        <v>242</v>
      </c>
      <c r="D444" s="266">
        <v>44446</v>
      </c>
      <c r="E444" s="463" t="s">
        <v>1776</v>
      </c>
      <c r="F444" s="542" t="s">
        <v>1611</v>
      </c>
      <c r="G444" s="242" t="s">
        <v>225</v>
      </c>
      <c r="H444" s="311" t="s">
        <v>130</v>
      </c>
      <c r="I444" s="335"/>
      <c r="J444" s="294">
        <f t="shared" si="1900"/>
        <v>2.3452862311130026E-6</v>
      </c>
      <c r="K444" s="52">
        <f t="shared" si="1901"/>
        <v>0</v>
      </c>
      <c r="L444" s="52">
        <f t="shared" si="1902"/>
        <v>1.8972453476983348E-5</v>
      </c>
      <c r="M444" s="52">
        <f t="shared" si="1968"/>
        <v>1.9763662288887103E-5</v>
      </c>
      <c r="N444" s="52">
        <f t="shared" si="1969"/>
        <v>1.8455274790719512E-5</v>
      </c>
      <c r="O444" s="52">
        <f t="shared" si="1970"/>
        <v>0</v>
      </c>
      <c r="P444" s="52">
        <f t="shared" si="1971"/>
        <v>0</v>
      </c>
      <c r="Q444" s="52">
        <f t="shared" si="1972"/>
        <v>0</v>
      </c>
      <c r="R444" s="52">
        <f t="shared" si="1973"/>
        <v>0</v>
      </c>
      <c r="S444" s="527">
        <f t="shared" si="1909"/>
        <v>0</v>
      </c>
      <c r="T444" s="533">
        <f t="shared" si="1974"/>
        <v>-2.3452862311130026E-6</v>
      </c>
      <c r="U444" s="375">
        <f t="shared" si="1911"/>
        <v>0</v>
      </c>
      <c r="V444" s="375">
        <f t="shared" si="1912"/>
        <v>-1.8972453476983348E-5</v>
      </c>
      <c r="W444" s="386">
        <f t="shared" si="1913"/>
        <v>0</v>
      </c>
      <c r="X444" s="386">
        <f t="shared" si="1914"/>
        <v>0</v>
      </c>
      <c r="Y444" s="386">
        <f t="shared" si="2039"/>
        <v>0</v>
      </c>
      <c r="Z444" s="375">
        <f t="shared" si="2006"/>
        <v>-1.8455274790719512E-5</v>
      </c>
      <c r="AA444" s="375">
        <f t="shared" si="1917"/>
        <v>0</v>
      </c>
      <c r="AB444" s="386">
        <f t="shared" si="1918"/>
        <v>0</v>
      </c>
      <c r="AC444" s="386">
        <f t="shared" si="1975"/>
        <v>0</v>
      </c>
      <c r="AD444" s="386">
        <f t="shared" si="1976"/>
        <v>0</v>
      </c>
      <c r="AE444" s="386">
        <f t="shared" si="1977"/>
        <v>0</v>
      </c>
      <c r="AF444" s="386">
        <f t="shared" si="1978"/>
        <v>0</v>
      </c>
      <c r="AG444" s="375">
        <f t="shared" si="1979"/>
        <v>0</v>
      </c>
      <c r="AH444" s="375">
        <f t="shared" si="1980"/>
        <v>0</v>
      </c>
      <c r="AI444" s="386">
        <f t="shared" si="1981"/>
        <v>0</v>
      </c>
      <c r="AJ444" s="386">
        <f t="shared" si="1982"/>
        <v>0</v>
      </c>
      <c r="AK444" s="386">
        <f t="shared" si="1983"/>
        <v>0</v>
      </c>
      <c r="AL444" s="377">
        <f t="shared" si="1984"/>
        <v>0</v>
      </c>
      <c r="AM444" s="377">
        <f t="shared" si="1985"/>
        <v>0</v>
      </c>
      <c r="AN444" s="377">
        <f t="shared" si="1986"/>
        <v>0</v>
      </c>
      <c r="AO444" s="283"/>
      <c r="AP444" s="295">
        <f t="shared" si="1987"/>
        <v>0.61986799999999997</v>
      </c>
      <c r="AQ444" s="20">
        <f t="shared" si="2044"/>
        <v>6.6123000000000001E-2</v>
      </c>
      <c r="AR444" s="95">
        <f t="shared" si="2045"/>
        <v>0</v>
      </c>
      <c r="AS444" s="94">
        <f t="shared" si="2048"/>
        <v>0.61986799999999997</v>
      </c>
      <c r="AT444" s="94">
        <f t="shared" si="2042"/>
        <v>0.61986799999999997</v>
      </c>
      <c r="AU444" s="94">
        <f t="shared" si="2043"/>
        <v>0.61986799999999997</v>
      </c>
      <c r="AV444" s="94">
        <f t="shared" si="2040"/>
        <v>0</v>
      </c>
      <c r="AW444" s="94">
        <f t="shared" si="2049"/>
        <v>0</v>
      </c>
      <c r="AX444" s="94">
        <f t="shared" si="2041"/>
        <v>0</v>
      </c>
      <c r="AY444" s="94">
        <f t="shared" si="2050"/>
        <v>0</v>
      </c>
      <c r="AZ444" s="433">
        <f t="shared" si="2051"/>
        <v>0</v>
      </c>
      <c r="BA444" s="657">
        <v>-6.6123000000000001E-2</v>
      </c>
      <c r="BB444" s="327">
        <v>0</v>
      </c>
      <c r="BC444" s="207">
        <f>-0.619868</f>
        <v>-0.61986799999999997</v>
      </c>
      <c r="BD444" s="132">
        <v>0</v>
      </c>
      <c r="BE444" s="132">
        <f>0</f>
        <v>0</v>
      </c>
      <c r="BF444" s="132">
        <f>0</f>
        <v>0</v>
      </c>
      <c r="BG444" s="207">
        <v>-0.61986799999999997</v>
      </c>
      <c r="BH444" s="207">
        <v>0</v>
      </c>
      <c r="BI444" s="132">
        <v>0</v>
      </c>
      <c r="BJ444" s="132">
        <v>0</v>
      </c>
      <c r="BK444" s="132">
        <v>0</v>
      </c>
      <c r="BL444" s="132">
        <v>0</v>
      </c>
      <c r="BM444" s="132">
        <v>0</v>
      </c>
      <c r="BN444" s="409">
        <v>0</v>
      </c>
      <c r="BO444" s="207">
        <v>0</v>
      </c>
      <c r="BP444" s="389">
        <v>0</v>
      </c>
      <c r="BQ444" s="389">
        <v>0</v>
      </c>
      <c r="BR444" s="389">
        <v>0</v>
      </c>
      <c r="BS444" s="296">
        <v>0</v>
      </c>
      <c r="BT444" s="296">
        <v>0</v>
      </c>
      <c r="BU444" s="296">
        <v>0</v>
      </c>
      <c r="BV444" s="409">
        <v>0</v>
      </c>
      <c r="BW444" s="296">
        <f t="shared" si="2047"/>
        <v>0</v>
      </c>
      <c r="BX444" s="439" t="s">
        <v>1609</v>
      </c>
    </row>
    <row r="445" spans="1:76" ht="90.95" hidden="1" customHeight="1" outlineLevel="1" x14ac:dyDescent="0.25">
      <c r="A445" s="678">
        <v>54</v>
      </c>
      <c r="B445" s="702" t="s">
        <v>242</v>
      </c>
      <c r="C445" s="694" t="s">
        <v>242</v>
      </c>
      <c r="D445" s="266">
        <v>44489</v>
      </c>
      <c r="E445" s="463" t="s">
        <v>1777</v>
      </c>
      <c r="F445" s="542" t="s">
        <v>1611</v>
      </c>
      <c r="G445" s="242" t="s">
        <v>225</v>
      </c>
      <c r="H445" s="311" t="s">
        <v>130</v>
      </c>
      <c r="I445" s="335"/>
      <c r="J445" s="294">
        <f t="shared" ref="J445:J450" si="2052">AQ445/T$8</f>
        <v>2.3452862311130026E-6</v>
      </c>
      <c r="K445" s="52">
        <f t="shared" ref="K445:K453" si="2053">AR445/U$8</f>
        <v>0</v>
      </c>
      <c r="L445" s="52">
        <f t="shared" ref="L445:L457" si="2054">AS445/V$8</f>
        <v>5.175281586679726E-5</v>
      </c>
      <c r="M445" s="52">
        <f t="shared" si="1968"/>
        <v>5.3911065141426818E-5</v>
      </c>
      <c r="N445" s="52">
        <f t="shared" si="1969"/>
        <v>1.5157121029771155E-5</v>
      </c>
      <c r="O445" s="52">
        <f t="shared" si="1970"/>
        <v>0</v>
      </c>
      <c r="P445" s="52">
        <f t="shared" si="1971"/>
        <v>0</v>
      </c>
      <c r="Q445" s="52">
        <f t="shared" si="1972"/>
        <v>0</v>
      </c>
      <c r="R445" s="52">
        <f t="shared" si="1973"/>
        <v>0</v>
      </c>
      <c r="S445" s="527">
        <f t="shared" ref="S445:S457" si="2055">AZ445/AN$8</f>
        <v>0</v>
      </c>
      <c r="T445" s="533">
        <f t="shared" ref="T445:T457" si="2056">BA445/T$8</f>
        <v>-2.3452862311130026E-6</v>
      </c>
      <c r="U445" s="375">
        <f t="shared" ref="U445:U457" si="2057">BB445/U$8</f>
        <v>0</v>
      </c>
      <c r="V445" s="375">
        <f t="shared" ref="V445:V457" si="2058">BC445/V$8</f>
        <v>-5.175281586679726E-5</v>
      </c>
      <c r="W445" s="386">
        <f t="shared" ref="W445:W457" si="2059">BD445/W$8</f>
        <v>0</v>
      </c>
      <c r="X445" s="386">
        <f t="shared" ref="X445:X452" si="2060">BE445/X$8</f>
        <v>0</v>
      </c>
      <c r="Y445" s="386">
        <f t="shared" ref="Y445:Y452" si="2061">BF445/Y$8</f>
        <v>0</v>
      </c>
      <c r="Z445" s="375">
        <f t="shared" si="2006"/>
        <v>-1.5157121029771155E-5</v>
      </c>
      <c r="AA445" s="375">
        <f t="shared" ref="AA445:AA457" si="2062">BH445/AA$8</f>
        <v>0</v>
      </c>
      <c r="AB445" s="386">
        <f t="shared" ref="AB445:AB457" si="2063">BI445/AB$8</f>
        <v>0</v>
      </c>
      <c r="AC445" s="386">
        <f t="shared" si="1975"/>
        <v>0</v>
      </c>
      <c r="AD445" s="386">
        <f t="shared" si="1976"/>
        <v>0</v>
      </c>
      <c r="AE445" s="386">
        <f t="shared" si="1977"/>
        <v>0</v>
      </c>
      <c r="AF445" s="386">
        <f t="shared" si="1978"/>
        <v>0</v>
      </c>
      <c r="AG445" s="375">
        <f t="shared" si="1979"/>
        <v>0</v>
      </c>
      <c r="AH445" s="375">
        <f t="shared" si="1980"/>
        <v>0</v>
      </c>
      <c r="AI445" s="386">
        <f t="shared" si="1981"/>
        <v>0</v>
      </c>
      <c r="AJ445" s="386">
        <f t="shared" si="1982"/>
        <v>0</v>
      </c>
      <c r="AK445" s="386">
        <f t="shared" si="1983"/>
        <v>0</v>
      </c>
      <c r="AL445" s="377">
        <f t="shared" si="1984"/>
        <v>0</v>
      </c>
      <c r="AM445" s="377">
        <f t="shared" si="1985"/>
        <v>0</v>
      </c>
      <c r="AN445" s="377">
        <f t="shared" si="1986"/>
        <v>0</v>
      </c>
      <c r="AO445" s="283"/>
      <c r="AP445" s="295">
        <f t="shared" si="1987"/>
        <v>0.50909099999999996</v>
      </c>
      <c r="AQ445" s="20">
        <f t="shared" si="2044"/>
        <v>6.6123000000000001E-2</v>
      </c>
      <c r="AR445" s="95">
        <f t="shared" si="2045"/>
        <v>0</v>
      </c>
      <c r="AS445" s="94">
        <f t="shared" si="2048"/>
        <v>1.690868</v>
      </c>
      <c r="AT445" s="94">
        <f t="shared" si="2042"/>
        <v>1.690868</v>
      </c>
      <c r="AU445" s="94">
        <f t="shared" si="2043"/>
        <v>0.50909099999999996</v>
      </c>
      <c r="AV445" s="94">
        <f t="shared" si="2040"/>
        <v>0</v>
      </c>
      <c r="AW445" s="94">
        <f t="shared" si="2049"/>
        <v>0</v>
      </c>
      <c r="AX445" s="94">
        <f t="shared" si="2041"/>
        <v>0</v>
      </c>
      <c r="AY445" s="94">
        <f t="shared" si="2050"/>
        <v>0</v>
      </c>
      <c r="AZ445" s="433">
        <f t="shared" si="2051"/>
        <v>0</v>
      </c>
      <c r="BA445" s="657">
        <v>-6.6123000000000001E-2</v>
      </c>
      <c r="BB445" s="327">
        <v>0</v>
      </c>
      <c r="BC445" s="207">
        <f>-1.690868</f>
        <v>-1.690868</v>
      </c>
      <c r="BD445" s="132">
        <v>0</v>
      </c>
      <c r="BE445" s="132">
        <f>0</f>
        <v>0</v>
      </c>
      <c r="BF445" s="132">
        <f>0</f>
        <v>0</v>
      </c>
      <c r="BG445" s="207">
        <v>-0.50909099999999996</v>
      </c>
      <c r="BH445" s="207">
        <v>0</v>
      </c>
      <c r="BI445" s="132">
        <v>0</v>
      </c>
      <c r="BJ445" s="132">
        <v>0</v>
      </c>
      <c r="BK445" s="132">
        <v>0</v>
      </c>
      <c r="BL445" s="132">
        <v>0</v>
      </c>
      <c r="BM445" s="132">
        <v>0</v>
      </c>
      <c r="BN445" s="409">
        <v>0</v>
      </c>
      <c r="BO445" s="207">
        <v>0</v>
      </c>
      <c r="BP445" s="389">
        <v>0</v>
      </c>
      <c r="BQ445" s="389">
        <v>0</v>
      </c>
      <c r="BR445" s="389">
        <v>0</v>
      </c>
      <c r="BS445" s="296">
        <v>0</v>
      </c>
      <c r="BT445" s="296">
        <v>0</v>
      </c>
      <c r="BU445" s="296">
        <v>0</v>
      </c>
      <c r="BV445" s="409">
        <v>0</v>
      </c>
      <c r="BW445" s="296">
        <f t="shared" si="2047"/>
        <v>0</v>
      </c>
      <c r="BX445" s="439" t="s">
        <v>1672</v>
      </c>
    </row>
    <row r="446" spans="1:76" ht="90.95" hidden="1" customHeight="1" outlineLevel="1" x14ac:dyDescent="0.25">
      <c r="A446" s="678">
        <v>55</v>
      </c>
      <c r="B446" s="702" t="s">
        <v>242</v>
      </c>
      <c r="C446" s="694" t="s">
        <v>242</v>
      </c>
      <c r="D446" s="266">
        <v>44508</v>
      </c>
      <c r="E446" s="463" t="s">
        <v>1778</v>
      </c>
      <c r="F446" s="542" t="s">
        <v>1611</v>
      </c>
      <c r="G446" s="242" t="s">
        <v>225</v>
      </c>
      <c r="H446" s="311" t="s">
        <v>130</v>
      </c>
      <c r="I446" s="335"/>
      <c r="J446" s="294">
        <f t="shared" si="2052"/>
        <v>2.3452862311130026E-6</v>
      </c>
      <c r="K446" s="52">
        <f t="shared" si="2053"/>
        <v>0</v>
      </c>
      <c r="L446" s="52">
        <f t="shared" si="2054"/>
        <v>2.9984267874632713E-5</v>
      </c>
      <c r="M446" s="52">
        <f t="shared" si="1968"/>
        <v>3.1234702721642506E-5</v>
      </c>
      <c r="N446" s="52">
        <f t="shared" si="1969"/>
        <v>1.5165993357246738E-5</v>
      </c>
      <c r="O446" s="52">
        <f t="shared" si="1970"/>
        <v>0</v>
      </c>
      <c r="P446" s="52">
        <f t="shared" si="1971"/>
        <v>0</v>
      </c>
      <c r="Q446" s="52">
        <f t="shared" si="1972"/>
        <v>0</v>
      </c>
      <c r="R446" s="52">
        <f t="shared" si="1973"/>
        <v>0</v>
      </c>
      <c r="S446" s="527">
        <f t="shared" si="2055"/>
        <v>0</v>
      </c>
      <c r="T446" s="533">
        <f t="shared" si="2056"/>
        <v>-2.3452862311130026E-6</v>
      </c>
      <c r="U446" s="375">
        <f t="shared" si="2057"/>
        <v>0</v>
      </c>
      <c r="V446" s="375">
        <f t="shared" si="2058"/>
        <v>-2.9984267874632713E-5</v>
      </c>
      <c r="W446" s="386">
        <f t="shared" si="2059"/>
        <v>-3.2648905365747301E-5</v>
      </c>
      <c r="X446" s="386">
        <f t="shared" si="2060"/>
        <v>0</v>
      </c>
      <c r="Y446" s="386">
        <f t="shared" si="2061"/>
        <v>0</v>
      </c>
      <c r="Z446" s="375">
        <f t="shared" si="2006"/>
        <v>-1.5165993357246738E-5</v>
      </c>
      <c r="AA446" s="375">
        <f t="shared" si="2062"/>
        <v>0</v>
      </c>
      <c r="AB446" s="386">
        <f t="shared" si="2063"/>
        <v>0</v>
      </c>
      <c r="AC446" s="386">
        <f t="shared" si="1975"/>
        <v>0</v>
      </c>
      <c r="AD446" s="386">
        <f t="shared" si="1976"/>
        <v>0</v>
      </c>
      <c r="AE446" s="386">
        <f t="shared" si="1977"/>
        <v>0</v>
      </c>
      <c r="AF446" s="386">
        <f t="shared" si="1978"/>
        <v>0</v>
      </c>
      <c r="AG446" s="375">
        <f t="shared" si="1979"/>
        <v>0</v>
      </c>
      <c r="AH446" s="375">
        <f t="shared" si="1980"/>
        <v>0</v>
      </c>
      <c r="AI446" s="386">
        <f t="shared" si="1981"/>
        <v>0</v>
      </c>
      <c r="AJ446" s="386">
        <f t="shared" si="1982"/>
        <v>0</v>
      </c>
      <c r="AK446" s="386">
        <f t="shared" si="1983"/>
        <v>0</v>
      </c>
      <c r="AL446" s="377">
        <f t="shared" si="1984"/>
        <v>0</v>
      </c>
      <c r="AM446" s="377">
        <f t="shared" si="1985"/>
        <v>0</v>
      </c>
      <c r="AN446" s="377">
        <f t="shared" si="1986"/>
        <v>0</v>
      </c>
      <c r="AO446" s="283"/>
      <c r="AP446" s="295">
        <f t="shared" si="1987"/>
        <v>0.50938899999999998</v>
      </c>
      <c r="AQ446" s="20">
        <f t="shared" si="2044"/>
        <v>6.6123000000000001E-2</v>
      </c>
      <c r="AR446" s="95">
        <f t="shared" si="2045"/>
        <v>0</v>
      </c>
      <c r="AS446" s="94">
        <f t="shared" si="2048"/>
        <v>0.97964600000000002</v>
      </c>
      <c r="AT446" s="94">
        <f t="shared" si="2042"/>
        <v>0.97964600000000002</v>
      </c>
      <c r="AU446" s="94">
        <f t="shared" si="2043"/>
        <v>0.50938899999999998</v>
      </c>
      <c r="AV446" s="94">
        <f t="shared" si="2040"/>
        <v>0</v>
      </c>
      <c r="AW446" s="94">
        <f t="shared" si="2049"/>
        <v>0</v>
      </c>
      <c r="AX446" s="94">
        <f t="shared" si="2041"/>
        <v>0</v>
      </c>
      <c r="AY446" s="94">
        <f t="shared" si="2050"/>
        <v>0</v>
      </c>
      <c r="AZ446" s="433">
        <f t="shared" si="2051"/>
        <v>0</v>
      </c>
      <c r="BA446" s="657">
        <v>-6.6123000000000001E-2</v>
      </c>
      <c r="BB446" s="327">
        <v>0</v>
      </c>
      <c r="BC446" s="207">
        <f>-0.979646</f>
        <v>-0.97964600000000002</v>
      </c>
      <c r="BD446" s="132">
        <v>-1</v>
      </c>
      <c r="BE446" s="132">
        <f>0</f>
        <v>0</v>
      </c>
      <c r="BF446" s="132">
        <f>0</f>
        <v>0</v>
      </c>
      <c r="BG446" s="207">
        <v>-0.50938899999999998</v>
      </c>
      <c r="BH446" s="207">
        <v>0</v>
      </c>
      <c r="BI446" s="132">
        <v>0</v>
      </c>
      <c r="BJ446" s="132">
        <v>0</v>
      </c>
      <c r="BK446" s="132">
        <v>0</v>
      </c>
      <c r="BL446" s="132">
        <v>0</v>
      </c>
      <c r="BM446" s="132">
        <v>0</v>
      </c>
      <c r="BN446" s="409">
        <v>0</v>
      </c>
      <c r="BO446" s="207">
        <v>0</v>
      </c>
      <c r="BP446" s="389">
        <v>0</v>
      </c>
      <c r="BQ446" s="389">
        <v>0</v>
      </c>
      <c r="BR446" s="389">
        <v>0</v>
      </c>
      <c r="BS446" s="296">
        <v>0</v>
      </c>
      <c r="BT446" s="296">
        <v>0</v>
      </c>
      <c r="BU446" s="296">
        <v>0</v>
      </c>
      <c r="BV446" s="409">
        <v>0</v>
      </c>
      <c r="BW446" s="296">
        <f t="shared" si="2047"/>
        <v>0</v>
      </c>
      <c r="BX446" s="443" t="s">
        <v>1775</v>
      </c>
    </row>
    <row r="447" spans="1:76" ht="90.95" hidden="1" customHeight="1" outlineLevel="1" x14ac:dyDescent="0.25">
      <c r="A447" s="678">
        <v>56</v>
      </c>
      <c r="B447" s="702" t="s">
        <v>242</v>
      </c>
      <c r="C447" s="694" t="s">
        <v>242</v>
      </c>
      <c r="D447" s="275">
        <v>44531</v>
      </c>
      <c r="E447" s="463" t="s">
        <v>1851</v>
      </c>
      <c r="F447" s="542" t="s">
        <v>1611</v>
      </c>
      <c r="G447" s="242" t="s">
        <v>225</v>
      </c>
      <c r="H447" s="311" t="s">
        <v>130</v>
      </c>
      <c r="I447" s="335"/>
      <c r="J447" s="294">
        <f t="shared" si="2052"/>
        <v>2.3452862311130026E-6</v>
      </c>
      <c r="K447" s="52">
        <f t="shared" si="2053"/>
        <v>0</v>
      </c>
      <c r="L447" s="52">
        <f t="shared" si="2054"/>
        <v>2.7469423359451517E-5</v>
      </c>
      <c r="M447" s="52">
        <f t="shared" si="1968"/>
        <v>2.8614981568160778E-5</v>
      </c>
      <c r="N447" s="52">
        <f t="shared" si="1969"/>
        <v>2.6720621929910459E-5</v>
      </c>
      <c r="O447" s="52">
        <f t="shared" si="1970"/>
        <v>0</v>
      </c>
      <c r="P447" s="52">
        <f t="shared" si="1971"/>
        <v>0</v>
      </c>
      <c r="Q447" s="52">
        <f t="shared" si="1972"/>
        <v>0</v>
      </c>
      <c r="R447" s="52">
        <f t="shared" si="1973"/>
        <v>0</v>
      </c>
      <c r="S447" s="527">
        <f t="shared" si="2055"/>
        <v>0</v>
      </c>
      <c r="T447" s="533">
        <f t="shared" si="2056"/>
        <v>-2.3452862311130026E-6</v>
      </c>
      <c r="U447" s="375">
        <f t="shared" si="2057"/>
        <v>0</v>
      </c>
      <c r="V447" s="375">
        <f t="shared" si="2058"/>
        <v>-2.7469423359451517E-5</v>
      </c>
      <c r="W447" s="386">
        <f t="shared" si="2059"/>
        <v>-3.2648905365747301E-5</v>
      </c>
      <c r="X447" s="386">
        <f t="shared" si="2060"/>
        <v>0</v>
      </c>
      <c r="Y447" s="386">
        <f t="shared" si="2061"/>
        <v>0</v>
      </c>
      <c r="Z447" s="375">
        <f t="shared" si="2006"/>
        <v>-2.6720621929910459E-5</v>
      </c>
      <c r="AA447" s="375">
        <f t="shared" si="2062"/>
        <v>0</v>
      </c>
      <c r="AB447" s="386">
        <f t="shared" si="2063"/>
        <v>0</v>
      </c>
      <c r="AC447" s="386">
        <f t="shared" si="1975"/>
        <v>0</v>
      </c>
      <c r="AD447" s="386">
        <f t="shared" si="1976"/>
        <v>0</v>
      </c>
      <c r="AE447" s="386">
        <f t="shared" si="1977"/>
        <v>0</v>
      </c>
      <c r="AF447" s="386">
        <f t="shared" si="1978"/>
        <v>0</v>
      </c>
      <c r="AG447" s="375">
        <f t="shared" si="1979"/>
        <v>0</v>
      </c>
      <c r="AH447" s="375">
        <f t="shared" si="1980"/>
        <v>0</v>
      </c>
      <c r="AI447" s="386">
        <f t="shared" si="1981"/>
        <v>0</v>
      </c>
      <c r="AJ447" s="386">
        <f t="shared" si="1982"/>
        <v>0</v>
      </c>
      <c r="AK447" s="386">
        <f t="shared" si="1983"/>
        <v>0</v>
      </c>
      <c r="AL447" s="377">
        <f t="shared" si="1984"/>
        <v>0</v>
      </c>
      <c r="AM447" s="377">
        <f t="shared" si="1985"/>
        <v>0</v>
      </c>
      <c r="AN447" s="377">
        <f t="shared" si="1986"/>
        <v>0</v>
      </c>
      <c r="AO447" s="283"/>
      <c r="AP447" s="295">
        <f t="shared" si="1987"/>
        <v>0.89748099999999997</v>
      </c>
      <c r="AQ447" s="20">
        <f t="shared" si="2044"/>
        <v>6.6123000000000001E-2</v>
      </c>
      <c r="AR447" s="95">
        <f t="shared" si="2045"/>
        <v>0</v>
      </c>
      <c r="AS447" s="94">
        <f t="shared" si="2048"/>
        <v>0.89748099999999997</v>
      </c>
      <c r="AT447" s="94">
        <f t="shared" si="2042"/>
        <v>0.89748099999999997</v>
      </c>
      <c r="AU447" s="94">
        <f t="shared" si="2043"/>
        <v>0.89748099999999997</v>
      </c>
      <c r="AV447" s="94">
        <f t="shared" si="2040"/>
        <v>0</v>
      </c>
      <c r="AW447" s="94">
        <f t="shared" si="2049"/>
        <v>0</v>
      </c>
      <c r="AX447" s="94">
        <f t="shared" si="2041"/>
        <v>0</v>
      </c>
      <c r="AY447" s="94">
        <f t="shared" si="2050"/>
        <v>0</v>
      </c>
      <c r="AZ447" s="433">
        <f t="shared" si="2051"/>
        <v>0</v>
      </c>
      <c r="BA447" s="657">
        <v>-6.6123000000000001E-2</v>
      </c>
      <c r="BB447" s="327">
        <v>0</v>
      </c>
      <c r="BC447" s="207">
        <f>-0.897481</f>
        <v>-0.89748099999999997</v>
      </c>
      <c r="BD447" s="132">
        <v>-1</v>
      </c>
      <c r="BE447" s="132">
        <f>0</f>
        <v>0</v>
      </c>
      <c r="BF447" s="132">
        <f>0</f>
        <v>0</v>
      </c>
      <c r="BG447" s="207">
        <v>-0.89748099999999997</v>
      </c>
      <c r="BH447" s="207">
        <v>0</v>
      </c>
      <c r="BI447" s="132">
        <v>0</v>
      </c>
      <c r="BJ447" s="132">
        <v>0</v>
      </c>
      <c r="BK447" s="132">
        <v>0</v>
      </c>
      <c r="BL447" s="132">
        <v>0</v>
      </c>
      <c r="BM447" s="132">
        <v>0</v>
      </c>
      <c r="BN447" s="409">
        <v>0</v>
      </c>
      <c r="BO447" s="207">
        <v>0</v>
      </c>
      <c r="BP447" s="389">
        <v>0</v>
      </c>
      <c r="BQ447" s="389">
        <v>0</v>
      </c>
      <c r="BR447" s="389">
        <v>0</v>
      </c>
      <c r="BS447" s="296">
        <v>0</v>
      </c>
      <c r="BT447" s="296">
        <v>0</v>
      </c>
      <c r="BU447" s="296">
        <v>0</v>
      </c>
      <c r="BV447" s="409">
        <v>0</v>
      </c>
      <c r="BW447" s="296">
        <f t="shared" si="2047"/>
        <v>0</v>
      </c>
      <c r="BX447" s="443" t="s">
        <v>1814</v>
      </c>
    </row>
    <row r="448" spans="1:76" ht="90.95" hidden="1" customHeight="1" outlineLevel="1" x14ac:dyDescent="0.25">
      <c r="A448" s="678">
        <v>57</v>
      </c>
      <c r="B448" s="702" t="s">
        <v>242</v>
      </c>
      <c r="C448" s="694" t="s">
        <v>242</v>
      </c>
      <c r="D448" s="644">
        <v>44531</v>
      </c>
      <c r="E448" s="463" t="s">
        <v>1852</v>
      </c>
      <c r="F448" s="542" t="s">
        <v>1810</v>
      </c>
      <c r="G448" s="242" t="s">
        <v>225</v>
      </c>
      <c r="H448" s="311" t="s">
        <v>130</v>
      </c>
      <c r="I448" s="335"/>
      <c r="J448" s="294">
        <f t="shared" si="2052"/>
        <v>2.3452862311130026E-6</v>
      </c>
      <c r="K448" s="52">
        <f t="shared" si="2053"/>
        <v>0</v>
      </c>
      <c r="L448" s="52">
        <f t="shared" si="2054"/>
        <v>4.9184010773751227E-6</v>
      </c>
      <c r="M448" s="52">
        <f t="shared" si="1968"/>
        <v>5.1235133090439001E-6</v>
      </c>
      <c r="N448" s="52">
        <f t="shared" si="1969"/>
        <v>2.3246093444246161E-6</v>
      </c>
      <c r="O448" s="52">
        <f t="shared" si="1970"/>
        <v>0</v>
      </c>
      <c r="P448" s="52">
        <f t="shared" si="1971"/>
        <v>0</v>
      </c>
      <c r="Q448" s="52">
        <f t="shared" si="1972"/>
        <v>0</v>
      </c>
      <c r="R448" s="52">
        <f t="shared" si="1973"/>
        <v>0</v>
      </c>
      <c r="S448" s="527">
        <f t="shared" si="2055"/>
        <v>0</v>
      </c>
      <c r="T448" s="533">
        <f t="shared" si="2056"/>
        <v>-2.3452862311130026E-6</v>
      </c>
      <c r="U448" s="375">
        <f t="shared" si="2057"/>
        <v>0</v>
      </c>
      <c r="V448" s="375">
        <f t="shared" si="2058"/>
        <v>-4.9184010773751227E-6</v>
      </c>
      <c r="W448" s="386">
        <f t="shared" si="2059"/>
        <v>0</v>
      </c>
      <c r="X448" s="386">
        <f t="shared" si="2060"/>
        <v>0</v>
      </c>
      <c r="Y448" s="386">
        <f t="shared" si="2061"/>
        <v>0</v>
      </c>
      <c r="Z448" s="375">
        <f t="shared" si="2006"/>
        <v>-2.3246093444246161E-6</v>
      </c>
      <c r="AA448" s="375">
        <f t="shared" si="2062"/>
        <v>0</v>
      </c>
      <c r="AB448" s="386">
        <f t="shared" si="2063"/>
        <v>0</v>
      </c>
      <c r="AC448" s="386">
        <f t="shared" si="1975"/>
        <v>0</v>
      </c>
      <c r="AD448" s="386">
        <f t="shared" si="1976"/>
        <v>0</v>
      </c>
      <c r="AE448" s="386">
        <f t="shared" si="1977"/>
        <v>0</v>
      </c>
      <c r="AF448" s="386">
        <f t="shared" si="1978"/>
        <v>0</v>
      </c>
      <c r="AG448" s="375">
        <f t="shared" si="1979"/>
        <v>0</v>
      </c>
      <c r="AH448" s="375">
        <f t="shared" si="1980"/>
        <v>0</v>
      </c>
      <c r="AI448" s="386">
        <f t="shared" si="1981"/>
        <v>0</v>
      </c>
      <c r="AJ448" s="386">
        <f t="shared" si="1982"/>
        <v>0</v>
      </c>
      <c r="AK448" s="386">
        <f t="shared" si="1983"/>
        <v>0</v>
      </c>
      <c r="AL448" s="377">
        <f t="shared" si="1984"/>
        <v>0</v>
      </c>
      <c r="AM448" s="377">
        <f t="shared" si="1985"/>
        <v>0</v>
      </c>
      <c r="AN448" s="377">
        <f t="shared" si="1986"/>
        <v>0</v>
      </c>
      <c r="AO448" s="283"/>
      <c r="AP448" s="295">
        <f t="shared" si="1987"/>
        <v>7.8077999999999995E-2</v>
      </c>
      <c r="AQ448" s="20">
        <f t="shared" si="2044"/>
        <v>6.6123000000000001E-2</v>
      </c>
      <c r="AR448" s="95">
        <f t="shared" si="2045"/>
        <v>0</v>
      </c>
      <c r="AS448" s="94">
        <f t="shared" ref="AS448:AS457" si="2064">-BC448</f>
        <v>0.160694</v>
      </c>
      <c r="AT448" s="94">
        <f t="shared" si="2042"/>
        <v>0.160694</v>
      </c>
      <c r="AU448" s="94">
        <f t="shared" si="2043"/>
        <v>7.8077999999999995E-2</v>
      </c>
      <c r="AV448" s="94">
        <f t="shared" si="2040"/>
        <v>0</v>
      </c>
      <c r="AW448" s="94">
        <f t="shared" si="2049"/>
        <v>0</v>
      </c>
      <c r="AX448" s="94">
        <f t="shared" si="2041"/>
        <v>0</v>
      </c>
      <c r="AY448" s="94">
        <f t="shared" si="2050"/>
        <v>0</v>
      </c>
      <c r="AZ448" s="433">
        <f t="shared" si="2051"/>
        <v>0</v>
      </c>
      <c r="BA448" s="657">
        <v>-6.6123000000000001E-2</v>
      </c>
      <c r="BB448" s="327">
        <v>0</v>
      </c>
      <c r="BC448" s="207">
        <f>-0.160694</f>
        <v>-0.160694</v>
      </c>
      <c r="BD448" s="132">
        <v>0</v>
      </c>
      <c r="BE448" s="132">
        <f>0</f>
        <v>0</v>
      </c>
      <c r="BF448" s="132">
        <f>0</f>
        <v>0</v>
      </c>
      <c r="BG448" s="207">
        <v>-7.8077999999999995E-2</v>
      </c>
      <c r="BH448" s="207">
        <v>0</v>
      </c>
      <c r="BI448" s="132">
        <v>0</v>
      </c>
      <c r="BJ448" s="132">
        <v>0</v>
      </c>
      <c r="BK448" s="132">
        <v>0</v>
      </c>
      <c r="BL448" s="132">
        <v>0</v>
      </c>
      <c r="BM448" s="132">
        <v>0</v>
      </c>
      <c r="BN448" s="409">
        <v>0</v>
      </c>
      <c r="BO448" s="207">
        <v>0</v>
      </c>
      <c r="BP448" s="389">
        <v>0</v>
      </c>
      <c r="BQ448" s="389">
        <v>0</v>
      </c>
      <c r="BR448" s="389">
        <v>0</v>
      </c>
      <c r="BS448" s="296">
        <v>0</v>
      </c>
      <c r="BT448" s="296">
        <v>0</v>
      </c>
      <c r="BU448" s="296">
        <v>0</v>
      </c>
      <c r="BV448" s="409">
        <v>0</v>
      </c>
      <c r="BW448" s="296">
        <f t="shared" si="2047"/>
        <v>0</v>
      </c>
      <c r="BX448" s="443" t="s">
        <v>1864</v>
      </c>
    </row>
    <row r="449" spans="1:76" ht="90.95" hidden="1" customHeight="1" outlineLevel="1" x14ac:dyDescent="0.25">
      <c r="A449" s="678">
        <v>58</v>
      </c>
      <c r="B449" s="702" t="s">
        <v>242</v>
      </c>
      <c r="C449" s="694" t="s">
        <v>242</v>
      </c>
      <c r="D449" s="644">
        <v>44537</v>
      </c>
      <c r="E449" s="463" t="s">
        <v>1863</v>
      </c>
      <c r="F449" s="542" t="s">
        <v>1611</v>
      </c>
      <c r="G449" s="242" t="s">
        <v>225</v>
      </c>
      <c r="H449" s="311" t="s">
        <v>130</v>
      </c>
      <c r="I449" s="335"/>
      <c r="J449" s="294">
        <f t="shared" si="2052"/>
        <v>2.3452862311130026E-6</v>
      </c>
      <c r="K449" s="52">
        <f t="shared" si="2053"/>
        <v>0</v>
      </c>
      <c r="L449" s="52">
        <f t="shared" si="2054"/>
        <v>6.9684745347698331E-6</v>
      </c>
      <c r="M449" s="52">
        <f t="shared" ref="M449:M457" si="2065">AT449/Y$8</f>
        <v>7.2590810429963828E-6</v>
      </c>
      <c r="N449" s="52">
        <f t="shared" ref="N449:N457" si="2066">AU449/Z$8</f>
        <v>6.7785177371670644E-6</v>
      </c>
      <c r="O449" s="52">
        <f t="shared" si="1970"/>
        <v>0</v>
      </c>
      <c r="P449" s="52">
        <f t="shared" si="1971"/>
        <v>0</v>
      </c>
      <c r="Q449" s="52">
        <f t="shared" si="1972"/>
        <v>0</v>
      </c>
      <c r="R449" s="52">
        <f t="shared" si="1973"/>
        <v>0</v>
      </c>
      <c r="S449" s="527">
        <f t="shared" si="2055"/>
        <v>0</v>
      </c>
      <c r="T449" s="533">
        <f t="shared" si="2056"/>
        <v>-2.3452862311130026E-6</v>
      </c>
      <c r="U449" s="375">
        <f t="shared" si="2057"/>
        <v>0</v>
      </c>
      <c r="V449" s="375">
        <f t="shared" si="2058"/>
        <v>-6.9684745347698331E-6</v>
      </c>
      <c r="W449" s="386">
        <f t="shared" si="2059"/>
        <v>0</v>
      </c>
      <c r="X449" s="386">
        <f t="shared" si="2060"/>
        <v>0</v>
      </c>
      <c r="Y449" s="386">
        <f t="shared" si="2061"/>
        <v>0</v>
      </c>
      <c r="Z449" s="375">
        <f t="shared" ref="Z449:Z452" si="2067">BG449/Z$8</f>
        <v>-6.7785177371670644E-6</v>
      </c>
      <c r="AA449" s="375">
        <f t="shared" si="2062"/>
        <v>0</v>
      </c>
      <c r="AB449" s="386">
        <f t="shared" si="2063"/>
        <v>0</v>
      </c>
      <c r="AC449" s="386">
        <f t="shared" si="1975"/>
        <v>0</v>
      </c>
      <c r="AD449" s="386">
        <f t="shared" si="1976"/>
        <v>0</v>
      </c>
      <c r="AE449" s="386">
        <f t="shared" si="1977"/>
        <v>0</v>
      </c>
      <c r="AF449" s="386">
        <f t="shared" si="1978"/>
        <v>0</v>
      </c>
      <c r="AG449" s="375">
        <f t="shared" si="1979"/>
        <v>0</v>
      </c>
      <c r="AH449" s="375">
        <f t="shared" si="1980"/>
        <v>0</v>
      </c>
      <c r="AI449" s="386">
        <f t="shared" si="1981"/>
        <v>0</v>
      </c>
      <c r="AJ449" s="386">
        <f t="shared" si="1982"/>
        <v>0</v>
      </c>
      <c r="AK449" s="386">
        <f t="shared" si="1983"/>
        <v>0</v>
      </c>
      <c r="AL449" s="377">
        <f t="shared" si="1984"/>
        <v>0</v>
      </c>
      <c r="AM449" s="377">
        <f t="shared" si="1985"/>
        <v>0</v>
      </c>
      <c r="AN449" s="377">
        <f t="shared" si="1986"/>
        <v>0</v>
      </c>
      <c r="AO449" s="283"/>
      <c r="AP449" s="295">
        <f>AR449+AU449+AZ449+AW449+AY449</f>
        <v>0.22767399999999999</v>
      </c>
      <c r="AQ449" s="20">
        <f t="shared" si="2044"/>
        <v>6.6123000000000001E-2</v>
      </c>
      <c r="AR449" s="95">
        <f t="shared" si="2045"/>
        <v>0</v>
      </c>
      <c r="AS449" s="94">
        <f t="shared" si="2064"/>
        <v>0.22767399999999999</v>
      </c>
      <c r="AT449" s="94">
        <f t="shared" ref="AT449:AT457" si="2068">-BC449</f>
        <v>0.22767399999999999</v>
      </c>
      <c r="AU449" s="94">
        <f>-BG449</f>
        <v>0.22767399999999999</v>
      </c>
      <c r="AV449" s="94">
        <f t="shared" si="2040"/>
        <v>0</v>
      </c>
      <c r="AW449" s="94">
        <f t="shared" si="2049"/>
        <v>0</v>
      </c>
      <c r="AX449" s="94">
        <f t="shared" si="2041"/>
        <v>0</v>
      </c>
      <c r="AY449" s="94">
        <f t="shared" si="2050"/>
        <v>0</v>
      </c>
      <c r="AZ449" s="433">
        <f t="shared" si="2051"/>
        <v>0</v>
      </c>
      <c r="BA449" s="657">
        <v>-6.6123000000000001E-2</v>
      </c>
      <c r="BB449" s="327">
        <v>0</v>
      </c>
      <c r="BC449" s="207">
        <f t="shared" ref="BC449:BC458" si="2069">-0.227674</f>
        <v>-0.22767399999999999</v>
      </c>
      <c r="BD449" s="132">
        <v>0</v>
      </c>
      <c r="BE449" s="132">
        <f>0</f>
        <v>0</v>
      </c>
      <c r="BF449" s="132">
        <f>0</f>
        <v>0</v>
      </c>
      <c r="BG449" s="207">
        <v>-0.22767399999999999</v>
      </c>
      <c r="BH449" s="207">
        <v>0</v>
      </c>
      <c r="BI449" s="132">
        <v>0</v>
      </c>
      <c r="BJ449" s="132">
        <v>0</v>
      </c>
      <c r="BK449" s="132">
        <v>0</v>
      </c>
      <c r="BL449" s="132">
        <v>0</v>
      </c>
      <c r="BM449" s="132">
        <v>0</v>
      </c>
      <c r="BN449" s="409">
        <v>0</v>
      </c>
      <c r="BO449" s="207">
        <v>0</v>
      </c>
      <c r="BP449" s="389">
        <v>0</v>
      </c>
      <c r="BQ449" s="389">
        <v>0</v>
      </c>
      <c r="BR449" s="389">
        <v>0</v>
      </c>
      <c r="BS449" s="296">
        <v>0</v>
      </c>
      <c r="BT449" s="296">
        <v>0</v>
      </c>
      <c r="BU449" s="296">
        <v>0</v>
      </c>
      <c r="BV449" s="409">
        <v>0</v>
      </c>
      <c r="BW449" s="296">
        <f t="shared" si="2047"/>
        <v>0</v>
      </c>
      <c r="BX449" s="443" t="s">
        <v>1865</v>
      </c>
    </row>
    <row r="450" spans="1:76" ht="177" hidden="1" customHeight="1" outlineLevel="1" x14ac:dyDescent="0.25">
      <c r="A450" s="678">
        <v>59</v>
      </c>
      <c r="B450" s="702" t="s">
        <v>242</v>
      </c>
      <c r="C450" s="694" t="s">
        <v>242</v>
      </c>
      <c r="D450" s="663">
        <v>44572</v>
      </c>
      <c r="E450" s="463" t="s">
        <v>1939</v>
      </c>
      <c r="F450" s="542" t="s">
        <v>1611</v>
      </c>
      <c r="G450" s="242" t="s">
        <v>225</v>
      </c>
      <c r="H450" s="311" t="s">
        <v>130</v>
      </c>
      <c r="I450" s="335"/>
      <c r="J450" s="294">
        <f t="shared" si="2052"/>
        <v>2.3452862311130026E-6</v>
      </c>
      <c r="K450" s="52">
        <f t="shared" si="2053"/>
        <v>0</v>
      </c>
      <c r="L450" s="52">
        <f t="shared" si="2054"/>
        <v>6.9684745347698331E-6</v>
      </c>
      <c r="M450" s="52">
        <f t="shared" si="2065"/>
        <v>7.2590810429963828E-6</v>
      </c>
      <c r="N450" s="52">
        <f t="shared" si="2066"/>
        <v>0</v>
      </c>
      <c r="O450" s="52">
        <f t="shared" si="1970"/>
        <v>8.5955644773870671E-6</v>
      </c>
      <c r="P450" s="52">
        <f t="shared" si="1971"/>
        <v>8.8366064850175699E-6</v>
      </c>
      <c r="Q450" s="52">
        <f t="shared" si="1972"/>
        <v>8.5955644773870671E-6</v>
      </c>
      <c r="R450" s="52">
        <f t="shared" si="1973"/>
        <v>0</v>
      </c>
      <c r="S450" s="527">
        <f t="shared" si="2055"/>
        <v>0</v>
      </c>
      <c r="T450" s="533">
        <f t="shared" si="2056"/>
        <v>-2.3452862311130026E-6</v>
      </c>
      <c r="U450" s="375">
        <f t="shared" si="2057"/>
        <v>0</v>
      </c>
      <c r="V450" s="375">
        <f t="shared" si="2058"/>
        <v>-6.9684745347698331E-6</v>
      </c>
      <c r="W450" s="386">
        <f t="shared" si="2059"/>
        <v>0</v>
      </c>
      <c r="X450" s="386">
        <f t="shared" si="2060"/>
        <v>0</v>
      </c>
      <c r="Y450" s="386">
        <f t="shared" si="2061"/>
        <v>0</v>
      </c>
      <c r="Z450" s="375">
        <f t="shared" si="2067"/>
        <v>0</v>
      </c>
      <c r="AA450" s="375">
        <f t="shared" si="2062"/>
        <v>-8.5955644773870671E-6</v>
      </c>
      <c r="AB450" s="386">
        <f t="shared" si="2063"/>
        <v>0</v>
      </c>
      <c r="AC450" s="386">
        <f t="shared" si="1975"/>
        <v>0</v>
      </c>
      <c r="AD450" s="386">
        <f t="shared" si="1976"/>
        <v>-9.9641789683925703E-6</v>
      </c>
      <c r="AE450" s="386">
        <f t="shared" si="1977"/>
        <v>-8.8366064850175699E-6</v>
      </c>
      <c r="AF450" s="386">
        <f t="shared" si="1978"/>
        <v>-8.5955644773870671E-6</v>
      </c>
      <c r="AG450" s="375">
        <f t="shared" si="1979"/>
        <v>-8.6743255301787716E-6</v>
      </c>
      <c r="AH450" s="375">
        <f t="shared" si="1980"/>
        <v>0</v>
      </c>
      <c r="AI450" s="386">
        <f t="shared" si="1981"/>
        <v>0</v>
      </c>
      <c r="AJ450" s="386">
        <f t="shared" si="1982"/>
        <v>0</v>
      </c>
      <c r="AK450" s="386">
        <f t="shared" si="1983"/>
        <v>0</v>
      </c>
      <c r="AL450" s="377">
        <f t="shared" si="1984"/>
        <v>0</v>
      </c>
      <c r="AM450" s="377">
        <f t="shared" si="1985"/>
        <v>0</v>
      </c>
      <c r="AN450" s="377">
        <f t="shared" si="1986"/>
        <v>0</v>
      </c>
      <c r="AO450" s="283"/>
      <c r="AP450" s="295">
        <f t="shared" ref="AP450:AP457" si="2070">AR450+AU450+AZ450+AW450+AY450</f>
        <v>0.33899899999999999</v>
      </c>
      <c r="AQ450" s="20">
        <f t="shared" si="2044"/>
        <v>6.6123000000000001E-2</v>
      </c>
      <c r="AR450" s="95">
        <f t="shared" si="2045"/>
        <v>0</v>
      </c>
      <c r="AS450" s="94">
        <f t="shared" si="2064"/>
        <v>0.22767399999999999</v>
      </c>
      <c r="AT450" s="94">
        <f t="shared" si="2068"/>
        <v>0.22767399999999999</v>
      </c>
      <c r="AU450" s="94">
        <f t="shared" ref="AU450:AU457" si="2071">-BG450</f>
        <v>0</v>
      </c>
      <c r="AV450" s="1043">
        <f t="shared" si="2040"/>
        <v>0.33899899999999999</v>
      </c>
      <c r="AW450" s="1043">
        <f t="shared" ref="AW450:AW458" si="2072">-BH450</f>
        <v>0.33899899999999999</v>
      </c>
      <c r="AX450" s="1043">
        <f t="shared" si="2041"/>
        <v>0.33899899999999999</v>
      </c>
      <c r="AY450" s="1043">
        <f t="shared" si="2050"/>
        <v>0</v>
      </c>
      <c r="AZ450" s="1044">
        <f t="shared" si="2051"/>
        <v>0</v>
      </c>
      <c r="BA450" s="1045">
        <v>-6.6123000000000001E-2</v>
      </c>
      <c r="BB450" s="1046">
        <v>0</v>
      </c>
      <c r="BC450" s="1013">
        <f t="shared" si="2069"/>
        <v>-0.22767399999999999</v>
      </c>
      <c r="BD450" s="1047">
        <v>0</v>
      </c>
      <c r="BE450" s="1047">
        <f>0</f>
        <v>0</v>
      </c>
      <c r="BF450" s="1047">
        <f>0</f>
        <v>0</v>
      </c>
      <c r="BG450" s="1013">
        <v>0</v>
      </c>
      <c r="BH450" s="1013">
        <v>-0.33899899999999999</v>
      </c>
      <c r="BI450" s="1047">
        <v>0</v>
      </c>
      <c r="BJ450" s="132">
        <v>0</v>
      </c>
      <c r="BK450" s="132">
        <v>-0.33899899999999999</v>
      </c>
      <c r="BL450" s="132">
        <v>-0.33899899999999999</v>
      </c>
      <c r="BM450" s="132">
        <v>-0.33899899999999999</v>
      </c>
      <c r="BN450" s="1014">
        <v>-0.33899899999999999</v>
      </c>
      <c r="BO450" s="207">
        <v>0</v>
      </c>
      <c r="BP450" s="389">
        <v>0</v>
      </c>
      <c r="BQ450" s="389">
        <v>0</v>
      </c>
      <c r="BR450" s="389">
        <v>0</v>
      </c>
      <c r="BS450" s="296">
        <v>0</v>
      </c>
      <c r="BT450" s="296">
        <v>0</v>
      </c>
      <c r="BU450" s="296">
        <v>0</v>
      </c>
      <c r="BV450" s="1014">
        <v>0</v>
      </c>
      <c r="BW450" s="296">
        <f>-BV450</f>
        <v>0</v>
      </c>
      <c r="BX450" s="443" t="s">
        <v>1945</v>
      </c>
    </row>
    <row r="451" spans="1:76" ht="177" hidden="1" customHeight="1" outlineLevel="1" x14ac:dyDescent="0.25">
      <c r="A451" s="678">
        <v>60</v>
      </c>
      <c r="B451" s="702" t="s">
        <v>242</v>
      </c>
      <c r="C451" s="694" t="s">
        <v>242</v>
      </c>
      <c r="D451" s="663">
        <v>44572</v>
      </c>
      <c r="E451" s="463" t="s">
        <v>1947</v>
      </c>
      <c r="F451" s="542" t="s">
        <v>1611</v>
      </c>
      <c r="G451" s="242" t="s">
        <v>225</v>
      </c>
      <c r="H451" s="311" t="s">
        <v>130</v>
      </c>
      <c r="I451" s="335"/>
      <c r="J451" s="294">
        <f t="shared" ref="J451:J455" si="2073">AQ451/T$8</f>
        <v>2.3452862311130026E-6</v>
      </c>
      <c r="K451" s="52">
        <f t="shared" si="2053"/>
        <v>0</v>
      </c>
      <c r="L451" s="52">
        <f t="shared" si="2054"/>
        <v>6.9684745347698331E-6</v>
      </c>
      <c r="M451" s="52">
        <f t="shared" si="2065"/>
        <v>7.2590810429963828E-6</v>
      </c>
      <c r="N451" s="52">
        <f t="shared" si="2066"/>
        <v>0</v>
      </c>
      <c r="O451" s="52">
        <f t="shared" si="1970"/>
        <v>2.1250123679446115E-5</v>
      </c>
      <c r="P451" s="52">
        <f t="shared" si="1971"/>
        <v>2.1846032474914455E-5</v>
      </c>
      <c r="Q451" s="52">
        <f t="shared" si="1972"/>
        <v>5.6961629970737514E-5</v>
      </c>
      <c r="R451" s="52">
        <f t="shared" si="1973"/>
        <v>0</v>
      </c>
      <c r="S451" s="527">
        <f t="shared" si="2055"/>
        <v>0</v>
      </c>
      <c r="T451" s="533">
        <f t="shared" si="2056"/>
        <v>-2.3452862311130026E-6</v>
      </c>
      <c r="U451" s="375">
        <f t="shared" si="2057"/>
        <v>0</v>
      </c>
      <c r="V451" s="375">
        <f t="shared" si="2058"/>
        <v>-6.9684745347698331E-6</v>
      </c>
      <c r="W451" s="386">
        <f t="shared" si="2059"/>
        <v>0</v>
      </c>
      <c r="X451" s="386">
        <f t="shared" si="2060"/>
        <v>0</v>
      </c>
      <c r="Y451" s="386">
        <f t="shared" si="2061"/>
        <v>0</v>
      </c>
      <c r="Z451" s="375">
        <f t="shared" si="2067"/>
        <v>0</v>
      </c>
      <c r="AA451" s="375">
        <f t="shared" si="2062"/>
        <v>-2.1250123679446115E-5</v>
      </c>
      <c r="AB451" s="386">
        <f t="shared" si="2063"/>
        <v>0</v>
      </c>
      <c r="AC451" s="386">
        <f t="shared" si="1975"/>
        <v>0</v>
      </c>
      <c r="AD451" s="386">
        <f t="shared" si="1976"/>
        <v>-2.4633639361267867E-5</v>
      </c>
      <c r="AE451" s="386">
        <f t="shared" si="1977"/>
        <v>-2.1846032474914455E-5</v>
      </c>
      <c r="AF451" s="386">
        <f t="shared" si="1978"/>
        <v>-2.1250123679446115E-5</v>
      </c>
      <c r="AG451" s="375">
        <f t="shared" si="1979"/>
        <v>-5.7483568693555468E-5</v>
      </c>
      <c r="AH451" s="375">
        <f t="shared" si="1980"/>
        <v>0</v>
      </c>
      <c r="AI451" s="386">
        <f t="shared" si="1981"/>
        <v>0</v>
      </c>
      <c r="AJ451" s="386">
        <f t="shared" si="1982"/>
        <v>0</v>
      </c>
      <c r="AK451" s="386">
        <f t="shared" si="1983"/>
        <v>0</v>
      </c>
      <c r="AL451" s="377">
        <f t="shared" si="1984"/>
        <v>0</v>
      </c>
      <c r="AM451" s="377">
        <f t="shared" si="1985"/>
        <v>0</v>
      </c>
      <c r="AN451" s="377">
        <f t="shared" si="1986"/>
        <v>0</v>
      </c>
      <c r="AO451" s="283"/>
      <c r="AP451" s="295">
        <f t="shared" si="2070"/>
        <v>0.83808000000000005</v>
      </c>
      <c r="AQ451" s="20">
        <f t="shared" si="2044"/>
        <v>6.6123000000000001E-2</v>
      </c>
      <c r="AR451" s="95">
        <f t="shared" si="2045"/>
        <v>0</v>
      </c>
      <c r="AS451" s="94">
        <f t="shared" si="2064"/>
        <v>0.22767399999999999</v>
      </c>
      <c r="AT451" s="94">
        <f t="shared" si="2068"/>
        <v>0.22767399999999999</v>
      </c>
      <c r="AU451" s="94">
        <f t="shared" si="2071"/>
        <v>0</v>
      </c>
      <c r="AV451" s="1043">
        <f t="shared" si="2040"/>
        <v>0.83808000000000005</v>
      </c>
      <c r="AW451" s="1043">
        <f t="shared" si="2072"/>
        <v>0.83808000000000005</v>
      </c>
      <c r="AX451" s="1043">
        <f t="shared" si="2041"/>
        <v>2.2465000000000002</v>
      </c>
      <c r="AY451" s="1043">
        <f>-BO451</f>
        <v>0</v>
      </c>
      <c r="AZ451" s="1044">
        <f t="shared" si="2051"/>
        <v>0</v>
      </c>
      <c r="BA451" s="1045">
        <v>-6.6123000000000001E-2</v>
      </c>
      <c r="BB451" s="1046">
        <v>0</v>
      </c>
      <c r="BC451" s="1013">
        <f t="shared" si="2069"/>
        <v>-0.22767399999999999</v>
      </c>
      <c r="BD451" s="1047">
        <v>0</v>
      </c>
      <c r="BE451" s="1047">
        <f>0</f>
        <v>0</v>
      </c>
      <c r="BF451" s="1047">
        <f>0</f>
        <v>0</v>
      </c>
      <c r="BG451" s="1013">
        <v>0</v>
      </c>
      <c r="BH451" s="1013">
        <v>-0.83808000000000005</v>
      </c>
      <c r="BI451" s="1047">
        <v>0</v>
      </c>
      <c r="BJ451" s="132">
        <v>0</v>
      </c>
      <c r="BK451" s="132">
        <v>-0.83808000000000005</v>
      </c>
      <c r="BL451" s="132">
        <v>-0.83808000000000005</v>
      </c>
      <c r="BM451" s="132">
        <v>-0.83808000000000005</v>
      </c>
      <c r="BN451" s="1014">
        <v>-2.2465000000000002</v>
      </c>
      <c r="BO451" s="207">
        <v>0</v>
      </c>
      <c r="BP451" s="389">
        <v>0</v>
      </c>
      <c r="BQ451" s="389">
        <v>0</v>
      </c>
      <c r="BR451" s="389">
        <v>0</v>
      </c>
      <c r="BS451" s="296">
        <v>0</v>
      </c>
      <c r="BT451" s="296">
        <v>0</v>
      </c>
      <c r="BU451" s="296">
        <v>0</v>
      </c>
      <c r="BV451" s="1014">
        <v>0</v>
      </c>
      <c r="BW451" s="296">
        <f t="shared" ref="BW451" si="2074">-BV451</f>
        <v>0</v>
      </c>
      <c r="BX451" s="443" t="s">
        <v>1946</v>
      </c>
    </row>
    <row r="452" spans="1:76" ht="113.1" hidden="1" customHeight="1" outlineLevel="1" x14ac:dyDescent="0.25">
      <c r="A452" s="678">
        <v>61</v>
      </c>
      <c r="B452" s="702" t="s">
        <v>242</v>
      </c>
      <c r="C452" s="694" t="s">
        <v>242</v>
      </c>
      <c r="D452" s="663">
        <v>44593</v>
      </c>
      <c r="E452" s="463" t="s">
        <v>1960</v>
      </c>
      <c r="F452" s="542" t="s">
        <v>1611</v>
      </c>
      <c r="G452" s="242" t="s">
        <v>225</v>
      </c>
      <c r="H452" s="311" t="s">
        <v>130</v>
      </c>
      <c r="I452" s="335"/>
      <c r="J452" s="294">
        <f t="shared" si="2073"/>
        <v>2.3452862311130026E-6</v>
      </c>
      <c r="K452" s="52">
        <f t="shared" si="2053"/>
        <v>0</v>
      </c>
      <c r="L452" s="52">
        <f t="shared" si="2054"/>
        <v>6.9684745347698331E-6</v>
      </c>
      <c r="M452" s="52">
        <f t="shared" si="2065"/>
        <v>7.2590810429963828E-6</v>
      </c>
      <c r="N452" s="52">
        <f t="shared" si="2066"/>
        <v>0</v>
      </c>
      <c r="O452" s="52">
        <f t="shared" si="1970"/>
        <v>6.9108237989532015E-5</v>
      </c>
      <c r="P452" s="52">
        <f t="shared" si="1971"/>
        <v>7.1046212915161004E-5</v>
      </c>
      <c r="Q452" s="52">
        <f t="shared" si="1972"/>
        <v>7.4583400511722637E-5</v>
      </c>
      <c r="R452" s="52">
        <f t="shared" si="1973"/>
        <v>0</v>
      </c>
      <c r="S452" s="527">
        <f t="shared" si="2055"/>
        <v>0</v>
      </c>
      <c r="T452" s="533">
        <f t="shared" si="2056"/>
        <v>-2.3452862311130026E-6</v>
      </c>
      <c r="U452" s="375">
        <f t="shared" si="2057"/>
        <v>0</v>
      </c>
      <c r="V452" s="375">
        <f t="shared" si="2058"/>
        <v>-6.9684745347698331E-6</v>
      </c>
      <c r="W452" s="386">
        <f t="shared" si="2059"/>
        <v>0</v>
      </c>
      <c r="X452" s="386">
        <f t="shared" si="2060"/>
        <v>0</v>
      </c>
      <c r="Y452" s="386">
        <f t="shared" si="2061"/>
        <v>0</v>
      </c>
      <c r="Z452" s="375">
        <f t="shared" si="2067"/>
        <v>0</v>
      </c>
      <c r="AA452" s="375">
        <f t="shared" si="2062"/>
        <v>-6.9108237989532015E-5</v>
      </c>
      <c r="AB452" s="386">
        <f t="shared" si="2063"/>
        <v>0</v>
      </c>
      <c r="AC452" s="386">
        <f t="shared" si="1975"/>
        <v>0</v>
      </c>
      <c r="AD452" s="386">
        <f t="shared" si="1976"/>
        <v>-8.0112940655834659E-5</v>
      </c>
      <c r="AE452" s="386">
        <f t="shared" si="1977"/>
        <v>-7.1047151318617832E-5</v>
      </c>
      <c r="AF452" s="386">
        <f t="shared" si="1978"/>
        <v>-6.9109150795531991E-5</v>
      </c>
      <c r="AG452" s="375">
        <f t="shared" si="1979"/>
        <v>-7.5266807303742229E-5</v>
      </c>
      <c r="AH452" s="375">
        <f t="shared" si="1980"/>
        <v>0</v>
      </c>
      <c r="AI452" s="386">
        <f t="shared" si="1981"/>
        <v>0</v>
      </c>
      <c r="AJ452" s="386">
        <f t="shared" si="1982"/>
        <v>0</v>
      </c>
      <c r="AK452" s="386">
        <f t="shared" si="1983"/>
        <v>0</v>
      </c>
      <c r="AL452" s="377">
        <f t="shared" si="1984"/>
        <v>0</v>
      </c>
      <c r="AM452" s="377">
        <f t="shared" si="1985"/>
        <v>0</v>
      </c>
      <c r="AN452" s="377">
        <f t="shared" si="1986"/>
        <v>0</v>
      </c>
      <c r="AO452" s="283"/>
      <c r="AP452" s="295">
        <f t="shared" si="2070"/>
        <v>2.7255479999999999</v>
      </c>
      <c r="AQ452" s="20">
        <f t="shared" si="2044"/>
        <v>6.6123000000000001E-2</v>
      </c>
      <c r="AR452" s="95">
        <f t="shared" si="2045"/>
        <v>0</v>
      </c>
      <c r="AS452" s="94">
        <f t="shared" si="2064"/>
        <v>0.22767399999999999</v>
      </c>
      <c r="AT452" s="94">
        <f t="shared" si="2068"/>
        <v>0.22767399999999999</v>
      </c>
      <c r="AU452" s="94">
        <f t="shared" si="2071"/>
        <v>0</v>
      </c>
      <c r="AV452" s="1043">
        <f t="shared" si="2040"/>
        <v>2.7255479999999999</v>
      </c>
      <c r="AW452" s="1043">
        <f t="shared" si="2072"/>
        <v>2.7255479999999999</v>
      </c>
      <c r="AX452" s="1043">
        <f t="shared" si="2041"/>
        <v>2.9414820000000002</v>
      </c>
      <c r="AY452" s="1043">
        <f t="shared" ref="AY452:AY457" si="2075">-BO452</f>
        <v>0</v>
      </c>
      <c r="AZ452" s="1044">
        <f t="shared" si="2051"/>
        <v>0</v>
      </c>
      <c r="BA452" s="1045">
        <v>-6.6123000000000001E-2</v>
      </c>
      <c r="BB452" s="1046">
        <v>0</v>
      </c>
      <c r="BC452" s="1013">
        <f t="shared" si="2069"/>
        <v>-0.22767399999999999</v>
      </c>
      <c r="BD452" s="1047">
        <v>0</v>
      </c>
      <c r="BE452" s="1047">
        <f>0</f>
        <v>0</v>
      </c>
      <c r="BF452" s="1047">
        <f>0</f>
        <v>0</v>
      </c>
      <c r="BG452" s="1013">
        <v>0</v>
      </c>
      <c r="BH452" s="1013">
        <v>-2.7255479999999999</v>
      </c>
      <c r="BI452" s="1047">
        <v>0</v>
      </c>
      <c r="BJ452" s="132">
        <v>0</v>
      </c>
      <c r="BK452" s="132">
        <v>-2.725584</v>
      </c>
      <c r="BL452" s="132">
        <v>-2.725584</v>
      </c>
      <c r="BM452" s="132">
        <v>-2.725584</v>
      </c>
      <c r="BN452" s="1014">
        <v>-2.9414820000000002</v>
      </c>
      <c r="BO452" s="207">
        <v>0</v>
      </c>
      <c r="BP452" s="389">
        <v>0</v>
      </c>
      <c r="BQ452" s="389">
        <v>0</v>
      </c>
      <c r="BR452" s="389">
        <v>0</v>
      </c>
      <c r="BS452" s="296">
        <v>0</v>
      </c>
      <c r="BT452" s="296">
        <v>0</v>
      </c>
      <c r="BU452" s="296">
        <v>0</v>
      </c>
      <c r="BV452" s="1014">
        <v>0</v>
      </c>
      <c r="BW452" s="296">
        <f t="shared" ref="BW452:BW458" si="2076">-BV452</f>
        <v>0</v>
      </c>
      <c r="BX452" s="443" t="s">
        <v>1961</v>
      </c>
    </row>
    <row r="453" spans="1:76" ht="113.1" hidden="1" customHeight="1" outlineLevel="1" x14ac:dyDescent="0.25">
      <c r="A453" s="678">
        <v>62</v>
      </c>
      <c r="B453" s="702" t="s">
        <v>242</v>
      </c>
      <c r="C453" s="694" t="s">
        <v>242</v>
      </c>
      <c r="D453" s="663">
        <v>44614</v>
      </c>
      <c r="E453" s="463" t="s">
        <v>2002</v>
      </c>
      <c r="F453" s="542" t="s">
        <v>1611</v>
      </c>
      <c r="G453" s="242" t="s">
        <v>225</v>
      </c>
      <c r="H453" s="311" t="s">
        <v>130</v>
      </c>
      <c r="I453" s="335"/>
      <c r="J453" s="294">
        <f t="shared" si="2073"/>
        <v>2.3452862311130026E-6</v>
      </c>
      <c r="K453" s="52">
        <f t="shared" si="2053"/>
        <v>0</v>
      </c>
      <c r="L453" s="52">
        <f t="shared" si="2054"/>
        <v>6.9684745347698331E-6</v>
      </c>
      <c r="M453" s="52">
        <f t="shared" si="2065"/>
        <v>7.2590810429963828E-6</v>
      </c>
      <c r="N453" s="52">
        <f t="shared" si="2066"/>
        <v>0</v>
      </c>
      <c r="O453" s="52">
        <f t="shared" si="1970"/>
        <v>8.4285716908358636E-6</v>
      </c>
      <c r="P453" s="52">
        <f t="shared" si="1971"/>
        <v>8.6649307859437514E-6</v>
      </c>
      <c r="Q453" s="52">
        <f t="shared" si="1972"/>
        <v>8.4285716908358636E-6</v>
      </c>
      <c r="R453" s="52">
        <f t="shared" si="1973"/>
        <v>0</v>
      </c>
      <c r="S453" s="527">
        <f t="shared" si="2055"/>
        <v>0</v>
      </c>
      <c r="T453" s="533">
        <f t="shared" si="2056"/>
        <v>-2.3452862311130026E-6</v>
      </c>
      <c r="U453" s="375">
        <f t="shared" si="2057"/>
        <v>0</v>
      </c>
      <c r="V453" s="375">
        <f t="shared" si="2058"/>
        <v>-6.9684745347698331E-6</v>
      </c>
      <c r="W453" s="386">
        <f t="shared" si="2059"/>
        <v>0</v>
      </c>
      <c r="X453" s="386">
        <f>BE453/X$8</f>
        <v>0</v>
      </c>
      <c r="Y453" s="386">
        <f>BF453/Y$8</f>
        <v>0</v>
      </c>
      <c r="Z453" s="375">
        <f>BG453/Z$8</f>
        <v>0</v>
      </c>
      <c r="AA453" s="375">
        <f t="shared" si="2062"/>
        <v>-8.4285716908358636E-6</v>
      </c>
      <c r="AB453" s="386">
        <f t="shared" si="2063"/>
        <v>0</v>
      </c>
      <c r="AC453" s="386">
        <f t="shared" si="1975"/>
        <v>0</v>
      </c>
      <c r="AD453" s="386">
        <f t="shared" si="1976"/>
        <v>-9.7705970324994457E-6</v>
      </c>
      <c r="AE453" s="386">
        <f t="shared" si="1977"/>
        <v>-8.6649307859437514E-6</v>
      </c>
      <c r="AF453" s="386">
        <f t="shared" si="1978"/>
        <v>-8.4285716908358636E-6</v>
      </c>
      <c r="AG453" s="375">
        <f t="shared" si="1979"/>
        <v>-8.505802590754887E-6</v>
      </c>
      <c r="AH453" s="375">
        <f t="shared" si="1980"/>
        <v>0</v>
      </c>
      <c r="AI453" s="386">
        <f t="shared" si="1981"/>
        <v>0</v>
      </c>
      <c r="AJ453" s="386">
        <f t="shared" si="1982"/>
        <v>0</v>
      </c>
      <c r="AK453" s="386">
        <f t="shared" si="1983"/>
        <v>0</v>
      </c>
      <c r="AL453" s="377">
        <f t="shared" si="1984"/>
        <v>0</v>
      </c>
      <c r="AM453" s="377">
        <f t="shared" si="1985"/>
        <v>0</v>
      </c>
      <c r="AN453" s="377">
        <f t="shared" si="1986"/>
        <v>0</v>
      </c>
      <c r="AO453" s="283"/>
      <c r="AP453" s="295">
        <f t="shared" si="2070"/>
        <v>0.33241300000000001</v>
      </c>
      <c r="AQ453" s="20">
        <f t="shared" si="2044"/>
        <v>6.6123000000000001E-2</v>
      </c>
      <c r="AR453" s="95">
        <f t="shared" si="2045"/>
        <v>0</v>
      </c>
      <c r="AS453" s="94">
        <f t="shared" si="2064"/>
        <v>0.22767399999999999</v>
      </c>
      <c r="AT453" s="94">
        <f t="shared" si="2068"/>
        <v>0.22767399999999999</v>
      </c>
      <c r="AU453" s="94">
        <f t="shared" si="2071"/>
        <v>0</v>
      </c>
      <c r="AV453" s="1043">
        <f t="shared" si="2040"/>
        <v>0.33241300000000001</v>
      </c>
      <c r="AW453" s="1043">
        <f t="shared" si="2072"/>
        <v>0.33241300000000001</v>
      </c>
      <c r="AX453" s="1043">
        <f t="shared" si="2041"/>
        <v>0.33241300000000001</v>
      </c>
      <c r="AY453" s="1043">
        <f t="shared" si="2075"/>
        <v>0</v>
      </c>
      <c r="AZ453" s="1044">
        <f t="shared" si="2051"/>
        <v>0</v>
      </c>
      <c r="BA453" s="1045">
        <v>-6.6123000000000001E-2</v>
      </c>
      <c r="BB453" s="1046">
        <v>0</v>
      </c>
      <c r="BC453" s="1013">
        <f t="shared" si="2069"/>
        <v>-0.22767399999999999</v>
      </c>
      <c r="BD453" s="1047">
        <v>0</v>
      </c>
      <c r="BE453" s="1047">
        <f>0</f>
        <v>0</v>
      </c>
      <c r="BF453" s="1047">
        <f>0</f>
        <v>0</v>
      </c>
      <c r="BG453" s="1013">
        <v>0</v>
      </c>
      <c r="BH453" s="1013">
        <v>-0.33241300000000001</v>
      </c>
      <c r="BI453" s="1047">
        <v>0</v>
      </c>
      <c r="BJ453" s="132">
        <v>0</v>
      </c>
      <c r="BK453" s="132">
        <v>-0.33241300000000001</v>
      </c>
      <c r="BL453" s="132">
        <v>-0.33241300000000001</v>
      </c>
      <c r="BM453" s="132">
        <v>-0.33241300000000001</v>
      </c>
      <c r="BN453" s="1014">
        <v>-0.33241300000000001</v>
      </c>
      <c r="BO453" s="207">
        <v>0</v>
      </c>
      <c r="BP453" s="389">
        <v>0</v>
      </c>
      <c r="BQ453" s="389">
        <v>0</v>
      </c>
      <c r="BR453" s="389">
        <v>0</v>
      </c>
      <c r="BS453" s="296">
        <v>0</v>
      </c>
      <c r="BT453" s="296">
        <v>0</v>
      </c>
      <c r="BU453" s="296">
        <v>0</v>
      </c>
      <c r="BV453" s="1014">
        <v>0</v>
      </c>
      <c r="BW453" s="296">
        <f t="shared" si="2076"/>
        <v>0</v>
      </c>
      <c r="BX453" s="443" t="s">
        <v>2003</v>
      </c>
    </row>
    <row r="454" spans="1:76" ht="113.1" hidden="1" customHeight="1" outlineLevel="1" x14ac:dyDescent="0.25">
      <c r="A454" s="678">
        <v>63</v>
      </c>
      <c r="B454" s="702" t="s">
        <v>242</v>
      </c>
      <c r="C454" s="694" t="s">
        <v>242</v>
      </c>
      <c r="D454" s="663">
        <v>44628</v>
      </c>
      <c r="E454" s="463" t="s">
        <v>2029</v>
      </c>
      <c r="F454" s="542" t="s">
        <v>1611</v>
      </c>
      <c r="G454" s="242" t="s">
        <v>225</v>
      </c>
      <c r="H454" s="311" t="s">
        <v>130</v>
      </c>
      <c r="I454" s="335"/>
      <c r="J454" s="294">
        <f t="shared" si="2073"/>
        <v>2.3452862311130026E-6</v>
      </c>
      <c r="K454" s="52">
        <f>AR454/U$8</f>
        <v>0</v>
      </c>
      <c r="L454" s="52">
        <f t="shared" si="2054"/>
        <v>6.9684745347698331E-6</v>
      </c>
      <c r="M454" s="52">
        <f t="shared" si="2065"/>
        <v>7.2590810429963828E-6</v>
      </c>
      <c r="N454" s="52">
        <f t="shared" si="2066"/>
        <v>0</v>
      </c>
      <c r="O454" s="52">
        <f t="shared" si="1970"/>
        <v>1.9902517754814571E-5</v>
      </c>
      <c r="P454" s="52">
        <f t="shared" si="1971"/>
        <v>2.0460636171486672E-5</v>
      </c>
      <c r="Q454" s="52">
        <f t="shared" si="1972"/>
        <v>9.6076381298606861E-6</v>
      </c>
      <c r="R454" s="52">
        <f t="shared" si="1973"/>
        <v>0</v>
      </c>
      <c r="S454" s="527">
        <f t="shared" si="2055"/>
        <v>0</v>
      </c>
      <c r="T454" s="533">
        <f t="shared" si="2056"/>
        <v>-2.3452862311130026E-6</v>
      </c>
      <c r="U454" s="375">
        <f t="shared" si="2057"/>
        <v>0</v>
      </c>
      <c r="V454" s="375">
        <f t="shared" si="2058"/>
        <v>-6.9684745347698331E-6</v>
      </c>
      <c r="W454" s="386">
        <f t="shared" si="2059"/>
        <v>0</v>
      </c>
      <c r="X454" s="386">
        <f t="shared" ref="X454:X457" si="2077">BE454/X$8</f>
        <v>0</v>
      </c>
      <c r="Y454" s="386">
        <f t="shared" ref="Y454:Y457" si="2078">BF454/Y$8</f>
        <v>0</v>
      </c>
      <c r="Z454" s="375">
        <f t="shared" ref="Z454:Z457" si="2079">BG454/Z$8</f>
        <v>0</v>
      </c>
      <c r="AA454" s="375">
        <f t="shared" si="2062"/>
        <v>-1.9902517754814571E-5</v>
      </c>
      <c r="AB454" s="386">
        <f t="shared" si="2063"/>
        <v>0</v>
      </c>
      <c r="AC454" s="386">
        <f t="shared" si="1975"/>
        <v>0</v>
      </c>
      <c r="AD454" s="386">
        <f t="shared" si="1976"/>
        <v>-2.3071463119414264E-5</v>
      </c>
      <c r="AE454" s="386">
        <f t="shared" si="1977"/>
        <v>-2.0460636171486672E-5</v>
      </c>
      <c r="AF454" s="386">
        <f t="shared" si="1978"/>
        <v>-1.9902517754814571E-5</v>
      </c>
      <c r="AG454" s="375">
        <f t="shared" si="1979"/>
        <v>-9.69567280122407E-6</v>
      </c>
      <c r="AH454" s="375">
        <f t="shared" si="1980"/>
        <v>0</v>
      </c>
      <c r="AI454" s="386">
        <f t="shared" si="1981"/>
        <v>0</v>
      </c>
      <c r="AJ454" s="386">
        <f t="shared" si="1982"/>
        <v>0</v>
      </c>
      <c r="AK454" s="386">
        <f t="shared" si="1983"/>
        <v>0</v>
      </c>
      <c r="AL454" s="377">
        <f t="shared" si="1984"/>
        <v>0</v>
      </c>
      <c r="AM454" s="377">
        <f t="shared" si="1985"/>
        <v>0</v>
      </c>
      <c r="AN454" s="377">
        <f t="shared" si="1986"/>
        <v>0</v>
      </c>
      <c r="AO454" s="283"/>
      <c r="AP454" s="295">
        <f t="shared" si="2070"/>
        <v>0.78493199999999996</v>
      </c>
      <c r="AQ454" s="20">
        <f t="shared" si="2044"/>
        <v>6.6123000000000001E-2</v>
      </c>
      <c r="AR454" s="95">
        <f t="shared" si="2045"/>
        <v>0</v>
      </c>
      <c r="AS454" s="94">
        <f t="shared" si="2064"/>
        <v>0.22767399999999999</v>
      </c>
      <c r="AT454" s="94">
        <f t="shared" si="2068"/>
        <v>0.22767399999999999</v>
      </c>
      <c r="AU454" s="94">
        <f t="shared" si="2071"/>
        <v>0</v>
      </c>
      <c r="AV454" s="1043">
        <f t="shared" si="2040"/>
        <v>0.78493199999999996</v>
      </c>
      <c r="AW454" s="1043">
        <f t="shared" si="2072"/>
        <v>0.78493199999999996</v>
      </c>
      <c r="AX454" s="1043">
        <f t="shared" si="2041"/>
        <v>0.37891399999999997</v>
      </c>
      <c r="AY454" s="1043">
        <f t="shared" si="2075"/>
        <v>0</v>
      </c>
      <c r="AZ454" s="1044">
        <f t="shared" si="2051"/>
        <v>0</v>
      </c>
      <c r="BA454" s="1045">
        <v>-6.6123000000000001E-2</v>
      </c>
      <c r="BB454" s="1046">
        <v>0</v>
      </c>
      <c r="BC454" s="1013">
        <f t="shared" si="2069"/>
        <v>-0.22767399999999999</v>
      </c>
      <c r="BD454" s="1047">
        <v>0</v>
      </c>
      <c r="BE454" s="1047">
        <f>0</f>
        <v>0</v>
      </c>
      <c r="BF454" s="1047">
        <f>0</f>
        <v>0</v>
      </c>
      <c r="BG454" s="1013">
        <v>0</v>
      </c>
      <c r="BH454" s="1013">
        <v>-0.78493199999999996</v>
      </c>
      <c r="BI454" s="1047">
        <v>0</v>
      </c>
      <c r="BJ454" s="132">
        <v>0</v>
      </c>
      <c r="BK454" s="132">
        <v>-0.78493199999999996</v>
      </c>
      <c r="BL454" s="132">
        <v>-0.78493199999999996</v>
      </c>
      <c r="BM454" s="132">
        <v>-0.78493199999999996</v>
      </c>
      <c r="BN454" s="1014">
        <v>-0.37891399999999997</v>
      </c>
      <c r="BO454" s="207">
        <v>0</v>
      </c>
      <c r="BP454" s="389">
        <v>0</v>
      </c>
      <c r="BQ454" s="389">
        <v>0</v>
      </c>
      <c r="BR454" s="389">
        <v>0</v>
      </c>
      <c r="BS454" s="296">
        <v>0</v>
      </c>
      <c r="BT454" s="296">
        <v>0</v>
      </c>
      <c r="BU454" s="296">
        <v>0</v>
      </c>
      <c r="BV454" s="1014">
        <v>0</v>
      </c>
      <c r="BW454" s="296">
        <f t="shared" si="2076"/>
        <v>0</v>
      </c>
      <c r="BX454" s="443" t="s">
        <v>2016</v>
      </c>
    </row>
    <row r="455" spans="1:76" ht="113.1" hidden="1" customHeight="1" outlineLevel="1" x14ac:dyDescent="0.25">
      <c r="A455" s="678">
        <v>64</v>
      </c>
      <c r="B455" s="702" t="s">
        <v>242</v>
      </c>
      <c r="C455" s="694" t="s">
        <v>242</v>
      </c>
      <c r="D455" s="663">
        <v>44635</v>
      </c>
      <c r="E455" s="463" t="s">
        <v>2027</v>
      </c>
      <c r="F455" s="542" t="s">
        <v>1611</v>
      </c>
      <c r="G455" s="242" t="s">
        <v>225</v>
      </c>
      <c r="H455" s="311" t="s">
        <v>130</v>
      </c>
      <c r="I455" s="335"/>
      <c r="J455" s="294">
        <f t="shared" si="2073"/>
        <v>2.3452862311130026E-6</v>
      </c>
      <c r="K455" s="52">
        <f>AR455/U$8</f>
        <v>0</v>
      </c>
      <c r="L455" s="52">
        <f t="shared" si="2054"/>
        <v>6.9684745347698331E-6</v>
      </c>
      <c r="M455" s="52">
        <f t="shared" si="2065"/>
        <v>7.2590810429963828E-6</v>
      </c>
      <c r="N455" s="52">
        <f t="shared" si="2066"/>
        <v>0</v>
      </c>
      <c r="O455" s="52">
        <f t="shared" ref="O455:O490" si="2080">AV455/AA$8</f>
        <v>7.9285061371822308E-6</v>
      </c>
      <c r="P455" s="52">
        <f t="shared" ref="P455:P490" si="2081">AW455/AE$8</f>
        <v>8.1508420921791176E-6</v>
      </c>
      <c r="Q455" s="52">
        <f t="shared" ref="Q455:Q490" si="2082">AX455/AF$8</f>
        <v>7.9285061371822308E-6</v>
      </c>
      <c r="R455" s="52">
        <f t="shared" ref="R455:R490" si="2083">AY455/AH$8</f>
        <v>0</v>
      </c>
      <c r="S455" s="527">
        <f t="shared" si="2055"/>
        <v>0</v>
      </c>
      <c r="T455" s="533">
        <f t="shared" si="2056"/>
        <v>-2.3452862311130026E-6</v>
      </c>
      <c r="U455" s="375">
        <f t="shared" si="2057"/>
        <v>0</v>
      </c>
      <c r="V455" s="375">
        <f t="shared" si="2058"/>
        <v>-6.9684745347698331E-6</v>
      </c>
      <c r="W455" s="386">
        <f t="shared" si="2059"/>
        <v>0</v>
      </c>
      <c r="X455" s="386">
        <f t="shared" si="2077"/>
        <v>0</v>
      </c>
      <c r="Y455" s="386">
        <f t="shared" si="2078"/>
        <v>0</v>
      </c>
      <c r="Z455" s="375">
        <f t="shared" si="2079"/>
        <v>0</v>
      </c>
      <c r="AA455" s="375">
        <f t="shared" si="2062"/>
        <v>-7.9285061371822308E-6</v>
      </c>
      <c r="AB455" s="386">
        <f t="shared" si="2063"/>
        <v>0</v>
      </c>
      <c r="AC455" s="386">
        <f t="shared" ref="AC455:AC490" si="2084">BJ455/AC$8</f>
        <v>0</v>
      </c>
      <c r="AD455" s="386">
        <f t="shared" ref="AD455:AD490" si="2085">BK455/AD$8</f>
        <v>0</v>
      </c>
      <c r="AE455" s="386">
        <f t="shared" ref="AE455:AE490" si="2086">BL455/AE$8</f>
        <v>-8.1508420921791176E-6</v>
      </c>
      <c r="AF455" s="386">
        <f t="shared" ref="AF455:AF490" si="2087">BM455/AF$8</f>
        <v>-7.9285061371822308E-6</v>
      </c>
      <c r="AG455" s="375">
        <f t="shared" ref="AG455:AG490" si="2088">BN455/AG$8</f>
        <v>-8.0011549425134891E-6</v>
      </c>
      <c r="AH455" s="375">
        <f t="shared" ref="AH455:AH490" si="2089">BO455/AH$8</f>
        <v>0</v>
      </c>
      <c r="AI455" s="386">
        <f t="shared" ref="AI455:AI490" si="2090">BP455/AI$8</f>
        <v>0</v>
      </c>
      <c r="AJ455" s="386">
        <f t="shared" ref="AJ455:AJ490" si="2091">BQ455/AJ$8</f>
        <v>0</v>
      </c>
      <c r="AK455" s="386">
        <f t="shared" ref="AK455:AK490" si="2092">BR455/AK$8</f>
        <v>0</v>
      </c>
      <c r="AL455" s="377">
        <f t="shared" ref="AL455:AL490" si="2093">BS455/AL$8</f>
        <v>0</v>
      </c>
      <c r="AM455" s="377">
        <f t="shared" ref="AM455:AM490" si="2094">BT455/AM$8</f>
        <v>0</v>
      </c>
      <c r="AN455" s="377">
        <f t="shared" ref="AN455:AN490" si="2095">BU455/AN$8</f>
        <v>0</v>
      </c>
      <c r="AO455" s="283"/>
      <c r="AP455" s="295">
        <f t="shared" si="2070"/>
        <v>0.312691</v>
      </c>
      <c r="AQ455" s="20">
        <f t="shared" si="2044"/>
        <v>6.6123000000000001E-2</v>
      </c>
      <c r="AR455" s="95">
        <f t="shared" si="2045"/>
        <v>0</v>
      </c>
      <c r="AS455" s="94">
        <f t="shared" si="2064"/>
        <v>0.22767399999999999</v>
      </c>
      <c r="AT455" s="94">
        <f t="shared" si="2068"/>
        <v>0.22767399999999999</v>
      </c>
      <c r="AU455" s="94">
        <f t="shared" si="2071"/>
        <v>0</v>
      </c>
      <c r="AV455" s="1043">
        <f t="shared" si="2040"/>
        <v>0.312691</v>
      </c>
      <c r="AW455" s="1043">
        <f t="shared" si="2072"/>
        <v>0.312691</v>
      </c>
      <c r="AX455" s="1043">
        <f t="shared" si="2041"/>
        <v>0.312691</v>
      </c>
      <c r="AY455" s="1043">
        <f t="shared" si="2075"/>
        <v>0</v>
      </c>
      <c r="AZ455" s="1044">
        <f t="shared" si="2051"/>
        <v>0</v>
      </c>
      <c r="BA455" s="1045">
        <v>-6.6123000000000001E-2</v>
      </c>
      <c r="BB455" s="1046">
        <v>0</v>
      </c>
      <c r="BC455" s="1013">
        <f t="shared" si="2069"/>
        <v>-0.22767399999999999</v>
      </c>
      <c r="BD455" s="1047">
        <v>0</v>
      </c>
      <c r="BE455" s="1047">
        <f>0</f>
        <v>0</v>
      </c>
      <c r="BF455" s="1047">
        <f>0</f>
        <v>0</v>
      </c>
      <c r="BG455" s="1013">
        <v>0</v>
      </c>
      <c r="BH455" s="1013">
        <v>-0.312691</v>
      </c>
      <c r="BI455" s="1047">
        <v>0</v>
      </c>
      <c r="BJ455" s="132">
        <v>0</v>
      </c>
      <c r="BK455" s="132">
        <v>0</v>
      </c>
      <c r="BL455" s="132">
        <v>-0.312691</v>
      </c>
      <c r="BM455" s="132">
        <v>-0.312691</v>
      </c>
      <c r="BN455" s="1014">
        <v>-0.312691</v>
      </c>
      <c r="BO455" s="207">
        <v>0</v>
      </c>
      <c r="BP455" s="389">
        <v>0</v>
      </c>
      <c r="BQ455" s="389">
        <v>0</v>
      </c>
      <c r="BR455" s="389">
        <v>0</v>
      </c>
      <c r="BS455" s="296">
        <v>0</v>
      </c>
      <c r="BT455" s="296">
        <v>0</v>
      </c>
      <c r="BU455" s="296">
        <v>0</v>
      </c>
      <c r="BV455" s="1014">
        <v>0</v>
      </c>
      <c r="BW455" s="296">
        <f t="shared" si="2076"/>
        <v>0</v>
      </c>
      <c r="BX455" s="443" t="s">
        <v>2028</v>
      </c>
    </row>
    <row r="456" spans="1:76" ht="113.1" hidden="1" customHeight="1" outlineLevel="1" x14ac:dyDescent="0.25">
      <c r="A456" s="678">
        <v>65</v>
      </c>
      <c r="B456" s="702" t="s">
        <v>242</v>
      </c>
      <c r="C456" s="694" t="s">
        <v>242</v>
      </c>
      <c r="D456" s="663">
        <v>44649</v>
      </c>
      <c r="E456" s="463" t="s">
        <v>2061</v>
      </c>
      <c r="F456" s="542" t="s">
        <v>1611</v>
      </c>
      <c r="G456" s="242" t="s">
        <v>225</v>
      </c>
      <c r="H456" s="311" t="s">
        <v>130</v>
      </c>
      <c r="I456" s="335"/>
      <c r="J456" s="294"/>
      <c r="K456" s="52">
        <f t="shared" ref="K456:K457" si="2096">AR456/U$8</f>
        <v>0</v>
      </c>
      <c r="L456" s="52">
        <f t="shared" si="2054"/>
        <v>6.9684745347698331E-6</v>
      </c>
      <c r="M456" s="52">
        <f t="shared" si="2065"/>
        <v>7.2590810429963828E-6</v>
      </c>
      <c r="N456" s="52">
        <f t="shared" si="2066"/>
        <v>0</v>
      </c>
      <c r="O456" s="52">
        <f t="shared" si="2080"/>
        <v>1.8247955456968809E-5</v>
      </c>
      <c r="P456" s="52">
        <f t="shared" si="2081"/>
        <v>1.875967563893839E-5</v>
      </c>
      <c r="Q456" s="52">
        <f t="shared" si="2082"/>
        <v>8.6261434783862697E-6</v>
      </c>
      <c r="R456" s="52">
        <f t="shared" si="2083"/>
        <v>0</v>
      </c>
      <c r="S456" s="527">
        <f t="shared" si="2055"/>
        <v>0</v>
      </c>
      <c r="T456" s="533">
        <f t="shared" si="2056"/>
        <v>-2.3452862311130026E-6</v>
      </c>
      <c r="U456" s="375">
        <f t="shared" si="2057"/>
        <v>0</v>
      </c>
      <c r="V456" s="375">
        <f t="shared" si="2058"/>
        <v>-6.9684745347698331E-6</v>
      </c>
      <c r="W456" s="386">
        <f t="shared" si="2059"/>
        <v>0</v>
      </c>
      <c r="X456" s="386">
        <f t="shared" si="2077"/>
        <v>0</v>
      </c>
      <c r="Y456" s="386">
        <f t="shared" si="2078"/>
        <v>0</v>
      </c>
      <c r="Z456" s="375">
        <f t="shared" si="2079"/>
        <v>0</v>
      </c>
      <c r="AA456" s="375">
        <f t="shared" si="2062"/>
        <v>-1.8247955456968809E-5</v>
      </c>
      <c r="AB456" s="386">
        <f t="shared" si="2063"/>
        <v>0</v>
      </c>
      <c r="AC456" s="386">
        <f t="shared" si="2084"/>
        <v>0</v>
      </c>
      <c r="AD456" s="386">
        <f t="shared" si="2085"/>
        <v>0</v>
      </c>
      <c r="AE456" s="386">
        <f t="shared" si="2086"/>
        <v>-1.875967563893839E-5</v>
      </c>
      <c r="AF456" s="386">
        <f t="shared" si="2087"/>
        <v>-1.8247955456968809E-5</v>
      </c>
      <c r="AG456" s="375">
        <f t="shared" si="2088"/>
        <v>-8.7051847261923154E-6</v>
      </c>
      <c r="AH456" s="375">
        <f t="shared" si="2089"/>
        <v>0</v>
      </c>
      <c r="AI456" s="386">
        <f t="shared" si="2090"/>
        <v>0</v>
      </c>
      <c r="AJ456" s="386">
        <f t="shared" si="2091"/>
        <v>0</v>
      </c>
      <c r="AK456" s="386">
        <f t="shared" si="2092"/>
        <v>0</v>
      </c>
      <c r="AL456" s="377">
        <f t="shared" si="2093"/>
        <v>0</v>
      </c>
      <c r="AM456" s="377">
        <f t="shared" si="2094"/>
        <v>0</v>
      </c>
      <c r="AN456" s="377">
        <f t="shared" si="2095"/>
        <v>0</v>
      </c>
      <c r="AO456" s="283"/>
      <c r="AP456" s="295">
        <f t="shared" si="2070"/>
        <v>0.71967800000000004</v>
      </c>
      <c r="AQ456" s="20">
        <f t="shared" si="2044"/>
        <v>6.6123000000000001E-2</v>
      </c>
      <c r="AR456" s="95">
        <f t="shared" si="2045"/>
        <v>0</v>
      </c>
      <c r="AS456" s="94">
        <f t="shared" si="2064"/>
        <v>0.22767399999999999</v>
      </c>
      <c r="AT456" s="94">
        <f t="shared" si="2068"/>
        <v>0.22767399999999999</v>
      </c>
      <c r="AU456" s="94">
        <f t="shared" si="2071"/>
        <v>0</v>
      </c>
      <c r="AV456" s="1043">
        <f t="shared" si="2040"/>
        <v>0.71967800000000004</v>
      </c>
      <c r="AW456" s="1043">
        <f t="shared" ref="AW456:AW457" si="2097">-BH456</f>
        <v>0.71967800000000004</v>
      </c>
      <c r="AX456" s="1043">
        <f t="shared" si="2041"/>
        <v>0.34020499999999998</v>
      </c>
      <c r="AY456" s="1043">
        <f t="shared" si="2075"/>
        <v>0</v>
      </c>
      <c r="AZ456" s="1044">
        <f t="shared" si="2051"/>
        <v>0</v>
      </c>
      <c r="BA456" s="1045">
        <v>-6.6123000000000001E-2</v>
      </c>
      <c r="BB456" s="1046">
        <v>0</v>
      </c>
      <c r="BC456" s="1013">
        <f t="shared" si="2069"/>
        <v>-0.22767399999999999</v>
      </c>
      <c r="BD456" s="1047">
        <v>0</v>
      </c>
      <c r="BE456" s="1047">
        <f>0</f>
        <v>0</v>
      </c>
      <c r="BF456" s="1047">
        <f>0</f>
        <v>0</v>
      </c>
      <c r="BG456" s="1013">
        <v>0</v>
      </c>
      <c r="BH456" s="1013">
        <v>-0.71967800000000004</v>
      </c>
      <c r="BI456" s="1047">
        <v>0</v>
      </c>
      <c r="BJ456" s="132">
        <v>0</v>
      </c>
      <c r="BK456" s="132">
        <v>0</v>
      </c>
      <c r="BL456" s="132">
        <v>-0.71967800000000004</v>
      </c>
      <c r="BM456" s="132">
        <v>-0.71967800000000004</v>
      </c>
      <c r="BN456" s="1014">
        <v>-0.34020499999999998</v>
      </c>
      <c r="BO456" s="207">
        <v>0</v>
      </c>
      <c r="BP456" s="389">
        <v>0</v>
      </c>
      <c r="BQ456" s="389">
        <v>0</v>
      </c>
      <c r="BR456" s="389">
        <v>0</v>
      </c>
      <c r="BS456" s="296">
        <v>0</v>
      </c>
      <c r="BT456" s="296">
        <v>0</v>
      </c>
      <c r="BU456" s="296">
        <v>0</v>
      </c>
      <c r="BV456" s="1014">
        <v>0</v>
      </c>
      <c r="BW456" s="296">
        <f t="shared" si="2076"/>
        <v>0</v>
      </c>
      <c r="BX456" s="443" t="s">
        <v>2060</v>
      </c>
    </row>
    <row r="457" spans="1:76" ht="113.1" hidden="1" customHeight="1" outlineLevel="1" x14ac:dyDescent="0.25">
      <c r="A457" s="678">
        <v>66</v>
      </c>
      <c r="B457" s="702" t="s">
        <v>242</v>
      </c>
      <c r="C457" s="694" t="s">
        <v>242</v>
      </c>
      <c r="D457" s="663">
        <v>44664</v>
      </c>
      <c r="E457" s="463" t="s">
        <v>2074</v>
      </c>
      <c r="F457" s="542" t="s">
        <v>1611</v>
      </c>
      <c r="G457" s="242" t="s">
        <v>225</v>
      </c>
      <c r="H457" s="311" t="s">
        <v>130</v>
      </c>
      <c r="I457" s="335"/>
      <c r="J457" s="294"/>
      <c r="K457" s="52">
        <f t="shared" si="2096"/>
        <v>0</v>
      </c>
      <c r="L457" s="52">
        <f t="shared" si="2054"/>
        <v>6.9684745347698331E-6</v>
      </c>
      <c r="M457" s="52">
        <f t="shared" si="2065"/>
        <v>7.2590810429963828E-6</v>
      </c>
      <c r="N457" s="52">
        <f t="shared" si="2066"/>
        <v>0</v>
      </c>
      <c r="O457" s="52">
        <f t="shared" si="2080"/>
        <v>7.967959640958981E-6</v>
      </c>
      <c r="P457" s="52">
        <f t="shared" si="2081"/>
        <v>8.1914019749241636E-6</v>
      </c>
      <c r="Q457" s="52">
        <f t="shared" si="2082"/>
        <v>7.9678835737923163E-6</v>
      </c>
      <c r="R457" s="52">
        <f t="shared" si="2083"/>
        <v>0</v>
      </c>
      <c r="S457" s="527">
        <f t="shared" si="2055"/>
        <v>0</v>
      </c>
      <c r="T457" s="533">
        <f t="shared" si="2056"/>
        <v>-2.3452862311130026E-6</v>
      </c>
      <c r="U457" s="375">
        <f t="shared" si="2057"/>
        <v>0</v>
      </c>
      <c r="V457" s="375">
        <f t="shared" si="2058"/>
        <v>-6.9684745347698331E-6</v>
      </c>
      <c r="W457" s="386">
        <f t="shared" si="2059"/>
        <v>0</v>
      </c>
      <c r="X457" s="386">
        <f t="shared" si="2077"/>
        <v>0</v>
      </c>
      <c r="Y457" s="386">
        <f t="shared" si="2078"/>
        <v>0</v>
      </c>
      <c r="Z457" s="375">
        <f t="shared" si="2079"/>
        <v>0</v>
      </c>
      <c r="AA457" s="375">
        <f t="shared" si="2062"/>
        <v>-7.967959640958981E-6</v>
      </c>
      <c r="AB457" s="386">
        <f t="shared" si="2063"/>
        <v>0</v>
      </c>
      <c r="AC457" s="386">
        <f t="shared" si="2084"/>
        <v>0</v>
      </c>
      <c r="AD457" s="386">
        <f t="shared" si="2085"/>
        <v>0</v>
      </c>
      <c r="AE457" s="386">
        <f t="shared" si="2086"/>
        <v>-8.1914019749241636E-6</v>
      </c>
      <c r="AF457" s="386">
        <f t="shared" si="2087"/>
        <v>-7.967959640958981E-6</v>
      </c>
      <c r="AG457" s="375">
        <f t="shared" si="2088"/>
        <v>-8.0408931940964364E-6</v>
      </c>
      <c r="AH457" s="375">
        <f t="shared" si="2089"/>
        <v>0</v>
      </c>
      <c r="AI457" s="386">
        <f t="shared" si="2090"/>
        <v>0</v>
      </c>
      <c r="AJ457" s="386">
        <f t="shared" si="2091"/>
        <v>0</v>
      </c>
      <c r="AK457" s="386">
        <f t="shared" si="2092"/>
        <v>0</v>
      </c>
      <c r="AL457" s="377">
        <f t="shared" si="2093"/>
        <v>0</v>
      </c>
      <c r="AM457" s="377">
        <f t="shared" si="2094"/>
        <v>0</v>
      </c>
      <c r="AN457" s="377">
        <f t="shared" si="2095"/>
        <v>0</v>
      </c>
      <c r="AO457" s="283"/>
      <c r="AP457" s="295">
        <f t="shared" si="2070"/>
        <v>0.314247</v>
      </c>
      <c r="AQ457" s="20">
        <f t="shared" si="2044"/>
        <v>6.6123000000000001E-2</v>
      </c>
      <c r="AR457" s="95">
        <f t="shared" si="2045"/>
        <v>0</v>
      </c>
      <c r="AS457" s="94">
        <f t="shared" si="2064"/>
        <v>0.22767399999999999</v>
      </c>
      <c r="AT457" s="94">
        <f t="shared" si="2068"/>
        <v>0.22767399999999999</v>
      </c>
      <c r="AU457" s="94">
        <f t="shared" si="2071"/>
        <v>0</v>
      </c>
      <c r="AV457" s="1043">
        <f t="shared" si="2040"/>
        <v>0.314247</v>
      </c>
      <c r="AW457" s="1043">
        <f t="shared" si="2097"/>
        <v>0.314247</v>
      </c>
      <c r="AX457" s="1043">
        <f t="shared" si="2041"/>
        <v>0.31424400000000002</v>
      </c>
      <c r="AY457" s="1043">
        <f t="shared" si="2075"/>
        <v>0</v>
      </c>
      <c r="AZ457" s="1044">
        <f t="shared" si="2051"/>
        <v>0</v>
      </c>
      <c r="BA457" s="1045">
        <v>-6.6123000000000001E-2</v>
      </c>
      <c r="BB457" s="1046">
        <v>0</v>
      </c>
      <c r="BC457" s="1013">
        <f t="shared" si="2069"/>
        <v>-0.22767399999999999</v>
      </c>
      <c r="BD457" s="1047">
        <v>0</v>
      </c>
      <c r="BE457" s="1047">
        <f>0</f>
        <v>0</v>
      </c>
      <c r="BF457" s="1047">
        <f>0</f>
        <v>0</v>
      </c>
      <c r="BG457" s="1013">
        <v>0</v>
      </c>
      <c r="BH457" s="1013">
        <v>-0.314247</v>
      </c>
      <c r="BI457" s="1047">
        <v>0</v>
      </c>
      <c r="BJ457" s="132">
        <v>0</v>
      </c>
      <c r="BK457" s="132">
        <v>0</v>
      </c>
      <c r="BL457" s="132">
        <v>-0.314247</v>
      </c>
      <c r="BM457" s="132">
        <v>-0.314247</v>
      </c>
      <c r="BN457" s="1014">
        <v>-0.31424400000000002</v>
      </c>
      <c r="BO457" s="207">
        <v>0</v>
      </c>
      <c r="BP457" s="389">
        <v>0</v>
      </c>
      <c r="BQ457" s="389">
        <v>0</v>
      </c>
      <c r="BR457" s="389">
        <v>0</v>
      </c>
      <c r="BS457" s="296">
        <v>0</v>
      </c>
      <c r="BT457" s="296">
        <v>0</v>
      </c>
      <c r="BU457" s="296">
        <v>0</v>
      </c>
      <c r="BV457" s="1014">
        <v>0</v>
      </c>
      <c r="BW457" s="296">
        <f t="shared" ref="BW457" si="2098">-BV457</f>
        <v>0</v>
      </c>
      <c r="BX457" s="443" t="s">
        <v>2073</v>
      </c>
    </row>
    <row r="458" spans="1:76" ht="138.6" hidden="1" customHeight="1" outlineLevel="1" x14ac:dyDescent="0.25">
      <c r="A458" s="678">
        <v>66</v>
      </c>
      <c r="B458" s="702" t="s">
        <v>242</v>
      </c>
      <c r="C458" s="694" t="s">
        <v>242</v>
      </c>
      <c r="D458" s="663">
        <v>44705</v>
      </c>
      <c r="E458" s="463" t="s">
        <v>2111</v>
      </c>
      <c r="F458" s="542" t="s">
        <v>1611</v>
      </c>
      <c r="G458" s="242" t="s">
        <v>225</v>
      </c>
      <c r="H458" s="311" t="s">
        <v>130</v>
      </c>
      <c r="I458" s="335"/>
      <c r="J458" s="294">
        <f t="shared" si="1900"/>
        <v>2.3452862311130026E-6</v>
      </c>
      <c r="K458" s="52">
        <f t="shared" si="1901"/>
        <v>0</v>
      </c>
      <c r="L458" s="52">
        <f t="shared" si="1902"/>
        <v>6.9684745347698331E-6</v>
      </c>
      <c r="M458" s="52">
        <f t="shared" si="1968"/>
        <v>7.2590810429963828E-6</v>
      </c>
      <c r="N458" s="52">
        <f t="shared" si="1969"/>
        <v>0</v>
      </c>
      <c r="O458" s="52">
        <f t="shared" si="2080"/>
        <v>2.2359766151028301E-5</v>
      </c>
      <c r="P458" s="52">
        <f t="shared" si="2081"/>
        <v>2.2986792210500176E-5</v>
      </c>
      <c r="Q458" s="52">
        <f t="shared" si="2082"/>
        <v>0</v>
      </c>
      <c r="R458" s="52">
        <f t="shared" si="2083"/>
        <v>0</v>
      </c>
      <c r="S458" s="527">
        <f t="shared" si="1909"/>
        <v>0</v>
      </c>
      <c r="T458" s="533">
        <f t="shared" si="1974"/>
        <v>-2.3452862311130026E-6</v>
      </c>
      <c r="U458" s="375">
        <f t="shared" si="1911"/>
        <v>0</v>
      </c>
      <c r="V458" s="375">
        <f t="shared" si="1912"/>
        <v>-6.9684745347698331E-6</v>
      </c>
      <c r="W458" s="386">
        <f t="shared" si="1913"/>
        <v>0</v>
      </c>
      <c r="X458" s="386">
        <f>BE458/X$8</f>
        <v>0</v>
      </c>
      <c r="Y458" s="386">
        <f>BF458/Y$8</f>
        <v>0</v>
      </c>
      <c r="Z458" s="375">
        <f>BG458/Z$8</f>
        <v>0</v>
      </c>
      <c r="AA458" s="375">
        <f t="shared" si="1917"/>
        <v>-2.2359766151028301E-5</v>
      </c>
      <c r="AB458" s="386">
        <f t="shared" si="1918"/>
        <v>0</v>
      </c>
      <c r="AC458" s="386">
        <f t="shared" si="2084"/>
        <v>0</v>
      </c>
      <c r="AD458" s="386">
        <f t="shared" si="2085"/>
        <v>0</v>
      </c>
      <c r="AE458" s="386">
        <f t="shared" si="2086"/>
        <v>-2.2986792210500176E-5</v>
      </c>
      <c r="AF458" s="386">
        <f t="shared" si="2087"/>
        <v>-2.2359766151028301E-5</v>
      </c>
      <c r="AG458" s="375">
        <f t="shared" si="2088"/>
        <v>0</v>
      </c>
      <c r="AH458" s="375">
        <f t="shared" si="2089"/>
        <v>0</v>
      </c>
      <c r="AI458" s="386">
        <f t="shared" si="2090"/>
        <v>0</v>
      </c>
      <c r="AJ458" s="386">
        <f t="shared" si="2091"/>
        <v>0</v>
      </c>
      <c r="AK458" s="386">
        <f t="shared" si="2092"/>
        <v>0</v>
      </c>
      <c r="AL458" s="377">
        <f t="shared" si="2093"/>
        <v>0</v>
      </c>
      <c r="AM458" s="377">
        <f t="shared" si="2094"/>
        <v>0</v>
      </c>
      <c r="AN458" s="377">
        <f t="shared" si="2095"/>
        <v>0</v>
      </c>
      <c r="AO458" s="283"/>
      <c r="AP458" s="295">
        <f t="shared" si="1987"/>
        <v>0.88184300000000004</v>
      </c>
      <c r="AQ458" s="20">
        <f t="shared" si="1988"/>
        <v>6.6123000000000001E-2</v>
      </c>
      <c r="AR458" s="95">
        <f t="shared" si="1988"/>
        <v>0</v>
      </c>
      <c r="AS458" s="94">
        <f t="shared" si="2048"/>
        <v>0.22767399999999999</v>
      </c>
      <c r="AT458" s="94">
        <f t="shared" si="2042"/>
        <v>0.22767399999999999</v>
      </c>
      <c r="AU458" s="94">
        <f t="shared" si="2043"/>
        <v>0</v>
      </c>
      <c r="AV458" s="1043">
        <f t="shared" si="2040"/>
        <v>0.88184300000000004</v>
      </c>
      <c r="AW458" s="1043">
        <f t="shared" si="2072"/>
        <v>0.88184300000000004</v>
      </c>
      <c r="AX458" s="1043">
        <f t="shared" si="2041"/>
        <v>0</v>
      </c>
      <c r="AY458" s="1043">
        <f t="shared" si="1966"/>
        <v>0</v>
      </c>
      <c r="AZ458" s="1044">
        <f t="shared" si="1967"/>
        <v>0</v>
      </c>
      <c r="BA458" s="1045">
        <v>-6.6123000000000001E-2</v>
      </c>
      <c r="BB458" s="1046">
        <v>0</v>
      </c>
      <c r="BC458" s="1013">
        <f t="shared" si="2069"/>
        <v>-0.22767399999999999</v>
      </c>
      <c r="BD458" s="1047">
        <v>0</v>
      </c>
      <c r="BE458" s="1047">
        <f>0</f>
        <v>0</v>
      </c>
      <c r="BF458" s="1047">
        <f>0</f>
        <v>0</v>
      </c>
      <c r="BG458" s="1013">
        <v>0</v>
      </c>
      <c r="BH458" s="1013">
        <v>-0.88184300000000004</v>
      </c>
      <c r="BI458" s="1047">
        <v>0</v>
      </c>
      <c r="BJ458" s="132">
        <v>0</v>
      </c>
      <c r="BK458" s="132">
        <v>0</v>
      </c>
      <c r="BL458" s="132">
        <v>-0.88184300000000004</v>
      </c>
      <c r="BM458" s="132">
        <v>-0.88184300000000004</v>
      </c>
      <c r="BN458" s="409">
        <v>0</v>
      </c>
      <c r="BO458" s="207">
        <v>0</v>
      </c>
      <c r="BP458" s="389">
        <v>0</v>
      </c>
      <c r="BQ458" s="389">
        <v>0</v>
      </c>
      <c r="BR458" s="389">
        <v>0</v>
      </c>
      <c r="BS458" s="296">
        <v>0</v>
      </c>
      <c r="BT458" s="296">
        <v>0</v>
      </c>
      <c r="BU458" s="296">
        <v>0</v>
      </c>
      <c r="BV458" s="409">
        <v>0</v>
      </c>
      <c r="BW458" s="296">
        <f t="shared" si="2076"/>
        <v>0</v>
      </c>
      <c r="BX458" s="443" t="s">
        <v>2112</v>
      </c>
    </row>
    <row r="459" spans="1:76" ht="93" hidden="1" customHeight="1" outlineLevel="1" x14ac:dyDescent="0.25">
      <c r="A459" s="678">
        <v>67</v>
      </c>
      <c r="B459" s="702" t="s">
        <v>609</v>
      </c>
      <c r="C459" s="694" t="s">
        <v>609</v>
      </c>
      <c r="D459" s="63" t="s">
        <v>497</v>
      </c>
      <c r="E459" s="463" t="s">
        <v>285</v>
      </c>
      <c r="F459" s="542" t="s">
        <v>281</v>
      </c>
      <c r="G459" s="71" t="s">
        <v>216</v>
      </c>
      <c r="H459" s="311" t="s">
        <v>129</v>
      </c>
      <c r="I459" s="335"/>
      <c r="J459" s="294">
        <f t="shared" si="1900"/>
        <v>2.2699865219550259E-5</v>
      </c>
      <c r="K459" s="52">
        <f t="shared" si="1901"/>
        <v>1.328234641494723E-5</v>
      </c>
      <c r="L459" s="52">
        <f t="shared" si="1902"/>
        <v>0</v>
      </c>
      <c r="M459" s="52">
        <f t="shared" si="1968"/>
        <v>0</v>
      </c>
      <c r="N459" s="52">
        <f t="shared" si="1969"/>
        <v>0</v>
      </c>
      <c r="O459" s="52">
        <f t="shared" si="2080"/>
        <v>0</v>
      </c>
      <c r="P459" s="52">
        <f t="shared" si="2081"/>
        <v>0</v>
      </c>
      <c r="Q459" s="52">
        <f t="shared" si="2082"/>
        <v>0</v>
      </c>
      <c r="R459" s="52">
        <f t="shared" si="2083"/>
        <v>0</v>
      </c>
      <c r="S459" s="527">
        <f t="shared" si="1909"/>
        <v>0</v>
      </c>
      <c r="T459" s="533">
        <f t="shared" si="1974"/>
        <v>-2.2699865219550259E-5</v>
      </c>
      <c r="U459" s="375">
        <f t="shared" si="1911"/>
        <v>-1.328234641494723E-5</v>
      </c>
      <c r="V459" s="375">
        <f t="shared" si="1912"/>
        <v>0</v>
      </c>
      <c r="W459" s="386">
        <f t="shared" si="1913"/>
        <v>0</v>
      </c>
      <c r="X459" s="386">
        <f t="shared" si="1914"/>
        <v>0</v>
      </c>
      <c r="Y459" s="386">
        <f t="shared" ref="Y459:Y469" si="2099">BF459/Y$8</f>
        <v>0</v>
      </c>
      <c r="Z459" s="375">
        <f t="shared" ref="Z459:Z469" si="2100">BG459/Z$8</f>
        <v>0</v>
      </c>
      <c r="AA459" s="375">
        <f t="shared" si="1917"/>
        <v>0</v>
      </c>
      <c r="AB459" s="386">
        <f t="shared" si="1918"/>
        <v>0</v>
      </c>
      <c r="AC459" s="386">
        <f t="shared" si="2084"/>
        <v>0</v>
      </c>
      <c r="AD459" s="386">
        <f t="shared" si="2085"/>
        <v>0</v>
      </c>
      <c r="AE459" s="386">
        <f t="shared" si="2086"/>
        <v>0</v>
      </c>
      <c r="AF459" s="386">
        <f t="shared" si="2087"/>
        <v>0</v>
      </c>
      <c r="AG459" s="375">
        <f t="shared" si="2088"/>
        <v>0</v>
      </c>
      <c r="AH459" s="375">
        <f t="shared" si="2089"/>
        <v>0</v>
      </c>
      <c r="AI459" s="386">
        <f t="shared" si="2090"/>
        <v>0</v>
      </c>
      <c r="AJ459" s="386">
        <f t="shared" si="2091"/>
        <v>0</v>
      </c>
      <c r="AK459" s="386">
        <f t="shared" si="2092"/>
        <v>0</v>
      </c>
      <c r="AL459" s="377">
        <f t="shared" si="2093"/>
        <v>0</v>
      </c>
      <c r="AM459" s="377">
        <f t="shared" si="2094"/>
        <v>0</v>
      </c>
      <c r="AN459" s="377">
        <f t="shared" si="2095"/>
        <v>0</v>
      </c>
      <c r="AO459" s="283"/>
      <c r="AP459" s="295">
        <f t="shared" si="1987"/>
        <v>0.40237600000000001</v>
      </c>
      <c r="AQ459" s="20">
        <f t="shared" ref="AQ459:AR460" si="2101">-BA459</f>
        <v>0.64</v>
      </c>
      <c r="AR459" s="95">
        <f t="shared" si="2101"/>
        <v>0.40237600000000001</v>
      </c>
      <c r="AS459" s="94">
        <f t="shared" ref="AS459:AS486" si="2102">-BC459</f>
        <v>0</v>
      </c>
      <c r="AT459" s="94">
        <f t="shared" si="2042"/>
        <v>0</v>
      </c>
      <c r="AU459" s="94">
        <f t="shared" si="2043"/>
        <v>0</v>
      </c>
      <c r="AV459" s="94">
        <f t="shared" si="2040"/>
        <v>0</v>
      </c>
      <c r="AW459" s="94">
        <f t="shared" ref="AW459:AW474" si="2103">-BH459</f>
        <v>0</v>
      </c>
      <c r="AX459" s="94">
        <f t="shared" si="2041"/>
        <v>0</v>
      </c>
      <c r="AY459" s="94">
        <f t="shared" ref="AY459:AY474" si="2104">-BO459</f>
        <v>0</v>
      </c>
      <c r="AZ459" s="433">
        <f t="shared" ref="AZ459:AZ474" si="2105">-BU459</f>
        <v>0</v>
      </c>
      <c r="BA459" s="657">
        <f>-0.8+0.16</f>
        <v>-0.64</v>
      </c>
      <c r="BB459" s="327">
        <v>-0.40237600000000001</v>
      </c>
      <c r="BC459" s="207">
        <v>0</v>
      </c>
      <c r="BD459" s="132">
        <v>0</v>
      </c>
      <c r="BE459" s="132">
        <v>0</v>
      </c>
      <c r="BF459" s="132">
        <v>0</v>
      </c>
      <c r="BG459" s="207">
        <v>0</v>
      </c>
      <c r="BH459" s="207">
        <v>0</v>
      </c>
      <c r="BI459" s="132">
        <v>0</v>
      </c>
      <c r="BJ459" s="132">
        <v>0</v>
      </c>
      <c r="BK459" s="132">
        <v>0</v>
      </c>
      <c r="BL459" s="132">
        <v>0</v>
      </c>
      <c r="BM459" s="132">
        <v>0</v>
      </c>
      <c r="BN459" s="409">
        <v>0</v>
      </c>
      <c r="BO459" s="207">
        <v>0</v>
      </c>
      <c r="BP459" s="389">
        <v>0</v>
      </c>
      <c r="BQ459" s="389">
        <v>0</v>
      </c>
      <c r="BR459" s="389">
        <v>0</v>
      </c>
      <c r="BS459" s="296">
        <v>0</v>
      </c>
      <c r="BT459" s="296">
        <v>0</v>
      </c>
      <c r="BU459" s="296">
        <v>0</v>
      </c>
      <c r="BV459" s="409">
        <v>0</v>
      </c>
      <c r="BW459" s="296">
        <f t="shared" ref="BW459:BW490" si="2106">-BV459</f>
        <v>0</v>
      </c>
      <c r="BX459" s="439" t="s">
        <v>397</v>
      </c>
    </row>
    <row r="460" spans="1:76" ht="72.599999999999994" hidden="1" customHeight="1" outlineLevel="1" x14ac:dyDescent="0.25">
      <c r="A460" s="678">
        <v>68</v>
      </c>
      <c r="B460" s="702" t="s">
        <v>609</v>
      </c>
      <c r="C460" s="694" t="s">
        <v>609</v>
      </c>
      <c r="D460" s="63" t="s">
        <v>398</v>
      </c>
      <c r="E460" s="463" t="s">
        <v>613</v>
      </c>
      <c r="F460" s="1240" t="s">
        <v>608</v>
      </c>
      <c r="G460" s="71" t="s">
        <v>216</v>
      </c>
      <c r="H460" s="311" t="s">
        <v>127</v>
      </c>
      <c r="I460" s="335"/>
      <c r="J460" s="294">
        <f t="shared" si="1900"/>
        <v>1.68343973895155E-4</v>
      </c>
      <c r="K460" s="52">
        <f t="shared" si="1901"/>
        <v>5.644673730431179E-5</v>
      </c>
      <c r="L460" s="52">
        <f t="shared" si="1902"/>
        <v>0</v>
      </c>
      <c r="M460" s="52">
        <f t="shared" si="1968"/>
        <v>0</v>
      </c>
      <c r="N460" s="52">
        <f t="shared" si="1969"/>
        <v>0</v>
      </c>
      <c r="O460" s="52">
        <f t="shared" si="2080"/>
        <v>0</v>
      </c>
      <c r="P460" s="52">
        <f t="shared" si="2081"/>
        <v>0</v>
      </c>
      <c r="Q460" s="52">
        <f t="shared" si="2082"/>
        <v>0</v>
      </c>
      <c r="R460" s="52">
        <f t="shared" si="2083"/>
        <v>0</v>
      </c>
      <c r="S460" s="527">
        <f t="shared" si="1909"/>
        <v>0</v>
      </c>
      <c r="T460" s="533">
        <f t="shared" si="1974"/>
        <v>-1.68343973895155E-4</v>
      </c>
      <c r="U460" s="375">
        <f t="shared" si="1911"/>
        <v>-5.644673730431179E-5</v>
      </c>
      <c r="V460" s="375">
        <f t="shared" si="1912"/>
        <v>0</v>
      </c>
      <c r="W460" s="386">
        <f t="shared" si="1913"/>
        <v>0</v>
      </c>
      <c r="X460" s="386">
        <f t="shared" si="1914"/>
        <v>0</v>
      </c>
      <c r="Y460" s="386">
        <f t="shared" si="2099"/>
        <v>0</v>
      </c>
      <c r="Z460" s="375">
        <f t="shared" si="2100"/>
        <v>0</v>
      </c>
      <c r="AA460" s="375">
        <f t="shared" si="1917"/>
        <v>0</v>
      </c>
      <c r="AB460" s="386">
        <f t="shared" si="1918"/>
        <v>0</v>
      </c>
      <c r="AC460" s="386">
        <f t="shared" si="2084"/>
        <v>0</v>
      </c>
      <c r="AD460" s="386">
        <f t="shared" si="2085"/>
        <v>0</v>
      </c>
      <c r="AE460" s="386">
        <f t="shared" si="2086"/>
        <v>0</v>
      </c>
      <c r="AF460" s="386">
        <f t="shared" si="2087"/>
        <v>0</v>
      </c>
      <c r="AG460" s="375">
        <f t="shared" si="2088"/>
        <v>0</v>
      </c>
      <c r="AH460" s="375">
        <f t="shared" si="2089"/>
        <v>0</v>
      </c>
      <c r="AI460" s="386">
        <f t="shared" si="2090"/>
        <v>0</v>
      </c>
      <c r="AJ460" s="386">
        <f t="shared" si="2091"/>
        <v>0</v>
      </c>
      <c r="AK460" s="386">
        <f t="shared" si="2092"/>
        <v>0</v>
      </c>
      <c r="AL460" s="377">
        <f t="shared" si="2093"/>
        <v>0</v>
      </c>
      <c r="AM460" s="377">
        <f t="shared" si="2094"/>
        <v>0</v>
      </c>
      <c r="AN460" s="377">
        <f t="shared" si="2095"/>
        <v>0</v>
      </c>
      <c r="AO460" s="283"/>
      <c r="AP460" s="295">
        <f t="shared" si="1987"/>
        <v>1.71</v>
      </c>
      <c r="AQ460" s="20">
        <f t="shared" si="2101"/>
        <v>4.7462900000000001</v>
      </c>
      <c r="AR460" s="95">
        <f t="shared" si="2101"/>
        <v>1.71</v>
      </c>
      <c r="AS460" s="94">
        <f t="shared" si="2102"/>
        <v>0</v>
      </c>
      <c r="AT460" s="94">
        <f t="shared" si="2042"/>
        <v>0</v>
      </c>
      <c r="AU460" s="94">
        <f t="shared" si="2043"/>
        <v>0</v>
      </c>
      <c r="AV460" s="94">
        <f t="shared" si="2040"/>
        <v>0</v>
      </c>
      <c r="AW460" s="94">
        <f t="shared" si="2103"/>
        <v>0</v>
      </c>
      <c r="AX460" s="94">
        <f t="shared" si="2041"/>
        <v>0</v>
      </c>
      <c r="AY460" s="94">
        <f t="shared" si="2104"/>
        <v>0</v>
      </c>
      <c r="AZ460" s="433">
        <f t="shared" si="2105"/>
        <v>0</v>
      </c>
      <c r="BA460" s="657">
        <f>-4.74629</f>
        <v>-4.7462900000000001</v>
      </c>
      <c r="BB460" s="327">
        <v>-1.71</v>
      </c>
      <c r="BC460" s="207">
        <v>0</v>
      </c>
      <c r="BD460" s="132">
        <v>0</v>
      </c>
      <c r="BE460" s="132">
        <v>0</v>
      </c>
      <c r="BF460" s="132">
        <v>0</v>
      </c>
      <c r="BG460" s="207">
        <v>0</v>
      </c>
      <c r="BH460" s="207">
        <v>0</v>
      </c>
      <c r="BI460" s="132">
        <v>0</v>
      </c>
      <c r="BJ460" s="132">
        <v>0</v>
      </c>
      <c r="BK460" s="132">
        <v>0</v>
      </c>
      <c r="BL460" s="132">
        <v>0</v>
      </c>
      <c r="BM460" s="132">
        <v>0</v>
      </c>
      <c r="BN460" s="409">
        <v>0</v>
      </c>
      <c r="BO460" s="207">
        <v>0</v>
      </c>
      <c r="BP460" s="389">
        <v>0</v>
      </c>
      <c r="BQ460" s="389">
        <v>0</v>
      </c>
      <c r="BR460" s="389">
        <v>0</v>
      </c>
      <c r="BS460" s="296">
        <v>0</v>
      </c>
      <c r="BT460" s="296">
        <v>0</v>
      </c>
      <c r="BU460" s="296">
        <v>0</v>
      </c>
      <c r="BV460" s="409">
        <v>0</v>
      </c>
      <c r="BW460" s="296">
        <f>-BV460</f>
        <v>0</v>
      </c>
      <c r="BX460" s="1274" t="s">
        <v>670</v>
      </c>
    </row>
    <row r="461" spans="1:76" ht="57.95" hidden="1" customHeight="1" outlineLevel="1" x14ac:dyDescent="0.25">
      <c r="A461" s="678">
        <v>69</v>
      </c>
      <c r="B461" s="702" t="s">
        <v>609</v>
      </c>
      <c r="C461" s="694" t="s">
        <v>609</v>
      </c>
      <c r="D461" s="63">
        <v>43844</v>
      </c>
      <c r="E461" s="463" t="s">
        <v>576</v>
      </c>
      <c r="F461" s="1241"/>
      <c r="G461" s="71" t="s">
        <v>216</v>
      </c>
      <c r="H461" s="311" t="s">
        <v>127</v>
      </c>
      <c r="I461" s="335"/>
      <c r="J461" s="294">
        <f t="shared" si="1900"/>
        <v>0</v>
      </c>
      <c r="K461" s="52">
        <f t="shared" si="1901"/>
        <v>0</v>
      </c>
      <c r="L461" s="52">
        <f t="shared" si="1902"/>
        <v>7.8215750489715955E-5</v>
      </c>
      <c r="M461" s="52">
        <f t="shared" si="1968"/>
        <v>8.1477584342264605E-5</v>
      </c>
      <c r="N461" s="52">
        <f t="shared" si="1969"/>
        <v>5.8225691110395304E-5</v>
      </c>
      <c r="O461" s="52">
        <f t="shared" si="2080"/>
        <v>0</v>
      </c>
      <c r="P461" s="52">
        <f t="shared" si="2081"/>
        <v>0</v>
      </c>
      <c r="Q461" s="52">
        <f t="shared" si="2082"/>
        <v>0</v>
      </c>
      <c r="R461" s="52">
        <f t="shared" si="2083"/>
        <v>0</v>
      </c>
      <c r="S461" s="527">
        <f t="shared" si="1909"/>
        <v>0</v>
      </c>
      <c r="T461" s="533">
        <f t="shared" si="1974"/>
        <v>0</v>
      </c>
      <c r="U461" s="375">
        <f t="shared" si="1911"/>
        <v>0</v>
      </c>
      <c r="V461" s="375">
        <f t="shared" si="1912"/>
        <v>-7.8215750489715955E-5</v>
      </c>
      <c r="W461" s="386">
        <f t="shared" si="1913"/>
        <v>-8.343313495047942E-5</v>
      </c>
      <c r="X461" s="386">
        <f t="shared" si="1914"/>
        <v>-8.1477584342264605E-5</v>
      </c>
      <c r="Y461" s="386">
        <f t="shared" si="2099"/>
        <v>-8.1477584342264605E-5</v>
      </c>
      <c r="Z461" s="375">
        <f t="shared" si="2100"/>
        <v>-5.8225691110395304E-5</v>
      </c>
      <c r="AA461" s="375">
        <f t="shared" si="1917"/>
        <v>0</v>
      </c>
      <c r="AB461" s="386">
        <f t="shared" si="1918"/>
        <v>0</v>
      </c>
      <c r="AC461" s="386">
        <f t="shared" si="2084"/>
        <v>0</v>
      </c>
      <c r="AD461" s="386">
        <f t="shared" si="2085"/>
        <v>0</v>
      </c>
      <c r="AE461" s="386">
        <f t="shared" si="2086"/>
        <v>0</v>
      </c>
      <c r="AF461" s="386">
        <f t="shared" si="2087"/>
        <v>0</v>
      </c>
      <c r="AG461" s="375">
        <f t="shared" si="2088"/>
        <v>0</v>
      </c>
      <c r="AH461" s="375">
        <f t="shared" si="2089"/>
        <v>0</v>
      </c>
      <c r="AI461" s="386">
        <f t="shared" si="2090"/>
        <v>0</v>
      </c>
      <c r="AJ461" s="386">
        <f t="shared" si="2091"/>
        <v>0</v>
      </c>
      <c r="AK461" s="386">
        <f t="shared" si="2092"/>
        <v>0</v>
      </c>
      <c r="AL461" s="377">
        <f t="shared" si="2093"/>
        <v>0</v>
      </c>
      <c r="AM461" s="377">
        <f t="shared" si="2094"/>
        <v>0</v>
      </c>
      <c r="AN461" s="377">
        <f t="shared" si="2095"/>
        <v>0</v>
      </c>
      <c r="AO461" s="283"/>
      <c r="AP461" s="295">
        <f t="shared" si="1987"/>
        <v>1.95566</v>
      </c>
      <c r="AQ461" s="20">
        <f>-BA461</f>
        <v>0</v>
      </c>
      <c r="AR461" s="95">
        <f>-BB461</f>
        <v>0</v>
      </c>
      <c r="AS461" s="94">
        <f t="shared" si="2102"/>
        <v>2.5554649999999999</v>
      </c>
      <c r="AT461" s="94">
        <f t="shared" si="2042"/>
        <v>2.5554649999999999</v>
      </c>
      <c r="AU461" s="94">
        <f t="shared" si="2043"/>
        <v>1.95566</v>
      </c>
      <c r="AV461" s="94">
        <f t="shared" si="2040"/>
        <v>0</v>
      </c>
      <c r="AW461" s="94">
        <f t="shared" si="2103"/>
        <v>0</v>
      </c>
      <c r="AX461" s="94">
        <f t="shared" si="2041"/>
        <v>0</v>
      </c>
      <c r="AY461" s="94">
        <f t="shared" si="2104"/>
        <v>0</v>
      </c>
      <c r="AZ461" s="433">
        <f t="shared" si="2105"/>
        <v>0</v>
      </c>
      <c r="BA461" s="657">
        <v>0</v>
      </c>
      <c r="BB461" s="327">
        <v>0</v>
      </c>
      <c r="BC461" s="207">
        <f>-2.555465</f>
        <v>-2.5554649999999999</v>
      </c>
      <c r="BD461" s="132">
        <f>-2.555465</f>
        <v>-2.5554649999999999</v>
      </c>
      <c r="BE461" s="132">
        <v>-2.5554649999999999</v>
      </c>
      <c r="BF461" s="132">
        <v>-2.5554649999999999</v>
      </c>
      <c r="BG461" s="60">
        <f>-1.95566</f>
        <v>-1.95566</v>
      </c>
      <c r="BH461" s="207">
        <v>0</v>
      </c>
      <c r="BI461" s="132">
        <v>0</v>
      </c>
      <c r="BJ461" s="132">
        <v>0</v>
      </c>
      <c r="BK461" s="132">
        <v>0</v>
      </c>
      <c r="BL461" s="132">
        <v>0</v>
      </c>
      <c r="BM461" s="132">
        <v>0</v>
      </c>
      <c r="BN461" s="322">
        <v>0</v>
      </c>
      <c r="BO461" s="207">
        <v>0</v>
      </c>
      <c r="BP461" s="389">
        <v>0</v>
      </c>
      <c r="BQ461" s="389">
        <v>0</v>
      </c>
      <c r="BR461" s="389">
        <v>0</v>
      </c>
      <c r="BS461" s="296">
        <v>0</v>
      </c>
      <c r="BT461" s="296">
        <v>0</v>
      </c>
      <c r="BU461" s="296">
        <v>0</v>
      </c>
      <c r="BV461" s="322">
        <v>0</v>
      </c>
      <c r="BW461" s="296">
        <f t="shared" ref="BW461:BW462" si="2107">-BV461</f>
        <v>0</v>
      </c>
      <c r="BX461" s="1275"/>
    </row>
    <row r="462" spans="1:76" ht="72" hidden="1" customHeight="1" outlineLevel="1" x14ac:dyDescent="0.25">
      <c r="A462" s="678">
        <v>70</v>
      </c>
      <c r="B462" s="702" t="s">
        <v>609</v>
      </c>
      <c r="C462" s="694" t="s">
        <v>609</v>
      </c>
      <c r="D462" s="63" t="s">
        <v>544</v>
      </c>
      <c r="E462" s="463" t="s">
        <v>545</v>
      </c>
      <c r="F462" s="542" t="s">
        <v>624</v>
      </c>
      <c r="G462" s="71" t="s">
        <v>216</v>
      </c>
      <c r="H462" s="311" t="s">
        <v>127</v>
      </c>
      <c r="I462" s="335"/>
      <c r="J462" s="294">
        <f t="shared" si="1900"/>
        <v>1.5793431226502092E-6</v>
      </c>
      <c r="K462" s="52">
        <f t="shared" si="1901"/>
        <v>0</v>
      </c>
      <c r="L462" s="52">
        <f t="shared" si="1902"/>
        <v>6.6524853085210588E-5</v>
      </c>
      <c r="M462" s="52">
        <f t="shared" si="1968"/>
        <v>6.9299141083095308E-5</v>
      </c>
      <c r="N462" s="52">
        <f t="shared" si="1969"/>
        <v>4.2389479753810186E-6</v>
      </c>
      <c r="O462" s="52">
        <f t="shared" si="2080"/>
        <v>0</v>
      </c>
      <c r="P462" s="52">
        <f t="shared" si="2081"/>
        <v>0</v>
      </c>
      <c r="Q462" s="52">
        <f t="shared" si="2082"/>
        <v>0</v>
      </c>
      <c r="R462" s="52">
        <f t="shared" si="2083"/>
        <v>0</v>
      </c>
      <c r="S462" s="527">
        <f t="shared" si="1909"/>
        <v>0</v>
      </c>
      <c r="T462" s="533">
        <f t="shared" si="1974"/>
        <v>-1.5793431226502092E-6</v>
      </c>
      <c r="U462" s="375">
        <f t="shared" si="1911"/>
        <v>0</v>
      </c>
      <c r="V462" s="375">
        <f t="shared" si="1912"/>
        <v>-6.6524853085210588E-5</v>
      </c>
      <c r="W462" s="386">
        <f t="shared" si="1913"/>
        <v>-7.0962395812451773E-5</v>
      </c>
      <c r="X462" s="386">
        <f t="shared" si="1914"/>
        <v>-6.9299141083095308E-5</v>
      </c>
      <c r="Y462" s="386">
        <f t="shared" si="2099"/>
        <v>-6.9299141083095308E-5</v>
      </c>
      <c r="Z462" s="375">
        <f t="shared" si="2100"/>
        <v>-4.2389479753810186E-6</v>
      </c>
      <c r="AA462" s="375">
        <f t="shared" si="1917"/>
        <v>0</v>
      </c>
      <c r="AB462" s="386">
        <f t="shared" si="1918"/>
        <v>0</v>
      </c>
      <c r="AC462" s="386">
        <f t="shared" si="2084"/>
        <v>0</v>
      </c>
      <c r="AD462" s="386">
        <f t="shared" si="2085"/>
        <v>0</v>
      </c>
      <c r="AE462" s="386">
        <f t="shared" si="2086"/>
        <v>0</v>
      </c>
      <c r="AF462" s="386">
        <f t="shared" si="2087"/>
        <v>0</v>
      </c>
      <c r="AG462" s="375">
        <f t="shared" si="2088"/>
        <v>0</v>
      </c>
      <c r="AH462" s="375">
        <f t="shared" si="2089"/>
        <v>0</v>
      </c>
      <c r="AI462" s="386">
        <f t="shared" si="2090"/>
        <v>0</v>
      </c>
      <c r="AJ462" s="386">
        <f t="shared" si="2091"/>
        <v>0</v>
      </c>
      <c r="AK462" s="386">
        <f t="shared" si="2092"/>
        <v>0</v>
      </c>
      <c r="AL462" s="377">
        <f t="shared" si="2093"/>
        <v>0</v>
      </c>
      <c r="AM462" s="377">
        <f t="shared" si="2094"/>
        <v>0</v>
      </c>
      <c r="AN462" s="377">
        <f t="shared" si="2095"/>
        <v>0</v>
      </c>
      <c r="AO462" s="283"/>
      <c r="AP462" s="295">
        <f t="shared" si="1987"/>
        <v>0.142376</v>
      </c>
      <c r="AQ462" s="20">
        <f>-BA462</f>
        <v>4.4527999999999998E-2</v>
      </c>
      <c r="AR462" s="95">
        <f>-BB462</f>
        <v>0</v>
      </c>
      <c r="AS462" s="94">
        <f t="shared" si="2102"/>
        <v>2.1735000000000002</v>
      </c>
      <c r="AT462" s="94">
        <f t="shared" si="2042"/>
        <v>2.1735000000000002</v>
      </c>
      <c r="AU462" s="94">
        <f t="shared" si="2043"/>
        <v>0.142376</v>
      </c>
      <c r="AV462" s="94">
        <f t="shared" si="2040"/>
        <v>0</v>
      </c>
      <c r="AW462" s="94">
        <f t="shared" si="2103"/>
        <v>0</v>
      </c>
      <c r="AX462" s="94">
        <f t="shared" si="2041"/>
        <v>0</v>
      </c>
      <c r="AY462" s="94">
        <f t="shared" si="2104"/>
        <v>0</v>
      </c>
      <c r="AZ462" s="433">
        <f t="shared" si="2105"/>
        <v>0</v>
      </c>
      <c r="BA462" s="657">
        <v>-4.4527999999999998E-2</v>
      </c>
      <c r="BB462" s="327">
        <v>0</v>
      </c>
      <c r="BC462" s="207">
        <v>-2.1735000000000002</v>
      </c>
      <c r="BD462" s="132">
        <v>-2.1735000000000002</v>
      </c>
      <c r="BE462" s="132">
        <v>-2.1735000000000002</v>
      </c>
      <c r="BF462" s="132">
        <v>-2.1735000000000002</v>
      </c>
      <c r="BG462" s="60">
        <v>-0.142376</v>
      </c>
      <c r="BH462" s="207">
        <v>0</v>
      </c>
      <c r="BI462" s="132">
        <v>0</v>
      </c>
      <c r="BJ462" s="132">
        <v>0</v>
      </c>
      <c r="BK462" s="132">
        <v>0</v>
      </c>
      <c r="BL462" s="132">
        <v>0</v>
      </c>
      <c r="BM462" s="132">
        <v>0</v>
      </c>
      <c r="BN462" s="322">
        <v>0</v>
      </c>
      <c r="BO462" s="207">
        <v>0</v>
      </c>
      <c r="BP462" s="389">
        <v>0</v>
      </c>
      <c r="BQ462" s="389">
        <v>0</v>
      </c>
      <c r="BR462" s="389">
        <v>0</v>
      </c>
      <c r="BS462" s="296">
        <v>0</v>
      </c>
      <c r="BT462" s="296">
        <v>0</v>
      </c>
      <c r="BU462" s="296">
        <v>0</v>
      </c>
      <c r="BV462" s="322">
        <v>0</v>
      </c>
      <c r="BW462" s="296">
        <f t="shared" si="2107"/>
        <v>0</v>
      </c>
      <c r="BX462" s="442" t="s">
        <v>546</v>
      </c>
    </row>
    <row r="463" spans="1:76" ht="29.1" hidden="1" customHeight="1" outlineLevel="1" x14ac:dyDescent="0.25">
      <c r="A463" s="678">
        <v>71</v>
      </c>
      <c r="B463" s="702" t="s">
        <v>363</v>
      </c>
      <c r="C463" s="686" t="s">
        <v>363</v>
      </c>
      <c r="D463" s="63" t="s">
        <v>599</v>
      </c>
      <c r="E463" s="463" t="s">
        <v>215</v>
      </c>
      <c r="F463" s="542" t="s">
        <v>364</v>
      </c>
      <c r="G463" s="242" t="s">
        <v>365</v>
      </c>
      <c r="H463" s="311" t="s">
        <v>129</v>
      </c>
      <c r="I463" s="335"/>
      <c r="J463" s="294">
        <f t="shared" si="1900"/>
        <v>0</v>
      </c>
      <c r="K463" s="52">
        <f t="shared" si="1901"/>
        <v>0</v>
      </c>
      <c r="L463" s="52">
        <f t="shared" si="1902"/>
        <v>1.6185265670910873E-4</v>
      </c>
      <c r="M463" s="52">
        <f t="shared" si="1968"/>
        <v>1.6860240303862991E-4</v>
      </c>
      <c r="N463" s="52">
        <f t="shared" si="1969"/>
        <v>1.100184088885954E-4</v>
      </c>
      <c r="O463" s="52">
        <f t="shared" si="2080"/>
        <v>0</v>
      </c>
      <c r="P463" s="52">
        <f t="shared" si="2081"/>
        <v>0</v>
      </c>
      <c r="Q463" s="52">
        <f t="shared" si="2082"/>
        <v>0</v>
      </c>
      <c r="R463" s="52">
        <f t="shared" si="2083"/>
        <v>0</v>
      </c>
      <c r="S463" s="527">
        <f t="shared" si="1909"/>
        <v>0</v>
      </c>
      <c r="T463" s="533">
        <f t="shared" si="1974"/>
        <v>0</v>
      </c>
      <c r="U463" s="375">
        <f t="shared" si="1911"/>
        <v>0</v>
      </c>
      <c r="V463" s="375">
        <f t="shared" si="1912"/>
        <v>-1.6185265670910873E-4</v>
      </c>
      <c r="W463" s="386">
        <f t="shared" si="1913"/>
        <v>-1.7264904401934002E-4</v>
      </c>
      <c r="X463" s="386">
        <f t="shared" si="1914"/>
        <v>-1.6860240303862991E-4</v>
      </c>
      <c r="Y463" s="386">
        <f t="shared" si="2099"/>
        <v>-1.6860240303862991E-4</v>
      </c>
      <c r="Z463" s="375">
        <f t="shared" si="2100"/>
        <v>-1.100184088885954E-4</v>
      </c>
      <c r="AA463" s="375">
        <f t="shared" si="1917"/>
        <v>0</v>
      </c>
      <c r="AB463" s="386">
        <f t="shared" si="1918"/>
        <v>0</v>
      </c>
      <c r="AC463" s="386">
        <f t="shared" si="2084"/>
        <v>0</v>
      </c>
      <c r="AD463" s="386">
        <f t="shared" si="2085"/>
        <v>0</v>
      </c>
      <c r="AE463" s="386">
        <f t="shared" si="2086"/>
        <v>0</v>
      </c>
      <c r="AF463" s="386">
        <f t="shared" si="2087"/>
        <v>0</v>
      </c>
      <c r="AG463" s="375">
        <f t="shared" si="2088"/>
        <v>0</v>
      </c>
      <c r="AH463" s="375">
        <f t="shared" si="2089"/>
        <v>0</v>
      </c>
      <c r="AI463" s="386">
        <f t="shared" si="2090"/>
        <v>0</v>
      </c>
      <c r="AJ463" s="386">
        <f t="shared" si="2091"/>
        <v>0</v>
      </c>
      <c r="AK463" s="386">
        <f t="shared" si="2092"/>
        <v>0</v>
      </c>
      <c r="AL463" s="377">
        <f t="shared" si="2093"/>
        <v>0</v>
      </c>
      <c r="AM463" s="377">
        <f t="shared" si="2094"/>
        <v>0</v>
      </c>
      <c r="AN463" s="377">
        <f t="shared" si="2095"/>
        <v>0</v>
      </c>
      <c r="AO463" s="283"/>
      <c r="AP463" s="295">
        <f t="shared" si="1987"/>
        <v>3.695252</v>
      </c>
      <c r="AQ463" s="20">
        <f t="shared" ref="AQ463:AR490" si="2108">-BA463</f>
        <v>0</v>
      </c>
      <c r="AR463" s="95">
        <f t="shared" si="2108"/>
        <v>0</v>
      </c>
      <c r="AS463" s="94">
        <f t="shared" si="2102"/>
        <v>5.2880500000000001</v>
      </c>
      <c r="AT463" s="94">
        <f t="shared" si="2042"/>
        <v>5.2880500000000001</v>
      </c>
      <c r="AU463" s="94">
        <f t="shared" si="2043"/>
        <v>3.695252</v>
      </c>
      <c r="AV463" s="94">
        <f t="shared" si="2040"/>
        <v>0</v>
      </c>
      <c r="AW463" s="94">
        <f t="shared" si="2103"/>
        <v>0</v>
      </c>
      <c r="AX463" s="94">
        <f t="shared" si="2041"/>
        <v>0</v>
      </c>
      <c r="AY463" s="94">
        <f t="shared" si="2104"/>
        <v>0</v>
      </c>
      <c r="AZ463" s="433">
        <f t="shared" si="2105"/>
        <v>0</v>
      </c>
      <c r="BA463" s="657">
        <v>0</v>
      </c>
      <c r="BB463" s="327">
        <v>0</v>
      </c>
      <c r="BC463" s="207">
        <v>-5.2880500000000001</v>
      </c>
      <c r="BD463" s="132">
        <v>-5.2880500000000001</v>
      </c>
      <c r="BE463" s="132">
        <v>-5.2880500000000001</v>
      </c>
      <c r="BF463" s="132">
        <v>-5.2880500000000001</v>
      </c>
      <c r="BG463" s="207">
        <v>-3.695252</v>
      </c>
      <c r="BH463" s="207">
        <v>0</v>
      </c>
      <c r="BI463" s="132">
        <v>0</v>
      </c>
      <c r="BJ463" s="132">
        <v>0</v>
      </c>
      <c r="BK463" s="132">
        <v>0</v>
      </c>
      <c r="BL463" s="132">
        <v>0</v>
      </c>
      <c r="BM463" s="132">
        <v>0</v>
      </c>
      <c r="BN463" s="409">
        <v>0</v>
      </c>
      <c r="BO463" s="207">
        <v>0</v>
      </c>
      <c r="BP463" s="389">
        <v>0</v>
      </c>
      <c r="BQ463" s="389">
        <v>0</v>
      </c>
      <c r="BR463" s="389">
        <v>0</v>
      </c>
      <c r="BS463" s="296">
        <v>0</v>
      </c>
      <c r="BT463" s="296">
        <v>0</v>
      </c>
      <c r="BU463" s="296">
        <v>0</v>
      </c>
      <c r="BV463" s="409">
        <v>0</v>
      </c>
      <c r="BW463" s="296">
        <f t="shared" si="2106"/>
        <v>0</v>
      </c>
      <c r="BX463" s="439" t="s">
        <v>611</v>
      </c>
    </row>
    <row r="464" spans="1:76" ht="72.599999999999994" hidden="1" customHeight="1" outlineLevel="1" x14ac:dyDescent="0.25">
      <c r="A464" s="678">
        <v>72</v>
      </c>
      <c r="B464" s="702" t="s">
        <v>291</v>
      </c>
      <c r="C464" s="686" t="s">
        <v>291</v>
      </c>
      <c r="D464" s="63">
        <v>44026</v>
      </c>
      <c r="E464" s="463" t="s">
        <v>336</v>
      </c>
      <c r="F464" s="542" t="s">
        <v>292</v>
      </c>
      <c r="G464" s="71" t="s">
        <v>216</v>
      </c>
      <c r="H464" s="311" t="s">
        <v>129</v>
      </c>
      <c r="I464" s="335"/>
      <c r="J464" s="294">
        <f t="shared" si="1900"/>
        <v>1.5112577144073208E-5</v>
      </c>
      <c r="K464" s="52">
        <f t="shared" si="1901"/>
        <v>7.0435625219411939E-6</v>
      </c>
      <c r="L464" s="52">
        <f t="shared" si="1902"/>
        <v>0</v>
      </c>
      <c r="M464" s="52">
        <f t="shared" si="1968"/>
        <v>0</v>
      </c>
      <c r="N464" s="52">
        <f t="shared" si="1969"/>
        <v>0</v>
      </c>
      <c r="O464" s="52">
        <f t="shared" si="2080"/>
        <v>0</v>
      </c>
      <c r="P464" s="52">
        <f t="shared" si="2081"/>
        <v>0</v>
      </c>
      <c r="Q464" s="52">
        <f t="shared" si="2082"/>
        <v>0</v>
      </c>
      <c r="R464" s="52">
        <f t="shared" si="2083"/>
        <v>0</v>
      </c>
      <c r="S464" s="527">
        <f t="shared" si="1909"/>
        <v>0</v>
      </c>
      <c r="T464" s="533">
        <f t="shared" si="1974"/>
        <v>-1.5112577144073208E-5</v>
      </c>
      <c r="U464" s="375">
        <f t="shared" si="1911"/>
        <v>-7.0435625219411939E-6</v>
      </c>
      <c r="V464" s="375">
        <f t="shared" si="1912"/>
        <v>0</v>
      </c>
      <c r="W464" s="386">
        <f t="shared" si="1913"/>
        <v>0</v>
      </c>
      <c r="X464" s="386">
        <f t="shared" si="1914"/>
        <v>0</v>
      </c>
      <c r="Y464" s="386">
        <f t="shared" si="2099"/>
        <v>0</v>
      </c>
      <c r="Z464" s="375">
        <f t="shared" si="2100"/>
        <v>0</v>
      </c>
      <c r="AA464" s="375">
        <f t="shared" si="1917"/>
        <v>0</v>
      </c>
      <c r="AB464" s="386">
        <f t="shared" si="1918"/>
        <v>0</v>
      </c>
      <c r="AC464" s="386">
        <f t="shared" si="2084"/>
        <v>0</v>
      </c>
      <c r="AD464" s="386">
        <f t="shared" si="2085"/>
        <v>0</v>
      </c>
      <c r="AE464" s="386">
        <f t="shared" si="2086"/>
        <v>0</v>
      </c>
      <c r="AF464" s="386">
        <f t="shared" si="2087"/>
        <v>0</v>
      </c>
      <c r="AG464" s="375">
        <f t="shared" si="2088"/>
        <v>0</v>
      </c>
      <c r="AH464" s="375">
        <f t="shared" si="2089"/>
        <v>0</v>
      </c>
      <c r="AI464" s="386">
        <f t="shared" si="2090"/>
        <v>0</v>
      </c>
      <c r="AJ464" s="386">
        <f t="shared" si="2091"/>
        <v>0</v>
      </c>
      <c r="AK464" s="386">
        <f t="shared" si="2092"/>
        <v>0</v>
      </c>
      <c r="AL464" s="377">
        <f t="shared" si="2093"/>
        <v>0</v>
      </c>
      <c r="AM464" s="377">
        <f t="shared" si="2094"/>
        <v>0</v>
      </c>
      <c r="AN464" s="377">
        <f t="shared" si="2095"/>
        <v>0</v>
      </c>
      <c r="AO464" s="283"/>
      <c r="AP464" s="295">
        <f t="shared" si="1987"/>
        <v>0.21337800000000001</v>
      </c>
      <c r="AQ464" s="20">
        <f t="shared" si="2108"/>
        <v>0.42608400000000002</v>
      </c>
      <c r="AR464" s="95">
        <f t="shared" si="2108"/>
        <v>0.21337800000000001</v>
      </c>
      <c r="AS464" s="94">
        <f t="shared" si="2102"/>
        <v>0</v>
      </c>
      <c r="AT464" s="94">
        <f t="shared" si="2042"/>
        <v>0</v>
      </c>
      <c r="AU464" s="94">
        <f t="shared" si="2043"/>
        <v>0</v>
      </c>
      <c r="AV464" s="94">
        <f t="shared" si="2040"/>
        <v>0</v>
      </c>
      <c r="AW464" s="94">
        <f t="shared" si="2103"/>
        <v>0</v>
      </c>
      <c r="AX464" s="94">
        <f t="shared" si="2041"/>
        <v>0</v>
      </c>
      <c r="AY464" s="94">
        <f t="shared" si="2104"/>
        <v>0</v>
      </c>
      <c r="AZ464" s="433">
        <f t="shared" si="2105"/>
        <v>0</v>
      </c>
      <c r="BA464" s="657">
        <v>-0.42608400000000002</v>
      </c>
      <c r="BB464" s="327">
        <v>-0.21337800000000001</v>
      </c>
      <c r="BC464" s="207">
        <v>0</v>
      </c>
      <c r="BD464" s="132">
        <v>0</v>
      </c>
      <c r="BE464" s="132">
        <v>0</v>
      </c>
      <c r="BF464" s="132">
        <v>0</v>
      </c>
      <c r="BG464" s="207">
        <v>0</v>
      </c>
      <c r="BH464" s="207">
        <v>0</v>
      </c>
      <c r="BI464" s="132">
        <v>0</v>
      </c>
      <c r="BJ464" s="132">
        <v>0</v>
      </c>
      <c r="BK464" s="132">
        <v>0</v>
      </c>
      <c r="BL464" s="132">
        <v>0</v>
      </c>
      <c r="BM464" s="132">
        <v>0</v>
      </c>
      <c r="BN464" s="409">
        <v>0</v>
      </c>
      <c r="BO464" s="207">
        <v>0</v>
      </c>
      <c r="BP464" s="389">
        <v>0</v>
      </c>
      <c r="BQ464" s="389">
        <v>0</v>
      </c>
      <c r="BR464" s="389">
        <v>0</v>
      </c>
      <c r="BS464" s="296">
        <v>0</v>
      </c>
      <c r="BT464" s="296">
        <v>0</v>
      </c>
      <c r="BU464" s="296">
        <v>0</v>
      </c>
      <c r="BV464" s="409">
        <v>0</v>
      </c>
      <c r="BW464" s="296">
        <f t="shared" si="2106"/>
        <v>0</v>
      </c>
      <c r="BX464" s="439" t="s">
        <v>293</v>
      </c>
    </row>
    <row r="465" spans="1:76" ht="130.5" hidden="1" customHeight="1" outlineLevel="1" x14ac:dyDescent="0.25">
      <c r="A465" s="678">
        <v>73</v>
      </c>
      <c r="B465" s="702" t="s">
        <v>361</v>
      </c>
      <c r="C465" s="694" t="s">
        <v>361</v>
      </c>
      <c r="D465" s="63">
        <v>44042</v>
      </c>
      <c r="E465" s="463" t="s">
        <v>328</v>
      </c>
      <c r="F465" s="542" t="s">
        <v>325</v>
      </c>
      <c r="G465" s="71" t="s">
        <v>7</v>
      </c>
      <c r="H465" s="311" t="s">
        <v>326</v>
      </c>
      <c r="I465" s="335"/>
      <c r="J465" s="294">
        <f t="shared" si="1900"/>
        <v>1.8587110732780025E-5</v>
      </c>
      <c r="K465" s="52">
        <f t="shared" si="1901"/>
        <v>1.2902139677946607E-5</v>
      </c>
      <c r="L465" s="52">
        <f t="shared" si="1902"/>
        <v>0</v>
      </c>
      <c r="M465" s="52">
        <f t="shared" ref="M465:M490" si="2109">AT465/Y$8</f>
        <v>0</v>
      </c>
      <c r="N465" s="52">
        <f t="shared" ref="N465:N490" si="2110">AU465/Z$8</f>
        <v>0</v>
      </c>
      <c r="O465" s="52">
        <f t="shared" si="2080"/>
        <v>0</v>
      </c>
      <c r="P465" s="52">
        <f t="shared" si="2081"/>
        <v>0</v>
      </c>
      <c r="Q465" s="52">
        <f t="shared" si="2082"/>
        <v>0</v>
      </c>
      <c r="R465" s="52">
        <f t="shared" si="2083"/>
        <v>0</v>
      </c>
      <c r="S465" s="527">
        <f t="shared" si="1909"/>
        <v>0</v>
      </c>
      <c r="T465" s="533">
        <f t="shared" si="1974"/>
        <v>-1.8587110732780025E-5</v>
      </c>
      <c r="U465" s="375">
        <f t="shared" si="1911"/>
        <v>-1.2902139677946607E-5</v>
      </c>
      <c r="V465" s="375">
        <f t="shared" si="1912"/>
        <v>0</v>
      </c>
      <c r="W465" s="386">
        <f t="shared" si="1913"/>
        <v>0</v>
      </c>
      <c r="X465" s="386">
        <f t="shared" si="1914"/>
        <v>0</v>
      </c>
      <c r="Y465" s="386">
        <f t="shared" si="2099"/>
        <v>0</v>
      </c>
      <c r="Z465" s="375">
        <f t="shared" si="2100"/>
        <v>0</v>
      </c>
      <c r="AA465" s="375">
        <f t="shared" si="1917"/>
        <v>0</v>
      </c>
      <c r="AB465" s="386">
        <f t="shared" si="1918"/>
        <v>0</v>
      </c>
      <c r="AC465" s="386">
        <f t="shared" si="2084"/>
        <v>0</v>
      </c>
      <c r="AD465" s="386">
        <f t="shared" si="2085"/>
        <v>0</v>
      </c>
      <c r="AE465" s="386">
        <f t="shared" si="2086"/>
        <v>0</v>
      </c>
      <c r="AF465" s="386">
        <f t="shared" si="2087"/>
        <v>0</v>
      </c>
      <c r="AG465" s="375">
        <f t="shared" si="2088"/>
        <v>0</v>
      </c>
      <c r="AH465" s="375">
        <f t="shared" si="2089"/>
        <v>0</v>
      </c>
      <c r="AI465" s="386">
        <f t="shared" si="2090"/>
        <v>0</v>
      </c>
      <c r="AJ465" s="386">
        <f t="shared" si="2091"/>
        <v>0</v>
      </c>
      <c r="AK465" s="386">
        <f t="shared" si="2092"/>
        <v>0</v>
      </c>
      <c r="AL465" s="377">
        <f t="shared" si="2093"/>
        <v>0</v>
      </c>
      <c r="AM465" s="377">
        <f t="shared" si="2094"/>
        <v>0</v>
      </c>
      <c r="AN465" s="377">
        <f t="shared" si="2095"/>
        <v>0</v>
      </c>
      <c r="AO465" s="283"/>
      <c r="AP465" s="295">
        <f t="shared" ref="AP465:AP490" si="2111">AR465+AU465+AZ465+AW465+AY465</f>
        <v>0.39085799999999998</v>
      </c>
      <c r="AQ465" s="20">
        <f t="shared" si="2108"/>
        <v>0.52404499999999998</v>
      </c>
      <c r="AR465" s="95">
        <f t="shared" si="2108"/>
        <v>0.39085799999999998</v>
      </c>
      <c r="AS465" s="94">
        <f t="shared" si="2102"/>
        <v>0</v>
      </c>
      <c r="AT465" s="94">
        <f t="shared" si="2042"/>
        <v>0</v>
      </c>
      <c r="AU465" s="94">
        <f t="shared" si="2043"/>
        <v>0</v>
      </c>
      <c r="AV465" s="94">
        <f t="shared" si="2040"/>
        <v>0</v>
      </c>
      <c r="AW465" s="94">
        <f t="shared" si="2103"/>
        <v>0</v>
      </c>
      <c r="AX465" s="94">
        <f t="shared" si="2041"/>
        <v>0</v>
      </c>
      <c r="AY465" s="94">
        <f t="shared" si="2104"/>
        <v>0</v>
      </c>
      <c r="AZ465" s="433">
        <f t="shared" si="2105"/>
        <v>0</v>
      </c>
      <c r="BA465" s="657">
        <v>-0.52404499999999998</v>
      </c>
      <c r="BB465" s="327">
        <v>-0.39085799999999998</v>
      </c>
      <c r="BC465" s="207">
        <v>0</v>
      </c>
      <c r="BD465" s="132">
        <v>0</v>
      </c>
      <c r="BE465" s="132">
        <v>0</v>
      </c>
      <c r="BF465" s="132">
        <v>0</v>
      </c>
      <c r="BG465" s="207">
        <v>0</v>
      </c>
      <c r="BH465" s="207">
        <v>0</v>
      </c>
      <c r="BI465" s="132">
        <v>0</v>
      </c>
      <c r="BJ465" s="132">
        <v>0</v>
      </c>
      <c r="BK465" s="132">
        <v>0</v>
      </c>
      <c r="BL465" s="132">
        <v>0</v>
      </c>
      <c r="BM465" s="132">
        <v>0</v>
      </c>
      <c r="BN465" s="409">
        <v>0</v>
      </c>
      <c r="BO465" s="207">
        <v>0</v>
      </c>
      <c r="BP465" s="389">
        <v>0</v>
      </c>
      <c r="BQ465" s="389">
        <v>0</v>
      </c>
      <c r="BR465" s="389">
        <v>0</v>
      </c>
      <c r="BS465" s="296">
        <v>0</v>
      </c>
      <c r="BT465" s="296">
        <v>0</v>
      </c>
      <c r="BU465" s="296">
        <v>0</v>
      </c>
      <c r="BV465" s="409">
        <v>0</v>
      </c>
      <c r="BW465" s="296">
        <f t="shared" si="2106"/>
        <v>0</v>
      </c>
      <c r="BX465" s="439" t="s">
        <v>327</v>
      </c>
    </row>
    <row r="466" spans="1:76" ht="116.1" hidden="1" customHeight="1" outlineLevel="1" x14ac:dyDescent="0.25">
      <c r="A466" s="678">
        <v>74</v>
      </c>
      <c r="B466" s="702" t="s">
        <v>361</v>
      </c>
      <c r="C466" s="694" t="s">
        <v>361</v>
      </c>
      <c r="D466" s="63">
        <v>44145</v>
      </c>
      <c r="E466" s="463" t="s">
        <v>438</v>
      </c>
      <c r="F466" s="542" t="s">
        <v>512</v>
      </c>
      <c r="G466" s="71" t="s">
        <v>7</v>
      </c>
      <c r="H466" s="311" t="s">
        <v>439</v>
      </c>
      <c r="I466" s="335"/>
      <c r="J466" s="294">
        <f t="shared" si="1900"/>
        <v>4.5669787898134356E-5</v>
      </c>
      <c r="K466" s="52">
        <f t="shared" si="1901"/>
        <v>4.2629830384156362E-5</v>
      </c>
      <c r="L466" s="52">
        <f t="shared" si="1902"/>
        <v>0</v>
      </c>
      <c r="M466" s="52">
        <f t="shared" si="2109"/>
        <v>0</v>
      </c>
      <c r="N466" s="52">
        <f t="shared" si="2110"/>
        <v>0</v>
      </c>
      <c r="O466" s="52">
        <f t="shared" si="2080"/>
        <v>0</v>
      </c>
      <c r="P466" s="52">
        <f t="shared" si="2081"/>
        <v>0</v>
      </c>
      <c r="Q466" s="52">
        <f t="shared" si="2082"/>
        <v>0</v>
      </c>
      <c r="R466" s="52">
        <f t="shared" si="2083"/>
        <v>0</v>
      </c>
      <c r="S466" s="527">
        <f t="shared" si="1909"/>
        <v>0</v>
      </c>
      <c r="T466" s="533">
        <f t="shared" si="1974"/>
        <v>-4.5669787898134356E-5</v>
      </c>
      <c r="U466" s="375">
        <f t="shared" si="1911"/>
        <v>-4.2629830384156362E-5</v>
      </c>
      <c r="V466" s="375">
        <f t="shared" si="1912"/>
        <v>0</v>
      </c>
      <c r="W466" s="386">
        <f t="shared" si="1913"/>
        <v>0</v>
      </c>
      <c r="X466" s="386">
        <f t="shared" si="1914"/>
        <v>0</v>
      </c>
      <c r="Y466" s="386">
        <f t="shared" si="2099"/>
        <v>0</v>
      </c>
      <c r="Z466" s="375">
        <f t="shared" si="2100"/>
        <v>0</v>
      </c>
      <c r="AA466" s="375">
        <f t="shared" si="1917"/>
        <v>0</v>
      </c>
      <c r="AB466" s="386">
        <f t="shared" si="1918"/>
        <v>0</v>
      </c>
      <c r="AC466" s="386">
        <f t="shared" si="2084"/>
        <v>0</v>
      </c>
      <c r="AD466" s="386">
        <f t="shared" si="2085"/>
        <v>0</v>
      </c>
      <c r="AE466" s="386">
        <f t="shared" si="2086"/>
        <v>0</v>
      </c>
      <c r="AF466" s="386">
        <f t="shared" si="2087"/>
        <v>0</v>
      </c>
      <c r="AG466" s="375">
        <f t="shared" si="2088"/>
        <v>0</v>
      </c>
      <c r="AH466" s="375">
        <f t="shared" si="2089"/>
        <v>0</v>
      </c>
      <c r="AI466" s="386">
        <f t="shared" si="2090"/>
        <v>0</v>
      </c>
      <c r="AJ466" s="386">
        <f t="shared" si="2091"/>
        <v>0</v>
      </c>
      <c r="AK466" s="386">
        <f t="shared" si="2092"/>
        <v>0</v>
      </c>
      <c r="AL466" s="377">
        <f t="shared" si="2093"/>
        <v>0</v>
      </c>
      <c r="AM466" s="377">
        <f t="shared" si="2094"/>
        <v>0</v>
      </c>
      <c r="AN466" s="377">
        <f t="shared" si="2095"/>
        <v>0</v>
      </c>
      <c r="AO466" s="283"/>
      <c r="AP466" s="295">
        <f t="shared" si="2111"/>
        <v>1.2914300000000001</v>
      </c>
      <c r="AQ466" s="20">
        <f t="shared" si="2108"/>
        <v>1.287614</v>
      </c>
      <c r="AR466" s="95">
        <f t="shared" si="2108"/>
        <v>1.2914300000000001</v>
      </c>
      <c r="AS466" s="94">
        <f t="shared" si="2102"/>
        <v>0</v>
      </c>
      <c r="AT466" s="94">
        <f t="shared" si="2042"/>
        <v>0</v>
      </c>
      <c r="AU466" s="94">
        <f t="shared" si="2043"/>
        <v>0</v>
      </c>
      <c r="AV466" s="94">
        <f t="shared" si="2040"/>
        <v>0</v>
      </c>
      <c r="AW466" s="94">
        <f t="shared" si="2103"/>
        <v>0</v>
      </c>
      <c r="AX466" s="94">
        <f t="shared" si="2041"/>
        <v>0</v>
      </c>
      <c r="AY466" s="94">
        <f t="shared" si="2104"/>
        <v>0</v>
      </c>
      <c r="AZ466" s="433">
        <f t="shared" si="2105"/>
        <v>0</v>
      </c>
      <c r="BA466" s="657">
        <f>-1.287614</f>
        <v>-1.287614</v>
      </c>
      <c r="BB466" s="327">
        <v>-1.2914300000000001</v>
      </c>
      <c r="BC466" s="207">
        <v>0</v>
      </c>
      <c r="BD466" s="132">
        <v>0</v>
      </c>
      <c r="BE466" s="132">
        <v>0</v>
      </c>
      <c r="BF466" s="132">
        <v>0</v>
      </c>
      <c r="BG466" s="207">
        <v>0</v>
      </c>
      <c r="BH466" s="207">
        <v>0</v>
      </c>
      <c r="BI466" s="132">
        <v>0</v>
      </c>
      <c r="BJ466" s="132">
        <v>0</v>
      </c>
      <c r="BK466" s="132">
        <v>0</v>
      </c>
      <c r="BL466" s="132">
        <v>0</v>
      </c>
      <c r="BM466" s="132">
        <v>0</v>
      </c>
      <c r="BN466" s="409">
        <v>0</v>
      </c>
      <c r="BO466" s="207">
        <v>0</v>
      </c>
      <c r="BP466" s="389">
        <v>0</v>
      </c>
      <c r="BQ466" s="389">
        <v>0</v>
      </c>
      <c r="BR466" s="389">
        <v>0</v>
      </c>
      <c r="BS466" s="296">
        <v>0</v>
      </c>
      <c r="BT466" s="296">
        <v>0</v>
      </c>
      <c r="BU466" s="296">
        <v>0</v>
      </c>
      <c r="BV466" s="409">
        <v>0</v>
      </c>
      <c r="BW466" s="296">
        <f t="shared" si="2106"/>
        <v>0</v>
      </c>
      <c r="BX466" s="439" t="s">
        <v>440</v>
      </c>
    </row>
    <row r="467" spans="1:76" ht="204.95" hidden="1" customHeight="1" outlineLevel="1" x14ac:dyDescent="0.25">
      <c r="A467" s="678">
        <v>75</v>
      </c>
      <c r="B467" s="702" t="s">
        <v>361</v>
      </c>
      <c r="C467" s="694" t="s">
        <v>361</v>
      </c>
      <c r="D467" s="63" t="s">
        <v>2078</v>
      </c>
      <c r="E467" s="463" t="s">
        <v>612</v>
      </c>
      <c r="F467" s="542" t="s">
        <v>513</v>
      </c>
      <c r="G467" s="71" t="s">
        <v>7</v>
      </c>
      <c r="H467" s="311" t="s">
        <v>130</v>
      </c>
      <c r="I467" s="335"/>
      <c r="J467" s="294">
        <f t="shared" si="1900"/>
        <v>0</v>
      </c>
      <c r="K467" s="52">
        <f t="shared" si="1901"/>
        <v>0</v>
      </c>
      <c r="L467" s="52">
        <f t="shared" si="1902"/>
        <v>3.7741919686581784E-5</v>
      </c>
      <c r="M467" s="52">
        <f t="shared" si="2109"/>
        <v>3.9315872126123373E-5</v>
      </c>
      <c r="N467" s="52">
        <f t="shared" si="2110"/>
        <v>3.4382888984049735E-5</v>
      </c>
      <c r="O467" s="52">
        <f t="shared" si="2080"/>
        <v>3.4407715054658711E-6</v>
      </c>
      <c r="P467" s="52">
        <f t="shared" si="2081"/>
        <v>3.5372596969810652E-6</v>
      </c>
      <c r="Q467" s="52">
        <f t="shared" si="2082"/>
        <v>1.014228888862453E-5</v>
      </c>
      <c r="R467" s="52">
        <f t="shared" si="2083"/>
        <v>0</v>
      </c>
      <c r="S467" s="527">
        <f t="shared" si="1909"/>
        <v>0</v>
      </c>
      <c r="T467" s="533">
        <f t="shared" si="1974"/>
        <v>0</v>
      </c>
      <c r="U467" s="375">
        <f t="shared" si="1911"/>
        <v>0</v>
      </c>
      <c r="V467" s="375">
        <f t="shared" si="1912"/>
        <v>-3.7741919686581784E-5</v>
      </c>
      <c r="W467" s="386">
        <f t="shared" si="1913"/>
        <v>-2.684998962855331E-4</v>
      </c>
      <c r="X467" s="386">
        <f t="shared" si="1914"/>
        <v>-2.3355650232346339E-4</v>
      </c>
      <c r="Y467" s="386">
        <f t="shared" si="2099"/>
        <v>-2.3355650232346339E-4</v>
      </c>
      <c r="Z467" s="375">
        <f t="shared" si="2100"/>
        <v>-3.4382888984049735E-5</v>
      </c>
      <c r="AA467" s="375">
        <f t="shared" si="1917"/>
        <v>-3.4407715054658711E-6</v>
      </c>
      <c r="AB467" s="386">
        <f t="shared" si="1918"/>
        <v>0</v>
      </c>
      <c r="AC467" s="386">
        <f t="shared" si="2084"/>
        <v>0</v>
      </c>
      <c r="AD467" s="386">
        <f t="shared" si="2085"/>
        <v>-1.5537404666332338E-5</v>
      </c>
      <c r="AE467" s="386">
        <f t="shared" si="2086"/>
        <v>-1.3779151425358594E-5</v>
      </c>
      <c r="AF467" s="386">
        <f t="shared" si="2087"/>
        <v>-1.3403288323539531E-5</v>
      </c>
      <c r="AG467" s="375">
        <f t="shared" si="2088"/>
        <v>-1.0235222558389579E-5</v>
      </c>
      <c r="AH467" s="375">
        <f t="shared" si="2089"/>
        <v>0</v>
      </c>
      <c r="AI467" s="386">
        <f t="shared" si="2090"/>
        <v>0</v>
      </c>
      <c r="AJ467" s="386">
        <f t="shared" si="2091"/>
        <v>0</v>
      </c>
      <c r="AK467" s="386">
        <f t="shared" si="2092"/>
        <v>0</v>
      </c>
      <c r="AL467" s="377">
        <f t="shared" si="2093"/>
        <v>0</v>
      </c>
      <c r="AM467" s="377">
        <f t="shared" si="2094"/>
        <v>0</v>
      </c>
      <c r="AN467" s="377">
        <f t="shared" si="2095"/>
        <v>0</v>
      </c>
      <c r="AO467" s="283"/>
      <c r="AP467" s="295">
        <f t="shared" si="2111"/>
        <v>1.290538</v>
      </c>
      <c r="AQ467" s="20">
        <f t="shared" si="2108"/>
        <v>0</v>
      </c>
      <c r="AR467" s="95">
        <f t="shared" si="2108"/>
        <v>0</v>
      </c>
      <c r="AS467" s="94">
        <f>-BC467</f>
        <v>1.233104</v>
      </c>
      <c r="AT467" s="94">
        <f t="shared" si="2042"/>
        <v>1.233104</v>
      </c>
      <c r="AU467" s="94">
        <f t="shared" si="2043"/>
        <v>1.154838</v>
      </c>
      <c r="AV467" s="94">
        <f t="shared" si="2040"/>
        <v>0.13569999999999999</v>
      </c>
      <c r="AW467" s="94">
        <f t="shared" si="2103"/>
        <v>0.13569999999999999</v>
      </c>
      <c r="AX467" s="94">
        <f t="shared" si="2041"/>
        <v>0.4</v>
      </c>
      <c r="AY467" s="94">
        <f t="shared" si="2104"/>
        <v>0</v>
      </c>
      <c r="AZ467" s="433">
        <f t="shared" si="2105"/>
        <v>0</v>
      </c>
      <c r="BA467" s="657">
        <v>0</v>
      </c>
      <c r="BB467" s="327">
        <v>0</v>
      </c>
      <c r="BC467" s="1048">
        <f>-7.974501+0.649229+6.092168</f>
        <v>-1.233104</v>
      </c>
      <c r="BD467" s="132">
        <v>-8.2238559999999996</v>
      </c>
      <c r="BE467" s="132">
        <v>-7.325272</v>
      </c>
      <c r="BF467" s="132">
        <v>-7.325272</v>
      </c>
      <c r="BG467" s="207">
        <v>-1.154838</v>
      </c>
      <c r="BH467" s="1010">
        <f>-0.1357</f>
        <v>-0.13569999999999999</v>
      </c>
      <c r="BI467" s="132">
        <v>0</v>
      </c>
      <c r="BJ467" s="132">
        <v>0</v>
      </c>
      <c r="BK467" s="132">
        <v>-0.52861000000000002</v>
      </c>
      <c r="BL467" s="132">
        <v>-0.52861000000000002</v>
      </c>
      <c r="BM467" s="132">
        <v>-0.52861000000000002</v>
      </c>
      <c r="BN467" s="713">
        <f>-0.4</f>
        <v>-0.4</v>
      </c>
      <c r="BO467" s="207">
        <v>0</v>
      </c>
      <c r="BP467" s="389">
        <v>0</v>
      </c>
      <c r="BQ467" s="389">
        <v>0</v>
      </c>
      <c r="BR467" s="389">
        <v>0</v>
      </c>
      <c r="BS467" s="296">
        <v>0</v>
      </c>
      <c r="BT467" s="296">
        <v>0</v>
      </c>
      <c r="BU467" s="296">
        <v>0</v>
      </c>
      <c r="BV467" s="713">
        <v>0</v>
      </c>
      <c r="BW467" s="296">
        <f t="shared" si="2106"/>
        <v>0</v>
      </c>
      <c r="BX467" s="439" t="s">
        <v>1978</v>
      </c>
    </row>
    <row r="468" spans="1:76" ht="186.95" hidden="1" customHeight="1" outlineLevel="1" x14ac:dyDescent="0.25">
      <c r="A468" s="678">
        <v>76</v>
      </c>
      <c r="B468" s="702" t="s">
        <v>361</v>
      </c>
      <c r="C468" s="694" t="s">
        <v>361</v>
      </c>
      <c r="D468" s="63" t="s">
        <v>1552</v>
      </c>
      <c r="E468" s="463" t="s">
        <v>1191</v>
      </c>
      <c r="F468" s="542" t="s">
        <v>1553</v>
      </c>
      <c r="G468" s="71" t="s">
        <v>7</v>
      </c>
      <c r="H468" s="311" t="s">
        <v>127</v>
      </c>
      <c r="I468" s="335"/>
      <c r="J468" s="294">
        <f t="shared" si="1900"/>
        <v>0</v>
      </c>
      <c r="K468" s="52">
        <f t="shared" si="1901"/>
        <v>0</v>
      </c>
      <c r="L468" s="52">
        <f t="shared" si="1902"/>
        <v>4.9947386141038193E-5</v>
      </c>
      <c r="M468" s="52">
        <f t="shared" si="2109"/>
        <v>5.2030343524188006E-5</v>
      </c>
      <c r="N468" s="52">
        <f t="shared" si="2110"/>
        <v>3.229385511828644E-5</v>
      </c>
      <c r="O468" s="52">
        <f t="shared" si="2080"/>
        <v>3.7615974587352869E-6</v>
      </c>
      <c r="P468" s="52">
        <f t="shared" si="2081"/>
        <v>3.8670824452927934E-6</v>
      </c>
      <c r="Q468" s="52">
        <f t="shared" si="2082"/>
        <v>1.1569985933037316E-6</v>
      </c>
      <c r="R468" s="52">
        <f t="shared" si="2083"/>
        <v>0</v>
      </c>
      <c r="S468" s="527">
        <f t="shared" si="1909"/>
        <v>0</v>
      </c>
      <c r="T468" s="533">
        <f t="shared" si="1974"/>
        <v>0</v>
      </c>
      <c r="U468" s="375">
        <f t="shared" si="1911"/>
        <v>0</v>
      </c>
      <c r="V468" s="375">
        <f t="shared" si="1912"/>
        <v>-4.9947386141038193E-5</v>
      </c>
      <c r="W468" s="386">
        <f t="shared" si="1913"/>
        <v>-3.4138250481816594E-5</v>
      </c>
      <c r="X468" s="386">
        <f t="shared" si="1914"/>
        <v>-5.2030343524188006E-5</v>
      </c>
      <c r="Y468" s="386">
        <f t="shared" si="2099"/>
        <v>-5.2030343524188006E-5</v>
      </c>
      <c r="Z468" s="375">
        <f t="shared" si="2100"/>
        <v>-3.229385511828644E-5</v>
      </c>
      <c r="AA468" s="375">
        <f t="shared" si="1917"/>
        <v>-3.7615974587352869E-6</v>
      </c>
      <c r="AB468" s="386">
        <f t="shared" si="1918"/>
        <v>-4.3605315723584497E-6</v>
      </c>
      <c r="AC468" s="386">
        <f t="shared" si="2084"/>
        <v>-4.3605315723584522E-6</v>
      </c>
      <c r="AD468" s="386">
        <f t="shared" si="2085"/>
        <v>-4.3605315723584522E-6</v>
      </c>
      <c r="AE468" s="386">
        <f t="shared" si="2086"/>
        <v>-3.8670824452927934E-6</v>
      </c>
      <c r="AF468" s="386">
        <f t="shared" si="2087"/>
        <v>-3.7615974587352869E-6</v>
      </c>
      <c r="AG468" s="375">
        <f t="shared" si="2088"/>
        <v>-1.1676001573460764E-6</v>
      </c>
      <c r="AH468" s="375">
        <f t="shared" si="2089"/>
        <v>0</v>
      </c>
      <c r="AI468" s="386">
        <f t="shared" si="2090"/>
        <v>0</v>
      </c>
      <c r="AJ468" s="386">
        <f t="shared" si="2091"/>
        <v>0</v>
      </c>
      <c r="AK468" s="386">
        <f t="shared" si="2092"/>
        <v>0</v>
      </c>
      <c r="AL468" s="377">
        <f t="shared" si="2093"/>
        <v>0</v>
      </c>
      <c r="AM468" s="377">
        <f t="shared" si="2094"/>
        <v>0</v>
      </c>
      <c r="AN468" s="377">
        <f t="shared" si="2095"/>
        <v>0</v>
      </c>
      <c r="AO468" s="283"/>
      <c r="AP468" s="295">
        <f t="shared" si="2111"/>
        <v>1.23302541</v>
      </c>
      <c r="AQ468" s="20">
        <f t="shared" ref="AQ468:AQ470" si="2112">-BA468</f>
        <v>0</v>
      </c>
      <c r="AR468" s="95">
        <f t="shared" ref="AR468:AR470" si="2113">-BB468</f>
        <v>0</v>
      </c>
      <c r="AS468" s="94">
        <f t="shared" ref="AS468:AS470" si="2114">-BC468</f>
        <v>1.6318809999999999</v>
      </c>
      <c r="AT468" s="94">
        <f t="shared" si="2042"/>
        <v>1.6318809999999999</v>
      </c>
      <c r="AU468" s="94">
        <f t="shared" si="2043"/>
        <v>1.08467241</v>
      </c>
      <c r="AV468" s="94">
        <f t="shared" si="2040"/>
        <v>0.14835300000000001</v>
      </c>
      <c r="AW468" s="94">
        <f t="shared" si="2103"/>
        <v>0.14835300000000001</v>
      </c>
      <c r="AX468" s="94">
        <f t="shared" si="2041"/>
        <v>4.5630669999999998E-2</v>
      </c>
      <c r="AY468" s="94">
        <f t="shared" si="2104"/>
        <v>0</v>
      </c>
      <c r="AZ468" s="433">
        <f t="shared" si="2105"/>
        <v>0</v>
      </c>
      <c r="BA468" s="657">
        <v>0</v>
      </c>
      <c r="BB468" s="327">
        <v>0</v>
      </c>
      <c r="BC468" s="1010">
        <f>-1.631881</f>
        <v>-1.6318809999999999</v>
      </c>
      <c r="BD468" s="1049">
        <f>-1.045617</f>
        <v>-1.045617</v>
      </c>
      <c r="BE468" s="132">
        <v>-1.6318809999999999</v>
      </c>
      <c r="BF468" s="132">
        <v>-1.6318809999999999</v>
      </c>
      <c r="BG468" s="207">
        <f>-1.08467241</f>
        <v>-1.08467241</v>
      </c>
      <c r="BH468" s="207">
        <f>-0.148353</f>
        <v>-0.14835300000000001</v>
      </c>
      <c r="BI468" s="132">
        <f>-0.148353</f>
        <v>-0.14835300000000001</v>
      </c>
      <c r="BJ468" s="132">
        <f>-0.148353</f>
        <v>-0.14835300000000001</v>
      </c>
      <c r="BK468" s="132">
        <v>-0.14835300000000001</v>
      </c>
      <c r="BL468" s="132">
        <v>-0.14835300000000001</v>
      </c>
      <c r="BM468" s="132">
        <v>-0.14835300000000001</v>
      </c>
      <c r="BN468" s="409">
        <v>-4.5630669999999998E-2</v>
      </c>
      <c r="BO468" s="207">
        <v>0</v>
      </c>
      <c r="BP468" s="389">
        <v>0</v>
      </c>
      <c r="BQ468" s="389">
        <v>0</v>
      </c>
      <c r="BR468" s="389">
        <v>0</v>
      </c>
      <c r="BS468" s="296">
        <v>0</v>
      </c>
      <c r="BT468" s="296">
        <v>0</v>
      </c>
      <c r="BU468" s="296">
        <v>0</v>
      </c>
      <c r="BV468" s="409">
        <v>0</v>
      </c>
      <c r="BW468" s="296">
        <f>-BV468</f>
        <v>0</v>
      </c>
      <c r="BX468" s="439" t="s">
        <v>1554</v>
      </c>
    </row>
    <row r="469" spans="1:76" ht="96.95" hidden="1" customHeight="1" outlineLevel="1" x14ac:dyDescent="0.25">
      <c r="A469" s="678">
        <v>77</v>
      </c>
      <c r="B469" s="702" t="s">
        <v>361</v>
      </c>
      <c r="C469" s="694" t="s">
        <v>361</v>
      </c>
      <c r="D469" s="267">
        <v>44391</v>
      </c>
      <c r="E469" s="463" t="s">
        <v>1525</v>
      </c>
      <c r="F469" s="542" t="s">
        <v>1517</v>
      </c>
      <c r="G469" s="71" t="s">
        <v>7</v>
      </c>
      <c r="H469" s="311" t="s">
        <v>171</v>
      </c>
      <c r="I469" s="335"/>
      <c r="J469" s="294">
        <f t="shared" si="1900"/>
        <v>0</v>
      </c>
      <c r="K469" s="52">
        <f t="shared" si="1901"/>
        <v>0</v>
      </c>
      <c r="L469" s="52">
        <f t="shared" si="1902"/>
        <v>9.5592556317335947E-6</v>
      </c>
      <c r="M469" s="52">
        <f t="shared" ref="M469" si="2115">AT469/Y$8</f>
        <v>9.9579055638704042E-6</v>
      </c>
      <c r="N469" s="52">
        <f t="shared" ref="N469" si="2116">AU469/Z$8</f>
        <v>6.1807074573609489E-6</v>
      </c>
      <c r="O469" s="52">
        <f t="shared" si="2080"/>
        <v>0</v>
      </c>
      <c r="P469" s="52">
        <f t="shared" si="2081"/>
        <v>0</v>
      </c>
      <c r="Q469" s="52">
        <f t="shared" si="2082"/>
        <v>0</v>
      </c>
      <c r="R469" s="52">
        <f t="shared" si="2083"/>
        <v>0</v>
      </c>
      <c r="S469" s="527">
        <f t="shared" si="1909"/>
        <v>0</v>
      </c>
      <c r="T469" s="533">
        <f t="shared" si="1974"/>
        <v>0</v>
      </c>
      <c r="U469" s="375">
        <f t="shared" si="1911"/>
        <v>0</v>
      </c>
      <c r="V469" s="375">
        <f t="shared" si="1912"/>
        <v>-9.5592556317335947E-6</v>
      </c>
      <c r="W469" s="386">
        <f>BD469/W$8</f>
        <v>0</v>
      </c>
      <c r="X469" s="386">
        <f t="shared" si="1914"/>
        <v>-9.9579055638704042E-6</v>
      </c>
      <c r="Y469" s="386">
        <f t="shared" si="2099"/>
        <v>-9.9579055638704042E-6</v>
      </c>
      <c r="Z469" s="375">
        <f t="shared" si="2100"/>
        <v>-6.1807074573609489E-6</v>
      </c>
      <c r="AA469" s="375">
        <f t="shared" si="1917"/>
        <v>0</v>
      </c>
      <c r="AB469" s="386">
        <f t="shared" si="1918"/>
        <v>0</v>
      </c>
      <c r="AC469" s="386">
        <f t="shared" si="2084"/>
        <v>0</v>
      </c>
      <c r="AD469" s="386">
        <f t="shared" si="2085"/>
        <v>0</v>
      </c>
      <c r="AE469" s="386">
        <f t="shared" si="2086"/>
        <v>0</v>
      </c>
      <c r="AF469" s="386">
        <f t="shared" si="2087"/>
        <v>0</v>
      </c>
      <c r="AG469" s="375">
        <f t="shared" si="2088"/>
        <v>0</v>
      </c>
      <c r="AH469" s="375">
        <f t="shared" si="2089"/>
        <v>0</v>
      </c>
      <c r="AI469" s="386">
        <f t="shared" si="2090"/>
        <v>0</v>
      </c>
      <c r="AJ469" s="386">
        <f t="shared" si="2091"/>
        <v>0</v>
      </c>
      <c r="AK469" s="386">
        <f t="shared" si="2092"/>
        <v>0</v>
      </c>
      <c r="AL469" s="377">
        <f t="shared" si="2093"/>
        <v>0</v>
      </c>
      <c r="AM469" s="377">
        <f t="shared" si="2094"/>
        <v>0</v>
      </c>
      <c r="AN469" s="377">
        <f t="shared" si="2095"/>
        <v>0</v>
      </c>
      <c r="AO469" s="283"/>
      <c r="AP469" s="295">
        <f t="shared" ref="AP469" si="2117">AR469+AU469+AZ469+AW469+AY469</f>
        <v>0.207595</v>
      </c>
      <c r="AQ469" s="20">
        <f t="shared" ref="AQ469" si="2118">-BA469</f>
        <v>0</v>
      </c>
      <c r="AR469" s="95">
        <f t="shared" ref="AR469" si="2119">-BB469</f>
        <v>0</v>
      </c>
      <c r="AS469" s="94">
        <f t="shared" ref="AS469" si="2120">-BC469</f>
        <v>0.31231999999999999</v>
      </c>
      <c r="AT469" s="94">
        <f t="shared" ref="AT469" si="2121">-BC469</f>
        <v>0.31231999999999999</v>
      </c>
      <c r="AU469" s="94">
        <f t="shared" ref="AU469" si="2122">-BG469</f>
        <v>0.207595</v>
      </c>
      <c r="AV469" s="94">
        <f t="shared" ref="AV469:AV490" si="2123">-BH469</f>
        <v>0</v>
      </c>
      <c r="AW469" s="94">
        <f t="shared" si="2103"/>
        <v>0</v>
      </c>
      <c r="AX469" s="94">
        <f t="shared" ref="AX469:AX490" si="2124">-BN469</f>
        <v>0</v>
      </c>
      <c r="AY469" s="94">
        <f t="shared" si="2104"/>
        <v>0</v>
      </c>
      <c r="AZ469" s="433">
        <f t="shared" si="2105"/>
        <v>0</v>
      </c>
      <c r="BA469" s="657">
        <v>0</v>
      </c>
      <c r="BB469" s="327">
        <v>0</v>
      </c>
      <c r="BC469" s="207">
        <f>-0.31232</f>
        <v>-0.31231999999999999</v>
      </c>
      <c r="BD469" s="132">
        <v>0</v>
      </c>
      <c r="BE469" s="132">
        <v>-0.31231999999999999</v>
      </c>
      <c r="BF469" s="132">
        <v>-0.31231999999999999</v>
      </c>
      <c r="BG469" s="207">
        <v>-0.207595</v>
      </c>
      <c r="BH469" s="207">
        <v>0</v>
      </c>
      <c r="BI469" s="132">
        <v>0</v>
      </c>
      <c r="BJ469" s="132">
        <v>0</v>
      </c>
      <c r="BK469" s="132">
        <v>0</v>
      </c>
      <c r="BL469" s="132">
        <v>0</v>
      </c>
      <c r="BM469" s="132">
        <v>0</v>
      </c>
      <c r="BN469" s="409">
        <v>0</v>
      </c>
      <c r="BO469" s="207">
        <v>0</v>
      </c>
      <c r="BP469" s="389">
        <v>0</v>
      </c>
      <c r="BQ469" s="389">
        <v>0</v>
      </c>
      <c r="BR469" s="389">
        <v>0</v>
      </c>
      <c r="BS469" s="296">
        <v>0</v>
      </c>
      <c r="BT469" s="296">
        <v>0</v>
      </c>
      <c r="BU469" s="296">
        <v>0</v>
      </c>
      <c r="BV469" s="409">
        <v>0</v>
      </c>
      <c r="BW469" s="296">
        <f>-BV469</f>
        <v>0</v>
      </c>
      <c r="BX469" s="439" t="s">
        <v>1518</v>
      </c>
    </row>
    <row r="470" spans="1:76" ht="246.6" hidden="1" customHeight="1" outlineLevel="1" x14ac:dyDescent="0.25">
      <c r="A470" s="678">
        <v>78</v>
      </c>
      <c r="B470" s="702" t="s">
        <v>361</v>
      </c>
      <c r="C470" s="694" t="s">
        <v>361</v>
      </c>
      <c r="D470" s="267">
        <v>44607</v>
      </c>
      <c r="E470" s="463" t="s">
        <v>2013</v>
      </c>
      <c r="F470" s="542" t="s">
        <v>2012</v>
      </c>
      <c r="G470" s="71" t="s">
        <v>7</v>
      </c>
      <c r="H470" s="311" t="s">
        <v>130</v>
      </c>
      <c r="I470" s="335"/>
      <c r="J470" s="294">
        <f t="shared" ref="J470" si="2125">AQ470/T$8</f>
        <v>0</v>
      </c>
      <c r="K470" s="52">
        <f t="shared" ref="K470" si="2126">AR470/U$8</f>
        <v>0</v>
      </c>
      <c r="L470" s="52">
        <f t="shared" ref="L470" si="2127">AS470/V$8</f>
        <v>0</v>
      </c>
      <c r="M470" s="52">
        <f t="shared" si="2109"/>
        <v>0</v>
      </c>
      <c r="N470" s="52">
        <f t="shared" si="2110"/>
        <v>0</v>
      </c>
      <c r="O470" s="52">
        <f t="shared" si="2080"/>
        <v>1.8932559956950963E-5</v>
      </c>
      <c r="P470" s="52">
        <f t="shared" si="2081"/>
        <v>1.9463478231558053E-5</v>
      </c>
      <c r="Q470" s="52">
        <f t="shared" si="2082"/>
        <v>1.6452136430626729E-5</v>
      </c>
      <c r="R470" s="52">
        <f t="shared" si="2083"/>
        <v>0</v>
      </c>
      <c r="S470" s="527">
        <f t="shared" ref="S470" si="2128">AZ470/AN$8</f>
        <v>0</v>
      </c>
      <c r="T470" s="533">
        <f t="shared" ref="T470" si="2129">BA470/T$8</f>
        <v>0</v>
      </c>
      <c r="U470" s="375">
        <f t="shared" ref="U470" si="2130">BB470/U$8</f>
        <v>0</v>
      </c>
      <c r="V470" s="375">
        <f t="shared" ref="V470" si="2131">BC470/V$8</f>
        <v>0</v>
      </c>
      <c r="W470" s="386">
        <f>BD470/W$8</f>
        <v>0</v>
      </c>
      <c r="X470" s="386">
        <f t="shared" ref="X470" si="2132">BE470/X$8</f>
        <v>0</v>
      </c>
      <c r="Y470" s="386">
        <f t="shared" ref="Y470" si="2133">BF470/Y$8</f>
        <v>0</v>
      </c>
      <c r="Z470" s="375">
        <f t="shared" ref="Z470:Z482" si="2134">BG470/Z$8</f>
        <v>0</v>
      </c>
      <c r="AA470" s="375">
        <f t="shared" ref="AA470" si="2135">BH470/AA$8</f>
        <v>-1.8932559956950963E-5</v>
      </c>
      <c r="AB470" s="386">
        <f t="shared" ref="AB470" si="2136">BI470/AB$8</f>
        <v>0</v>
      </c>
      <c r="AC470" s="386">
        <f t="shared" si="2084"/>
        <v>0</v>
      </c>
      <c r="AD470" s="386">
        <f t="shared" si="2085"/>
        <v>0</v>
      </c>
      <c r="AE470" s="386">
        <f t="shared" si="2086"/>
        <v>-1.9463478231558053E-5</v>
      </c>
      <c r="AF470" s="386">
        <f t="shared" si="2087"/>
        <v>-1.8932559956950963E-5</v>
      </c>
      <c r="AG470" s="375">
        <f t="shared" si="2088"/>
        <v>-1.6602887156696881E-5</v>
      </c>
      <c r="AH470" s="375">
        <f t="shared" si="2089"/>
        <v>0</v>
      </c>
      <c r="AI470" s="386">
        <f t="shared" si="2090"/>
        <v>0</v>
      </c>
      <c r="AJ470" s="386">
        <f t="shared" si="2091"/>
        <v>0</v>
      </c>
      <c r="AK470" s="386">
        <f t="shared" si="2092"/>
        <v>0</v>
      </c>
      <c r="AL470" s="377">
        <f t="shared" si="2093"/>
        <v>0</v>
      </c>
      <c r="AM470" s="377">
        <f t="shared" si="2094"/>
        <v>0</v>
      </c>
      <c r="AN470" s="377">
        <f t="shared" si="2095"/>
        <v>0</v>
      </c>
      <c r="AO470" s="283"/>
      <c r="AP470" s="295">
        <f t="shared" si="2111"/>
        <v>0.74667799999999995</v>
      </c>
      <c r="AQ470" s="20">
        <f t="shared" si="2112"/>
        <v>0</v>
      </c>
      <c r="AR470" s="95">
        <f t="shared" si="2113"/>
        <v>0</v>
      </c>
      <c r="AS470" s="94">
        <f t="shared" si="2114"/>
        <v>0</v>
      </c>
      <c r="AT470" s="94">
        <f t="shared" si="2042"/>
        <v>0</v>
      </c>
      <c r="AU470" s="94">
        <f t="shared" si="2043"/>
        <v>0</v>
      </c>
      <c r="AV470" s="94">
        <f t="shared" si="2123"/>
        <v>0.74667799999999995</v>
      </c>
      <c r="AW470" s="94">
        <f t="shared" ref="AW470" si="2137">-BH470</f>
        <v>0.74667799999999995</v>
      </c>
      <c r="AX470" s="94">
        <f t="shared" si="2124"/>
        <v>0.64885300000000001</v>
      </c>
      <c r="AY470" s="94">
        <f t="shared" ref="AY470" si="2138">-BO470</f>
        <v>0</v>
      </c>
      <c r="AZ470" s="433">
        <f t="shared" ref="AZ470" si="2139">-BU470</f>
        <v>0</v>
      </c>
      <c r="BA470" s="657">
        <v>0</v>
      </c>
      <c r="BB470" s="327">
        <v>0</v>
      </c>
      <c r="BC470" s="207">
        <v>0</v>
      </c>
      <c r="BD470" s="132">
        <v>0</v>
      </c>
      <c r="BE470" s="132">
        <v>0</v>
      </c>
      <c r="BF470" s="132">
        <v>0</v>
      </c>
      <c r="BG470" s="207">
        <v>0</v>
      </c>
      <c r="BH470" s="207">
        <v>-0.74667799999999995</v>
      </c>
      <c r="BI470" s="132">
        <v>0</v>
      </c>
      <c r="BJ470" s="132">
        <v>0</v>
      </c>
      <c r="BK470" s="132">
        <v>0</v>
      </c>
      <c r="BL470" s="132">
        <v>-0.74667799999999995</v>
      </c>
      <c r="BM470" s="132">
        <v>-0.74667799999999995</v>
      </c>
      <c r="BN470" s="713">
        <v>-0.64885300000000001</v>
      </c>
      <c r="BO470" s="207">
        <v>0</v>
      </c>
      <c r="BP470" s="389">
        <v>0</v>
      </c>
      <c r="BQ470" s="389">
        <v>0</v>
      </c>
      <c r="BR470" s="389">
        <v>0</v>
      </c>
      <c r="BS470" s="296">
        <v>0</v>
      </c>
      <c r="BT470" s="296">
        <v>0</v>
      </c>
      <c r="BU470" s="296">
        <v>0</v>
      </c>
      <c r="BV470" s="713">
        <v>0</v>
      </c>
      <c r="BW470" s="296">
        <f>-BV470</f>
        <v>0</v>
      </c>
      <c r="BX470" s="439" t="s">
        <v>2011</v>
      </c>
    </row>
    <row r="471" spans="1:76" ht="57.95" hidden="1" customHeight="1" outlineLevel="1" x14ac:dyDescent="0.25">
      <c r="A471" s="678">
        <v>79</v>
      </c>
      <c r="B471" s="702" t="s">
        <v>339</v>
      </c>
      <c r="C471" s="686" t="s">
        <v>339</v>
      </c>
      <c r="D471" s="63">
        <v>44062</v>
      </c>
      <c r="E471" s="463" t="s">
        <v>341</v>
      </c>
      <c r="F471" s="542" t="s">
        <v>340</v>
      </c>
      <c r="G471" s="71" t="s">
        <v>28</v>
      </c>
      <c r="H471" s="311" t="s">
        <v>127</v>
      </c>
      <c r="I471" s="335"/>
      <c r="J471" s="294">
        <f t="shared" si="1900"/>
        <v>2.6598567071008015E-6</v>
      </c>
      <c r="K471" s="52">
        <f t="shared" si="1901"/>
        <v>1.2065077476447929E-6</v>
      </c>
      <c r="L471" s="52">
        <f t="shared" si="1902"/>
        <v>0</v>
      </c>
      <c r="M471" s="52">
        <f t="shared" si="2109"/>
        <v>0</v>
      </c>
      <c r="N471" s="52">
        <f t="shared" si="2110"/>
        <v>0</v>
      </c>
      <c r="O471" s="52">
        <f t="shared" si="2080"/>
        <v>0</v>
      </c>
      <c r="P471" s="52">
        <f t="shared" si="2081"/>
        <v>0</v>
      </c>
      <c r="Q471" s="52">
        <f t="shared" si="2082"/>
        <v>0</v>
      </c>
      <c r="R471" s="52">
        <f t="shared" si="2083"/>
        <v>0</v>
      </c>
      <c r="S471" s="527">
        <f t="shared" si="1909"/>
        <v>0</v>
      </c>
      <c r="T471" s="533">
        <f t="shared" si="1974"/>
        <v>-2.6598567071008015E-6</v>
      </c>
      <c r="U471" s="375">
        <f t="shared" si="1911"/>
        <v>-1.2065077476447929E-6</v>
      </c>
      <c r="V471" s="375">
        <f t="shared" si="1912"/>
        <v>0</v>
      </c>
      <c r="W471" s="386">
        <f t="shared" si="1913"/>
        <v>0</v>
      </c>
      <c r="X471" s="386">
        <f t="shared" si="1914"/>
        <v>0</v>
      </c>
      <c r="Y471" s="386">
        <f>BF471/Y$8</f>
        <v>0</v>
      </c>
      <c r="Z471" s="375">
        <f t="shared" si="2134"/>
        <v>0</v>
      </c>
      <c r="AA471" s="375">
        <f t="shared" si="1917"/>
        <v>0</v>
      </c>
      <c r="AB471" s="386">
        <f t="shared" si="1918"/>
        <v>0</v>
      </c>
      <c r="AC471" s="386">
        <f t="shared" si="2084"/>
        <v>0</v>
      </c>
      <c r="AD471" s="386">
        <f t="shared" si="2085"/>
        <v>0</v>
      </c>
      <c r="AE471" s="386">
        <f t="shared" si="2086"/>
        <v>0</v>
      </c>
      <c r="AF471" s="386">
        <f t="shared" si="2087"/>
        <v>0</v>
      </c>
      <c r="AG471" s="375">
        <f t="shared" si="2088"/>
        <v>0</v>
      </c>
      <c r="AH471" s="375">
        <f t="shared" si="2089"/>
        <v>0</v>
      </c>
      <c r="AI471" s="386">
        <f t="shared" si="2090"/>
        <v>0</v>
      </c>
      <c r="AJ471" s="386">
        <f t="shared" si="2091"/>
        <v>0</v>
      </c>
      <c r="AK471" s="386">
        <f t="shared" si="2092"/>
        <v>0</v>
      </c>
      <c r="AL471" s="377">
        <f t="shared" si="2093"/>
        <v>0</v>
      </c>
      <c r="AM471" s="377">
        <f t="shared" si="2094"/>
        <v>0</v>
      </c>
      <c r="AN471" s="377">
        <f t="shared" si="2095"/>
        <v>0</v>
      </c>
      <c r="AO471" s="283"/>
      <c r="AP471" s="295">
        <f t="shared" si="2111"/>
        <v>3.6549999999999999E-2</v>
      </c>
      <c r="AQ471" s="20">
        <f t="shared" si="2108"/>
        <v>7.4992000000000003E-2</v>
      </c>
      <c r="AR471" s="95">
        <f t="shared" si="2108"/>
        <v>3.6549999999999999E-2</v>
      </c>
      <c r="AS471" s="94">
        <f t="shared" si="2102"/>
        <v>0</v>
      </c>
      <c r="AT471" s="94">
        <f t="shared" si="2042"/>
        <v>0</v>
      </c>
      <c r="AU471" s="94">
        <f t="shared" si="2043"/>
        <v>0</v>
      </c>
      <c r="AV471" s="94">
        <f t="shared" si="2123"/>
        <v>0</v>
      </c>
      <c r="AW471" s="94">
        <f t="shared" si="2103"/>
        <v>0</v>
      </c>
      <c r="AX471" s="94">
        <f t="shared" si="2124"/>
        <v>0</v>
      </c>
      <c r="AY471" s="94">
        <f t="shared" si="2104"/>
        <v>0</v>
      </c>
      <c r="AZ471" s="433">
        <f t="shared" si="2105"/>
        <v>0</v>
      </c>
      <c r="BA471" s="657">
        <v>-7.4992000000000003E-2</v>
      </c>
      <c r="BB471" s="327">
        <v>-3.6549999999999999E-2</v>
      </c>
      <c r="BC471" s="207">
        <v>0</v>
      </c>
      <c r="BD471" s="132">
        <v>0</v>
      </c>
      <c r="BE471" s="132">
        <v>0</v>
      </c>
      <c r="BF471" s="132">
        <v>0</v>
      </c>
      <c r="BG471" s="207">
        <v>0</v>
      </c>
      <c r="BH471" s="207">
        <v>0</v>
      </c>
      <c r="BI471" s="132">
        <v>0</v>
      </c>
      <c r="BJ471" s="132">
        <v>0</v>
      </c>
      <c r="BK471" s="132">
        <v>0</v>
      </c>
      <c r="BL471" s="132">
        <v>0</v>
      </c>
      <c r="BM471" s="132">
        <v>0</v>
      </c>
      <c r="BN471" s="409">
        <v>0</v>
      </c>
      <c r="BO471" s="207">
        <v>0</v>
      </c>
      <c r="BP471" s="389">
        <v>0</v>
      </c>
      <c r="BQ471" s="389">
        <v>0</v>
      </c>
      <c r="BR471" s="389">
        <v>0</v>
      </c>
      <c r="BS471" s="296">
        <v>0</v>
      </c>
      <c r="BT471" s="296">
        <v>0</v>
      </c>
      <c r="BU471" s="296">
        <v>0</v>
      </c>
      <c r="BV471" s="409">
        <v>0</v>
      </c>
      <c r="BW471" s="296">
        <f t="shared" si="2106"/>
        <v>0</v>
      </c>
      <c r="BX471" s="439" t="s">
        <v>340</v>
      </c>
    </row>
    <row r="472" spans="1:76" ht="116.1" hidden="1" customHeight="1" outlineLevel="1" x14ac:dyDescent="0.25">
      <c r="A472" s="678">
        <v>80</v>
      </c>
      <c r="B472" s="702" t="s">
        <v>494</v>
      </c>
      <c r="C472" s="686" t="s">
        <v>494</v>
      </c>
      <c r="D472" s="63" t="s">
        <v>492</v>
      </c>
      <c r="E472" s="463" t="s">
        <v>493</v>
      </c>
      <c r="F472" s="542" t="s">
        <v>495</v>
      </c>
      <c r="G472" s="71" t="s">
        <v>192</v>
      </c>
      <c r="H472" s="311" t="s">
        <v>130</v>
      </c>
      <c r="I472" s="335"/>
      <c r="J472" s="294">
        <f t="shared" ref="J472:J490" si="2140">AQ472/T$8</f>
        <v>1.3949457331347095E-5</v>
      </c>
      <c r="K472" s="52">
        <f t="shared" ref="K472:K490" si="2141">AR472/U$8</f>
        <v>1.1905706220479966E-5</v>
      </c>
      <c r="L472" s="52">
        <f t="shared" ref="L472:L490" si="2142">AS472/V$8</f>
        <v>0</v>
      </c>
      <c r="M472" s="52">
        <f t="shared" si="2109"/>
        <v>0</v>
      </c>
      <c r="N472" s="52">
        <f t="shared" si="2110"/>
        <v>0</v>
      </c>
      <c r="O472" s="52">
        <f t="shared" si="2080"/>
        <v>0</v>
      </c>
      <c r="P472" s="52">
        <f t="shared" si="2081"/>
        <v>0</v>
      </c>
      <c r="Q472" s="52">
        <f t="shared" si="2082"/>
        <v>0</v>
      </c>
      <c r="R472" s="52">
        <f t="shared" si="2083"/>
        <v>0</v>
      </c>
      <c r="S472" s="527">
        <f t="shared" ref="S472:S490" si="2143">AZ472/AN$8</f>
        <v>0</v>
      </c>
      <c r="T472" s="533">
        <f t="shared" ref="T472:T490" si="2144">BA472/T$8</f>
        <v>-1.3949457331347095E-5</v>
      </c>
      <c r="U472" s="375">
        <f t="shared" ref="U472:U490" si="2145">BB472/U$8</f>
        <v>-1.1905706220479966E-5</v>
      </c>
      <c r="V472" s="375">
        <f t="shared" ref="V472:V490" si="2146">BC472/V$8</f>
        <v>0</v>
      </c>
      <c r="W472" s="386">
        <f t="shared" ref="W472:W490" si="2147">BD472/W$8</f>
        <v>0</v>
      </c>
      <c r="X472" s="386">
        <f t="shared" ref="X472:X490" si="2148">BE472/X$8</f>
        <v>0</v>
      </c>
      <c r="Y472" s="386">
        <f>BF472/Y$8</f>
        <v>0</v>
      </c>
      <c r="Z472" s="375">
        <f t="shared" si="2134"/>
        <v>0</v>
      </c>
      <c r="AA472" s="375">
        <f t="shared" ref="AA472:AA490" si="2149">BH472/AA$8</f>
        <v>0</v>
      </c>
      <c r="AB472" s="386">
        <f t="shared" ref="AB472:AB490" si="2150">BI472/AB$8</f>
        <v>0</v>
      </c>
      <c r="AC472" s="386">
        <f t="shared" si="2084"/>
        <v>0</v>
      </c>
      <c r="AD472" s="386">
        <f t="shared" si="2085"/>
        <v>0</v>
      </c>
      <c r="AE472" s="386">
        <f t="shared" si="2086"/>
        <v>0</v>
      </c>
      <c r="AF472" s="386">
        <f t="shared" si="2087"/>
        <v>0</v>
      </c>
      <c r="AG472" s="375">
        <f t="shared" si="2088"/>
        <v>0</v>
      </c>
      <c r="AH472" s="375">
        <f t="shared" si="2089"/>
        <v>0</v>
      </c>
      <c r="AI472" s="386">
        <f t="shared" si="2090"/>
        <v>0</v>
      </c>
      <c r="AJ472" s="386">
        <f t="shared" si="2091"/>
        <v>0</v>
      </c>
      <c r="AK472" s="386">
        <f t="shared" si="2092"/>
        <v>0</v>
      </c>
      <c r="AL472" s="377">
        <f t="shared" si="2093"/>
        <v>0</v>
      </c>
      <c r="AM472" s="377">
        <f t="shared" si="2094"/>
        <v>0</v>
      </c>
      <c r="AN472" s="377">
        <f t="shared" si="2095"/>
        <v>0</v>
      </c>
      <c r="AO472" s="283"/>
      <c r="AP472" s="295">
        <f t="shared" si="2111"/>
        <v>0.36067199999999999</v>
      </c>
      <c r="AQ472" s="20">
        <f t="shared" si="2108"/>
        <v>0.393291</v>
      </c>
      <c r="AR472" s="95">
        <f t="shared" si="2108"/>
        <v>0.36067199999999999</v>
      </c>
      <c r="AS472" s="94">
        <f t="shared" si="2102"/>
        <v>0</v>
      </c>
      <c r="AT472" s="94">
        <f t="shared" si="2042"/>
        <v>0</v>
      </c>
      <c r="AU472" s="94">
        <f t="shared" si="2043"/>
        <v>0</v>
      </c>
      <c r="AV472" s="94">
        <f t="shared" si="2123"/>
        <v>0</v>
      </c>
      <c r="AW472" s="94">
        <f t="shared" si="2103"/>
        <v>0</v>
      </c>
      <c r="AX472" s="94">
        <f t="shared" si="2124"/>
        <v>0</v>
      </c>
      <c r="AY472" s="94">
        <f t="shared" si="2104"/>
        <v>0</v>
      </c>
      <c r="AZ472" s="433">
        <f t="shared" si="2105"/>
        <v>0</v>
      </c>
      <c r="BA472" s="657">
        <v>-0.393291</v>
      </c>
      <c r="BB472" s="327">
        <v>-0.36067199999999999</v>
      </c>
      <c r="BC472" s="207">
        <v>0</v>
      </c>
      <c r="BD472" s="132">
        <v>0</v>
      </c>
      <c r="BE472" s="132">
        <v>0</v>
      </c>
      <c r="BF472" s="132">
        <v>0</v>
      </c>
      <c r="BG472" s="207">
        <v>0</v>
      </c>
      <c r="BH472" s="207">
        <v>0</v>
      </c>
      <c r="BI472" s="132">
        <v>0</v>
      </c>
      <c r="BJ472" s="132">
        <v>0</v>
      </c>
      <c r="BK472" s="132">
        <v>0</v>
      </c>
      <c r="BL472" s="132">
        <v>0</v>
      </c>
      <c r="BM472" s="132">
        <v>0</v>
      </c>
      <c r="BN472" s="409">
        <v>0</v>
      </c>
      <c r="BO472" s="207">
        <v>0</v>
      </c>
      <c r="BP472" s="389">
        <v>0</v>
      </c>
      <c r="BQ472" s="389">
        <v>0</v>
      </c>
      <c r="BR472" s="389">
        <v>0</v>
      </c>
      <c r="BS472" s="296">
        <v>0</v>
      </c>
      <c r="BT472" s="296">
        <v>0</v>
      </c>
      <c r="BU472" s="296">
        <v>0</v>
      </c>
      <c r="BV472" s="409">
        <v>0</v>
      </c>
      <c r="BW472" s="296">
        <f t="shared" si="2106"/>
        <v>0</v>
      </c>
      <c r="BX472" s="439" t="s">
        <v>496</v>
      </c>
    </row>
    <row r="473" spans="1:76" ht="101.45" hidden="1" customHeight="1" outlineLevel="1" x14ac:dyDescent="0.25">
      <c r="A473" s="678">
        <v>81</v>
      </c>
      <c r="B473" s="702" t="s">
        <v>680</v>
      </c>
      <c r="C473" s="686" t="s">
        <v>680</v>
      </c>
      <c r="D473" s="63">
        <v>44224</v>
      </c>
      <c r="E473" s="463" t="s">
        <v>1336</v>
      </c>
      <c r="F473" s="544" t="s">
        <v>681</v>
      </c>
      <c r="G473" s="71" t="s">
        <v>38</v>
      </c>
      <c r="H473" s="311" t="s">
        <v>127</v>
      </c>
      <c r="I473" s="335"/>
      <c r="J473" s="294">
        <f t="shared" si="2140"/>
        <v>0</v>
      </c>
      <c r="K473" s="52">
        <f t="shared" si="2141"/>
        <v>0</v>
      </c>
      <c r="L473" s="52">
        <f t="shared" si="2142"/>
        <v>1.530362389813908E-4</v>
      </c>
      <c r="M473" s="52">
        <f t="shared" si="2109"/>
        <v>1.5941831397077363E-4</v>
      </c>
      <c r="N473" s="52">
        <f t="shared" si="2110"/>
        <v>1.4886455495943904E-4</v>
      </c>
      <c r="O473" s="52">
        <f t="shared" si="2080"/>
        <v>0</v>
      </c>
      <c r="P473" s="52">
        <f t="shared" si="2081"/>
        <v>0</v>
      </c>
      <c r="Q473" s="52">
        <f t="shared" si="2082"/>
        <v>0</v>
      </c>
      <c r="R473" s="52">
        <f t="shared" si="2083"/>
        <v>0</v>
      </c>
      <c r="S473" s="527">
        <f t="shared" si="2143"/>
        <v>0</v>
      </c>
      <c r="T473" s="533">
        <f t="shared" si="2144"/>
        <v>0</v>
      </c>
      <c r="U473" s="375">
        <f t="shared" si="2145"/>
        <v>0</v>
      </c>
      <c r="V473" s="375">
        <f t="shared" si="2146"/>
        <v>-1.530362389813908E-4</v>
      </c>
      <c r="W473" s="386">
        <f t="shared" si="2147"/>
        <v>-1.632445268287365E-4</v>
      </c>
      <c r="X473" s="386">
        <f t="shared" si="2148"/>
        <v>-1.5941831397077363E-4</v>
      </c>
      <c r="Y473" s="386">
        <f>BF473/Y$8</f>
        <v>-1.5941831397077363E-4</v>
      </c>
      <c r="Z473" s="375">
        <f t="shared" si="2134"/>
        <v>-1.4886455495943904E-4</v>
      </c>
      <c r="AA473" s="375">
        <f t="shared" si="2149"/>
        <v>0</v>
      </c>
      <c r="AB473" s="386">
        <f t="shared" si="2150"/>
        <v>0</v>
      </c>
      <c r="AC473" s="386">
        <f t="shared" si="2084"/>
        <v>0</v>
      </c>
      <c r="AD473" s="386">
        <f t="shared" si="2085"/>
        <v>0</v>
      </c>
      <c r="AE473" s="386">
        <f t="shared" si="2086"/>
        <v>0</v>
      </c>
      <c r="AF473" s="386">
        <f t="shared" si="2087"/>
        <v>0</v>
      </c>
      <c r="AG473" s="375">
        <f t="shared" si="2088"/>
        <v>0</v>
      </c>
      <c r="AH473" s="375">
        <f t="shared" si="2089"/>
        <v>0</v>
      </c>
      <c r="AI473" s="386">
        <f t="shared" si="2090"/>
        <v>0</v>
      </c>
      <c r="AJ473" s="386">
        <f t="shared" si="2091"/>
        <v>0</v>
      </c>
      <c r="AK473" s="386">
        <f t="shared" si="2092"/>
        <v>0</v>
      </c>
      <c r="AL473" s="377">
        <f t="shared" si="2093"/>
        <v>0</v>
      </c>
      <c r="AM473" s="377">
        <f t="shared" si="2094"/>
        <v>0</v>
      </c>
      <c r="AN473" s="377">
        <f t="shared" si="2095"/>
        <v>0</v>
      </c>
      <c r="AO473" s="283"/>
      <c r="AP473" s="295">
        <f t="shared" si="2111"/>
        <v>5</v>
      </c>
      <c r="AQ473" s="20">
        <f t="shared" si="2108"/>
        <v>0</v>
      </c>
      <c r="AR473" s="95">
        <f t="shared" si="2108"/>
        <v>0</v>
      </c>
      <c r="AS473" s="94">
        <f t="shared" si="2102"/>
        <v>5</v>
      </c>
      <c r="AT473" s="94">
        <f t="shared" si="2042"/>
        <v>5</v>
      </c>
      <c r="AU473" s="94">
        <f t="shared" si="2043"/>
        <v>5</v>
      </c>
      <c r="AV473" s="94">
        <f t="shared" si="2123"/>
        <v>0</v>
      </c>
      <c r="AW473" s="94">
        <f t="shared" si="2103"/>
        <v>0</v>
      </c>
      <c r="AX473" s="94">
        <f t="shared" si="2124"/>
        <v>0</v>
      </c>
      <c r="AY473" s="94">
        <f t="shared" si="2104"/>
        <v>0</v>
      </c>
      <c r="AZ473" s="433">
        <f t="shared" si="2105"/>
        <v>0</v>
      </c>
      <c r="BA473" s="657">
        <v>0</v>
      </c>
      <c r="BB473" s="327">
        <v>0</v>
      </c>
      <c r="BC473" s="207">
        <v>-5</v>
      </c>
      <c r="BD473" s="132">
        <v>-5</v>
      </c>
      <c r="BE473" s="132">
        <v>-5</v>
      </c>
      <c r="BF473" s="132">
        <v>-5</v>
      </c>
      <c r="BG473" s="207">
        <v>-5</v>
      </c>
      <c r="BH473" s="207">
        <v>0</v>
      </c>
      <c r="BI473" s="132">
        <v>0</v>
      </c>
      <c r="BJ473" s="132">
        <v>0</v>
      </c>
      <c r="BK473" s="132">
        <v>0</v>
      </c>
      <c r="BL473" s="132">
        <v>0</v>
      </c>
      <c r="BM473" s="132">
        <v>0</v>
      </c>
      <c r="BN473" s="409">
        <v>0</v>
      </c>
      <c r="BO473" s="207">
        <v>0</v>
      </c>
      <c r="BP473" s="389">
        <v>0</v>
      </c>
      <c r="BQ473" s="389">
        <v>0</v>
      </c>
      <c r="BR473" s="389">
        <v>0</v>
      </c>
      <c r="BS473" s="296">
        <v>0</v>
      </c>
      <c r="BT473" s="296">
        <v>0</v>
      </c>
      <c r="BU473" s="296">
        <v>0</v>
      </c>
      <c r="BV473" s="409">
        <v>0</v>
      </c>
      <c r="BW473" s="296">
        <f t="shared" si="2106"/>
        <v>0</v>
      </c>
      <c r="BX473" s="439" t="s">
        <v>682</v>
      </c>
    </row>
    <row r="474" spans="1:76" ht="72.599999999999994" hidden="1" customHeight="1" outlineLevel="1" x14ac:dyDescent="0.25">
      <c r="A474" s="678">
        <v>82</v>
      </c>
      <c r="B474" s="702" t="s">
        <v>1588</v>
      </c>
      <c r="C474" s="686" t="s">
        <v>1238</v>
      </c>
      <c r="D474" s="63" t="s">
        <v>1423</v>
      </c>
      <c r="E474" s="463" t="s">
        <v>1334</v>
      </c>
      <c r="F474" s="544" t="s">
        <v>1588</v>
      </c>
      <c r="G474" s="71" t="s">
        <v>216</v>
      </c>
      <c r="H474" s="311" t="s">
        <v>127</v>
      </c>
      <c r="I474" s="335"/>
      <c r="J474" s="294">
        <f t="shared" ref="J474" si="2151">AQ474/T$8</f>
        <v>0</v>
      </c>
      <c r="K474" s="52">
        <f t="shared" ref="K474" si="2152">AR474/U$8</f>
        <v>0</v>
      </c>
      <c r="L474" s="52">
        <f t="shared" ref="L474" si="2153">AS474/V$8</f>
        <v>6.1214495592556322E-4</v>
      </c>
      <c r="M474" s="52">
        <f t="shared" si="2109"/>
        <v>6.376732558830945E-4</v>
      </c>
      <c r="N474" s="52">
        <f t="shared" si="2110"/>
        <v>2.3412071468443738E-4</v>
      </c>
      <c r="O474" s="52">
        <f t="shared" si="2080"/>
        <v>0</v>
      </c>
      <c r="P474" s="52">
        <f t="shared" si="2081"/>
        <v>0</v>
      </c>
      <c r="Q474" s="52">
        <f t="shared" si="2082"/>
        <v>0</v>
      </c>
      <c r="R474" s="52">
        <f t="shared" si="2083"/>
        <v>0</v>
      </c>
      <c r="S474" s="527">
        <f t="shared" ref="S474" si="2154">AZ474/AN$8</f>
        <v>0</v>
      </c>
      <c r="T474" s="533">
        <f t="shared" ref="T474" si="2155">BA474/T$8</f>
        <v>0</v>
      </c>
      <c r="U474" s="375">
        <f t="shared" ref="U474" si="2156">BB474/U$8</f>
        <v>0</v>
      </c>
      <c r="V474" s="375">
        <f t="shared" ref="V474" si="2157">BC474/V$8</f>
        <v>-6.1214495592556322E-4</v>
      </c>
      <c r="W474" s="386">
        <f t="shared" ref="W474" si="2158">BD474/W$8</f>
        <v>0</v>
      </c>
      <c r="X474" s="386">
        <f t="shared" ref="X474" si="2159">BE474/X$8</f>
        <v>-6.376732558830945E-4</v>
      </c>
      <c r="Y474" s="386">
        <f t="shared" ref="Y474" si="2160">BF474/Y$8</f>
        <v>-6.376732558830945E-4</v>
      </c>
      <c r="Z474" s="375">
        <f t="shared" si="2134"/>
        <v>-2.3412071468443738E-4</v>
      </c>
      <c r="AA474" s="375">
        <f t="shared" ref="AA474" si="2161">BH474/AA$8</f>
        <v>0</v>
      </c>
      <c r="AB474" s="386">
        <f t="shared" ref="AB474" si="2162">BI474/AB$8</f>
        <v>0</v>
      </c>
      <c r="AC474" s="386">
        <f t="shared" si="2084"/>
        <v>0</v>
      </c>
      <c r="AD474" s="386">
        <f t="shared" si="2085"/>
        <v>0</v>
      </c>
      <c r="AE474" s="386">
        <f t="shared" si="2086"/>
        <v>0</v>
      </c>
      <c r="AF474" s="386">
        <f t="shared" si="2087"/>
        <v>0</v>
      </c>
      <c r="AG474" s="375">
        <f t="shared" si="2088"/>
        <v>0</v>
      </c>
      <c r="AH474" s="375">
        <f t="shared" si="2089"/>
        <v>0</v>
      </c>
      <c r="AI474" s="386">
        <f t="shared" si="2090"/>
        <v>0</v>
      </c>
      <c r="AJ474" s="386">
        <f t="shared" si="2091"/>
        <v>0</v>
      </c>
      <c r="AK474" s="386">
        <f t="shared" si="2092"/>
        <v>0</v>
      </c>
      <c r="AL474" s="377">
        <f t="shared" si="2093"/>
        <v>0</v>
      </c>
      <c r="AM474" s="377">
        <f t="shared" si="2094"/>
        <v>0</v>
      </c>
      <c r="AN474" s="377">
        <f t="shared" si="2095"/>
        <v>0</v>
      </c>
      <c r="AO474" s="283"/>
      <c r="AP474" s="295">
        <f t="shared" si="2111"/>
        <v>7.8635479999999998</v>
      </c>
      <c r="AQ474" s="20">
        <f t="shared" ref="AQ474" si="2163">-BA474</f>
        <v>0</v>
      </c>
      <c r="AR474" s="95">
        <f t="shared" ref="AR474" si="2164">-BB474</f>
        <v>0</v>
      </c>
      <c r="AS474" s="94">
        <f t="shared" ref="AS474" si="2165">-BC474</f>
        <v>20</v>
      </c>
      <c r="AT474" s="94">
        <f t="shared" si="2042"/>
        <v>20</v>
      </c>
      <c r="AU474" s="94">
        <f t="shared" si="2043"/>
        <v>7.8635479999999998</v>
      </c>
      <c r="AV474" s="94">
        <f t="shared" si="2123"/>
        <v>0</v>
      </c>
      <c r="AW474" s="94">
        <f t="shared" si="2103"/>
        <v>0</v>
      </c>
      <c r="AX474" s="94">
        <f t="shared" si="2124"/>
        <v>0</v>
      </c>
      <c r="AY474" s="94">
        <f t="shared" si="2104"/>
        <v>0</v>
      </c>
      <c r="AZ474" s="433">
        <f t="shared" si="2105"/>
        <v>0</v>
      </c>
      <c r="BA474" s="657">
        <v>0</v>
      </c>
      <c r="BB474" s="327">
        <v>0</v>
      </c>
      <c r="BC474" s="207">
        <v>-20</v>
      </c>
      <c r="BD474" s="132">
        <v>0</v>
      </c>
      <c r="BE474" s="132">
        <v>-20</v>
      </c>
      <c r="BF474" s="132">
        <v>-20</v>
      </c>
      <c r="BG474" s="207">
        <f>-7.863548</f>
        <v>-7.8635479999999998</v>
      </c>
      <c r="BH474" s="207">
        <v>0</v>
      </c>
      <c r="BI474" s="132">
        <v>0</v>
      </c>
      <c r="BJ474" s="132">
        <v>0</v>
      </c>
      <c r="BK474" s="132">
        <v>0</v>
      </c>
      <c r="BL474" s="132">
        <v>0</v>
      </c>
      <c r="BM474" s="132">
        <v>0</v>
      </c>
      <c r="BN474" s="409">
        <v>0</v>
      </c>
      <c r="BO474" s="207">
        <v>0</v>
      </c>
      <c r="BP474" s="389">
        <v>0</v>
      </c>
      <c r="BQ474" s="389">
        <v>0</v>
      </c>
      <c r="BR474" s="389">
        <v>0</v>
      </c>
      <c r="BS474" s="296">
        <v>0</v>
      </c>
      <c r="BT474" s="296">
        <v>0</v>
      </c>
      <c r="BU474" s="296">
        <v>0</v>
      </c>
      <c r="BV474" s="409">
        <v>0</v>
      </c>
      <c r="BW474" s="296">
        <f t="shared" ref="BW474" si="2166">-BV474</f>
        <v>0</v>
      </c>
      <c r="BX474" s="439" t="s">
        <v>1239</v>
      </c>
    </row>
    <row r="475" spans="1:76" ht="126" hidden="1" customHeight="1" outlineLevel="1" x14ac:dyDescent="0.25">
      <c r="A475" s="678">
        <v>83</v>
      </c>
      <c r="B475" s="702" t="s">
        <v>1588</v>
      </c>
      <c r="C475" s="686" t="s">
        <v>1238</v>
      </c>
      <c r="D475" s="63" t="s">
        <v>2034</v>
      </c>
      <c r="E475" s="463" t="s">
        <v>1886</v>
      </c>
      <c r="F475" s="544" t="s">
        <v>1588</v>
      </c>
      <c r="G475" s="71" t="s">
        <v>216</v>
      </c>
      <c r="H475" s="311" t="s">
        <v>127</v>
      </c>
      <c r="I475" s="335"/>
      <c r="J475" s="294">
        <f t="shared" si="2140"/>
        <v>0</v>
      </c>
      <c r="K475" s="52">
        <f t="shared" si="2141"/>
        <v>0</v>
      </c>
      <c r="L475" s="52">
        <f t="shared" si="2142"/>
        <v>0</v>
      </c>
      <c r="M475" s="52">
        <f t="shared" si="2109"/>
        <v>0</v>
      </c>
      <c r="N475" s="52">
        <f t="shared" si="2110"/>
        <v>0</v>
      </c>
      <c r="O475" s="52">
        <f t="shared" si="2080"/>
        <v>1.2709773062097051E-3</v>
      </c>
      <c r="P475" s="52">
        <f t="shared" si="2081"/>
        <v>1.3066188190326916E-3</v>
      </c>
      <c r="Q475" s="52">
        <f t="shared" si="2082"/>
        <v>2.2601870193516437E-4</v>
      </c>
      <c r="R475" s="52">
        <f t="shared" si="2083"/>
        <v>0</v>
      </c>
      <c r="S475" s="527">
        <f>AZ475/AN$8</f>
        <v>0</v>
      </c>
      <c r="T475" s="533">
        <f t="shared" si="2144"/>
        <v>0</v>
      </c>
      <c r="U475" s="375">
        <f t="shared" si="2145"/>
        <v>0</v>
      </c>
      <c r="V475" s="375">
        <f t="shared" si="2146"/>
        <v>0</v>
      </c>
      <c r="W475" s="386">
        <f t="shared" si="2147"/>
        <v>0</v>
      </c>
      <c r="X475" s="386">
        <f>BE475/X$8</f>
        <v>-6.376732558830945E-4</v>
      </c>
      <c r="Y475" s="386">
        <f>BF475/Y$8</f>
        <v>0</v>
      </c>
      <c r="Z475" s="375">
        <f t="shared" si="2134"/>
        <v>0</v>
      </c>
      <c r="AA475" s="375">
        <f t="shared" si="2149"/>
        <v>-1.2709773062097051E-3</v>
      </c>
      <c r="AB475" s="386">
        <f t="shared" si="2150"/>
        <v>0</v>
      </c>
      <c r="AC475" s="386">
        <f t="shared" si="2084"/>
        <v>0</v>
      </c>
      <c r="AD475" s="386">
        <f t="shared" si="2085"/>
        <v>-2.9392945018694952E-4</v>
      </c>
      <c r="AE475" s="386">
        <f t="shared" si="2086"/>
        <v>-2.3788154875838282E-4</v>
      </c>
      <c r="AF475" s="386">
        <f t="shared" si="2087"/>
        <v>-2.3139269512569103E-4</v>
      </c>
      <c r="AG475" s="375">
        <f t="shared" si="2088"/>
        <v>-2.280897085528053E-4</v>
      </c>
      <c r="AH475" s="375">
        <f t="shared" si="2089"/>
        <v>0</v>
      </c>
      <c r="AI475" s="386">
        <f t="shared" si="2090"/>
        <v>0</v>
      </c>
      <c r="AJ475" s="386">
        <f t="shared" si="2091"/>
        <v>0</v>
      </c>
      <c r="AK475" s="386">
        <f t="shared" si="2092"/>
        <v>0</v>
      </c>
      <c r="AL475" s="377">
        <f t="shared" si="2093"/>
        <v>0</v>
      </c>
      <c r="AM475" s="377">
        <f t="shared" si="2094"/>
        <v>0</v>
      </c>
      <c r="AN475" s="377">
        <f t="shared" si="2095"/>
        <v>0</v>
      </c>
      <c r="AO475" s="283"/>
      <c r="AP475" s="295">
        <f t="shared" si="2111"/>
        <v>50.125857000000003</v>
      </c>
      <c r="AQ475" s="20">
        <f t="shared" si="2108"/>
        <v>0</v>
      </c>
      <c r="AR475" s="95">
        <f t="shared" si="2108"/>
        <v>0</v>
      </c>
      <c r="AS475" s="94">
        <f t="shared" si="2102"/>
        <v>0</v>
      </c>
      <c r="AT475" s="94">
        <f t="shared" si="2042"/>
        <v>0</v>
      </c>
      <c r="AU475" s="94">
        <f t="shared" si="2043"/>
        <v>0</v>
      </c>
      <c r="AV475" s="94">
        <f t="shared" si="2123"/>
        <v>50.125857000000003</v>
      </c>
      <c r="AW475" s="94">
        <f t="shared" ref="AW475:AW490" si="2167">-BH475</f>
        <v>50.125857000000003</v>
      </c>
      <c r="AX475" s="94">
        <f t="shared" si="2124"/>
        <v>8.9139130000000009</v>
      </c>
      <c r="AY475" s="94">
        <f t="shared" ref="AY475:AY490" si="2168">-BO475</f>
        <v>0</v>
      </c>
      <c r="AZ475" s="433">
        <f t="shared" ref="AZ475:AZ490" si="2169">-BU475</f>
        <v>0</v>
      </c>
      <c r="BA475" s="657">
        <v>0</v>
      </c>
      <c r="BB475" s="327">
        <v>0</v>
      </c>
      <c r="BC475" s="207">
        <v>0</v>
      </c>
      <c r="BD475" s="132">
        <v>0</v>
      </c>
      <c r="BE475" s="132">
        <v>-20</v>
      </c>
      <c r="BF475" s="132">
        <v>0</v>
      </c>
      <c r="BG475" s="207">
        <f>0</f>
        <v>0</v>
      </c>
      <c r="BH475" s="207">
        <f>-50-0.125857</f>
        <v>-50.125857000000003</v>
      </c>
      <c r="BI475" s="132">
        <v>0</v>
      </c>
      <c r="BJ475" s="132">
        <v>0</v>
      </c>
      <c r="BK475" s="132">
        <v>-10</v>
      </c>
      <c r="BL475" s="1042">
        <f>-50.125857+41</f>
        <v>-9.1258570000000034</v>
      </c>
      <c r="BM475" s="1042">
        <f>-50.125857+41</f>
        <v>-9.1258570000000034</v>
      </c>
      <c r="BN475" s="713">
        <f>-8.378982-0.534931</f>
        <v>-8.9139130000000009</v>
      </c>
      <c r="BO475" s="207">
        <v>0</v>
      </c>
      <c r="BP475" s="389">
        <v>0</v>
      </c>
      <c r="BQ475" s="389">
        <v>0</v>
      </c>
      <c r="BR475" s="389">
        <v>0</v>
      </c>
      <c r="BS475" s="296">
        <v>0</v>
      </c>
      <c r="BT475" s="296">
        <v>0</v>
      </c>
      <c r="BU475" s="296">
        <v>0</v>
      </c>
      <c r="BV475" s="713">
        <v>0</v>
      </c>
      <c r="BW475" s="296">
        <f t="shared" si="2106"/>
        <v>0</v>
      </c>
      <c r="BX475" s="439" t="s">
        <v>1918</v>
      </c>
    </row>
    <row r="476" spans="1:76" ht="43.5" hidden="1" customHeight="1" outlineLevel="1" x14ac:dyDescent="0.25">
      <c r="A476" s="678">
        <v>84</v>
      </c>
      <c r="B476" s="702" t="s">
        <v>1234</v>
      </c>
      <c r="C476" s="694" t="s">
        <v>1234</v>
      </c>
      <c r="D476" s="63">
        <v>44295</v>
      </c>
      <c r="E476" s="463" t="s">
        <v>1333</v>
      </c>
      <c r="F476" s="544" t="s">
        <v>1234</v>
      </c>
      <c r="G476" s="71" t="s">
        <v>38</v>
      </c>
      <c r="H476" s="311" t="s">
        <v>130</v>
      </c>
      <c r="I476" s="335"/>
      <c r="J476" s="294">
        <f t="shared" si="2140"/>
        <v>0</v>
      </c>
      <c r="K476" s="52">
        <f t="shared" si="2141"/>
        <v>0</v>
      </c>
      <c r="L476" s="52">
        <f t="shared" si="2142"/>
        <v>2.356727473065622E-6</v>
      </c>
      <c r="M476" s="52">
        <f t="shared" si="2109"/>
        <v>2.4550101514871196E-6</v>
      </c>
      <c r="N476" s="52">
        <f t="shared" si="2110"/>
        <v>2.2924843734643693E-6</v>
      </c>
      <c r="O476" s="52">
        <f t="shared" si="2080"/>
        <v>0</v>
      </c>
      <c r="P476" s="52">
        <f t="shared" si="2081"/>
        <v>0</v>
      </c>
      <c r="Q476" s="52">
        <f t="shared" si="2082"/>
        <v>0</v>
      </c>
      <c r="R476" s="52">
        <f t="shared" si="2083"/>
        <v>0</v>
      </c>
      <c r="S476" s="527">
        <f t="shared" si="2143"/>
        <v>0</v>
      </c>
      <c r="T476" s="533">
        <f t="shared" si="2144"/>
        <v>0</v>
      </c>
      <c r="U476" s="375">
        <f t="shared" si="2145"/>
        <v>0</v>
      </c>
      <c r="V476" s="375">
        <f t="shared" si="2146"/>
        <v>-2.356727473065622E-6</v>
      </c>
      <c r="W476" s="386">
        <f t="shared" si="2147"/>
        <v>0</v>
      </c>
      <c r="X476" s="386">
        <f t="shared" si="2148"/>
        <v>-2.4550101514871196E-6</v>
      </c>
      <c r="Y476" s="386">
        <f t="shared" ref="Y476:Y481" si="2170">BF476/Y$8</f>
        <v>-2.4550101514871196E-6</v>
      </c>
      <c r="Z476" s="375">
        <f t="shared" si="2134"/>
        <v>-2.2924843734643693E-6</v>
      </c>
      <c r="AA476" s="375">
        <f t="shared" si="2149"/>
        <v>0</v>
      </c>
      <c r="AB476" s="386">
        <f t="shared" si="2150"/>
        <v>0</v>
      </c>
      <c r="AC476" s="386">
        <f t="shared" si="2084"/>
        <v>0</v>
      </c>
      <c r="AD476" s="386">
        <f t="shared" si="2085"/>
        <v>0</v>
      </c>
      <c r="AE476" s="386">
        <f t="shared" si="2086"/>
        <v>0</v>
      </c>
      <c r="AF476" s="386">
        <f t="shared" si="2087"/>
        <v>0</v>
      </c>
      <c r="AG476" s="375">
        <f t="shared" si="2088"/>
        <v>0</v>
      </c>
      <c r="AH476" s="375">
        <f t="shared" si="2089"/>
        <v>0</v>
      </c>
      <c r="AI476" s="386">
        <f t="shared" si="2090"/>
        <v>0</v>
      </c>
      <c r="AJ476" s="386">
        <f t="shared" si="2091"/>
        <v>0</v>
      </c>
      <c r="AK476" s="386">
        <f t="shared" si="2092"/>
        <v>0</v>
      </c>
      <c r="AL476" s="377">
        <f t="shared" si="2093"/>
        <v>0</v>
      </c>
      <c r="AM476" s="377">
        <f t="shared" si="2094"/>
        <v>0</v>
      </c>
      <c r="AN476" s="377">
        <f t="shared" si="2095"/>
        <v>0</v>
      </c>
      <c r="AO476" s="283"/>
      <c r="AP476" s="295">
        <f t="shared" si="2111"/>
        <v>7.6998999999999998E-2</v>
      </c>
      <c r="AQ476" s="20">
        <f t="shared" ref="AQ476:AQ481" si="2171">-BA476</f>
        <v>0</v>
      </c>
      <c r="AR476" s="95">
        <f t="shared" ref="AR476:AR485" si="2172">-BB476</f>
        <v>0</v>
      </c>
      <c r="AS476" s="94">
        <f t="shared" ref="AS476:AS485" si="2173">-BC476</f>
        <v>7.6998999999999998E-2</v>
      </c>
      <c r="AT476" s="94">
        <f t="shared" si="2042"/>
        <v>7.6998999999999998E-2</v>
      </c>
      <c r="AU476" s="94">
        <f t="shared" si="2043"/>
        <v>7.6998999999999998E-2</v>
      </c>
      <c r="AV476" s="94">
        <f t="shared" si="2123"/>
        <v>0</v>
      </c>
      <c r="AW476" s="94">
        <f t="shared" si="2167"/>
        <v>0</v>
      </c>
      <c r="AX476" s="94">
        <f t="shared" si="2124"/>
        <v>0</v>
      </c>
      <c r="AY476" s="94">
        <f t="shared" si="2168"/>
        <v>0</v>
      </c>
      <c r="AZ476" s="433">
        <f t="shared" si="2169"/>
        <v>0</v>
      </c>
      <c r="BA476" s="657">
        <v>0</v>
      </c>
      <c r="BB476" s="327">
        <v>0</v>
      </c>
      <c r="BC476" s="207">
        <v>-7.6998999999999998E-2</v>
      </c>
      <c r="BD476" s="132">
        <v>0</v>
      </c>
      <c r="BE476" s="132">
        <v>-7.6998999999999998E-2</v>
      </c>
      <c r="BF476" s="132">
        <v>-7.6998999999999998E-2</v>
      </c>
      <c r="BG476" s="207">
        <v>-7.6998999999999998E-2</v>
      </c>
      <c r="BH476" s="207">
        <v>0</v>
      </c>
      <c r="BI476" s="132">
        <v>0</v>
      </c>
      <c r="BJ476" s="132">
        <v>0</v>
      </c>
      <c r="BK476" s="132">
        <v>0</v>
      </c>
      <c r="BL476" s="132">
        <v>0</v>
      </c>
      <c r="BM476" s="132">
        <v>0</v>
      </c>
      <c r="BN476" s="409">
        <v>0</v>
      </c>
      <c r="BO476" s="207">
        <v>0</v>
      </c>
      <c r="BP476" s="389">
        <v>0</v>
      </c>
      <c r="BQ476" s="389">
        <v>0</v>
      </c>
      <c r="BR476" s="389">
        <v>0</v>
      </c>
      <c r="BS476" s="296">
        <v>0</v>
      </c>
      <c r="BT476" s="296">
        <v>0</v>
      </c>
      <c r="BU476" s="296">
        <v>0</v>
      </c>
      <c r="BV476" s="409">
        <v>0</v>
      </c>
      <c r="BW476" s="296">
        <f t="shared" ref="BW476:BW479" si="2174">-BV476</f>
        <v>0</v>
      </c>
      <c r="BX476" s="439" t="s">
        <v>1235</v>
      </c>
    </row>
    <row r="477" spans="1:76" ht="57.95" hidden="1" customHeight="1" outlineLevel="1" x14ac:dyDescent="0.25">
      <c r="A477" s="678">
        <v>85</v>
      </c>
      <c r="B477" s="702" t="s">
        <v>1234</v>
      </c>
      <c r="C477" s="694" t="s">
        <v>1234</v>
      </c>
      <c r="D477" s="63">
        <v>44348</v>
      </c>
      <c r="E477" s="463" t="s">
        <v>1468</v>
      </c>
      <c r="F477" s="544" t="s">
        <v>1234</v>
      </c>
      <c r="G477" s="71" t="s">
        <v>38</v>
      </c>
      <c r="H477" s="311" t="s">
        <v>130</v>
      </c>
      <c r="I477" s="335"/>
      <c r="J477" s="294">
        <f t="shared" si="2140"/>
        <v>0</v>
      </c>
      <c r="K477" s="52">
        <f t="shared" si="2141"/>
        <v>0</v>
      </c>
      <c r="L477" s="52">
        <f t="shared" si="2142"/>
        <v>3.4608839373163565E-6</v>
      </c>
      <c r="M477" s="52">
        <f t="shared" si="2109"/>
        <v>3.6052132867862515E-6</v>
      </c>
      <c r="N477" s="52">
        <f t="shared" si="2110"/>
        <v>3.3665421374967219E-6</v>
      </c>
      <c r="O477" s="52">
        <f t="shared" si="2080"/>
        <v>0</v>
      </c>
      <c r="P477" s="52">
        <f t="shared" si="2081"/>
        <v>0</v>
      </c>
      <c r="Q477" s="52">
        <f t="shared" si="2082"/>
        <v>0</v>
      </c>
      <c r="R477" s="52">
        <f t="shared" si="2083"/>
        <v>0</v>
      </c>
      <c r="S477" s="527">
        <f t="shared" si="2143"/>
        <v>0</v>
      </c>
      <c r="T477" s="533">
        <f t="shared" si="2144"/>
        <v>0</v>
      </c>
      <c r="U477" s="375">
        <f t="shared" si="2145"/>
        <v>0</v>
      </c>
      <c r="V477" s="375">
        <f t="shared" si="2146"/>
        <v>-3.4608839373163565E-6</v>
      </c>
      <c r="W477" s="386">
        <f t="shared" si="2147"/>
        <v>0</v>
      </c>
      <c r="X477" s="386">
        <f t="shared" si="2148"/>
        <v>-3.6052132867862515E-6</v>
      </c>
      <c r="Y477" s="386">
        <f t="shared" si="2170"/>
        <v>-3.6052132867862515E-6</v>
      </c>
      <c r="Z477" s="375">
        <f t="shared" si="2134"/>
        <v>-3.3665421374967219E-6</v>
      </c>
      <c r="AA477" s="375">
        <f t="shared" si="2149"/>
        <v>0</v>
      </c>
      <c r="AB477" s="386">
        <f t="shared" si="2150"/>
        <v>0</v>
      </c>
      <c r="AC477" s="386">
        <f t="shared" si="2084"/>
        <v>0</v>
      </c>
      <c r="AD477" s="386">
        <f t="shared" si="2085"/>
        <v>0</v>
      </c>
      <c r="AE477" s="386">
        <f t="shared" si="2086"/>
        <v>0</v>
      </c>
      <c r="AF477" s="386">
        <f t="shared" si="2087"/>
        <v>0</v>
      </c>
      <c r="AG477" s="375">
        <f t="shared" si="2088"/>
        <v>0</v>
      </c>
      <c r="AH477" s="375">
        <f t="shared" si="2089"/>
        <v>0</v>
      </c>
      <c r="AI477" s="386">
        <f t="shared" si="2090"/>
        <v>0</v>
      </c>
      <c r="AJ477" s="386">
        <f t="shared" si="2091"/>
        <v>0</v>
      </c>
      <c r="AK477" s="386">
        <f t="shared" si="2092"/>
        <v>0</v>
      </c>
      <c r="AL477" s="377">
        <f t="shared" si="2093"/>
        <v>0</v>
      </c>
      <c r="AM477" s="377">
        <f t="shared" si="2094"/>
        <v>0</v>
      </c>
      <c r="AN477" s="377">
        <f t="shared" si="2095"/>
        <v>0</v>
      </c>
      <c r="AO477" s="283"/>
      <c r="AP477" s="295">
        <f t="shared" si="2111"/>
        <v>0.11307399999999999</v>
      </c>
      <c r="AQ477" s="20">
        <f t="shared" si="2171"/>
        <v>0</v>
      </c>
      <c r="AR477" s="95">
        <f t="shared" si="2172"/>
        <v>0</v>
      </c>
      <c r="AS477" s="94">
        <f t="shared" si="2173"/>
        <v>0.11307399999999999</v>
      </c>
      <c r="AT477" s="94">
        <f t="shared" si="2042"/>
        <v>0.11307399999999999</v>
      </c>
      <c r="AU477" s="94">
        <f t="shared" si="2043"/>
        <v>0.11307399999999999</v>
      </c>
      <c r="AV477" s="94">
        <f t="shared" si="2123"/>
        <v>0</v>
      </c>
      <c r="AW477" s="94">
        <f t="shared" si="2167"/>
        <v>0</v>
      </c>
      <c r="AX477" s="94">
        <f t="shared" si="2124"/>
        <v>0</v>
      </c>
      <c r="AY477" s="94">
        <f t="shared" si="2168"/>
        <v>0</v>
      </c>
      <c r="AZ477" s="433">
        <f t="shared" si="2169"/>
        <v>0</v>
      </c>
      <c r="BA477" s="657">
        <v>0</v>
      </c>
      <c r="BB477" s="327">
        <v>0</v>
      </c>
      <c r="BC477" s="207">
        <v>-0.11307399999999999</v>
      </c>
      <c r="BD477" s="132">
        <v>0</v>
      </c>
      <c r="BE477" s="132">
        <v>-0.11307399999999999</v>
      </c>
      <c r="BF477" s="132">
        <v>-0.11307399999999999</v>
      </c>
      <c r="BG477" s="207">
        <v>-0.11307399999999999</v>
      </c>
      <c r="BH477" s="207">
        <v>0</v>
      </c>
      <c r="BI477" s="132">
        <v>0</v>
      </c>
      <c r="BJ477" s="132">
        <v>0</v>
      </c>
      <c r="BK477" s="132">
        <v>0</v>
      </c>
      <c r="BL477" s="132">
        <v>0</v>
      </c>
      <c r="BM477" s="132">
        <v>0</v>
      </c>
      <c r="BN477" s="409">
        <v>0</v>
      </c>
      <c r="BO477" s="207">
        <v>0</v>
      </c>
      <c r="BP477" s="389">
        <v>0</v>
      </c>
      <c r="BQ477" s="389">
        <v>0</v>
      </c>
      <c r="BR477" s="389">
        <v>0</v>
      </c>
      <c r="BS477" s="296">
        <v>0</v>
      </c>
      <c r="BT477" s="296">
        <v>0</v>
      </c>
      <c r="BU477" s="296">
        <v>0</v>
      </c>
      <c r="BV477" s="409">
        <v>0</v>
      </c>
      <c r="BW477" s="296">
        <f t="shared" si="2174"/>
        <v>0</v>
      </c>
      <c r="BX477" s="443" t="s">
        <v>1437</v>
      </c>
    </row>
    <row r="478" spans="1:76" ht="87" hidden="1" customHeight="1" outlineLevel="1" x14ac:dyDescent="0.25">
      <c r="A478" s="678">
        <v>86</v>
      </c>
      <c r="B478" s="702" t="s">
        <v>1234</v>
      </c>
      <c r="C478" s="694" t="s">
        <v>1234</v>
      </c>
      <c r="D478" s="260">
        <v>44376</v>
      </c>
      <c r="E478" s="463" t="s">
        <v>1488</v>
      </c>
      <c r="F478" s="544" t="s">
        <v>1487</v>
      </c>
      <c r="G478" s="71" t="s">
        <v>38</v>
      </c>
      <c r="H478" s="311" t="s">
        <v>130</v>
      </c>
      <c r="I478" s="335"/>
      <c r="J478" s="294">
        <f t="shared" si="2140"/>
        <v>0</v>
      </c>
      <c r="K478" s="52">
        <f t="shared" si="2141"/>
        <v>0</v>
      </c>
      <c r="L478" s="52">
        <f t="shared" si="2142"/>
        <v>1.7919931439764936E-5</v>
      </c>
      <c r="M478" s="52">
        <f t="shared" si="2109"/>
        <v>1.866724689272171E-5</v>
      </c>
      <c r="N478" s="52">
        <f t="shared" si="2110"/>
        <v>1.7431443927530474E-5</v>
      </c>
      <c r="O478" s="52">
        <f t="shared" si="2080"/>
        <v>0</v>
      </c>
      <c r="P478" s="52">
        <f t="shared" si="2081"/>
        <v>0</v>
      </c>
      <c r="Q478" s="52">
        <f t="shared" si="2082"/>
        <v>0</v>
      </c>
      <c r="R478" s="52">
        <f t="shared" si="2083"/>
        <v>0</v>
      </c>
      <c r="S478" s="527">
        <f t="shared" si="2143"/>
        <v>0</v>
      </c>
      <c r="T478" s="533">
        <f t="shared" si="2144"/>
        <v>0</v>
      </c>
      <c r="U478" s="375">
        <f t="shared" si="2145"/>
        <v>0</v>
      </c>
      <c r="V478" s="375">
        <f t="shared" si="2146"/>
        <v>-1.7919931439764936E-5</v>
      </c>
      <c r="W478" s="386">
        <f t="shared" si="2147"/>
        <v>0</v>
      </c>
      <c r="X478" s="386">
        <f t="shared" si="2148"/>
        <v>-1.866724689272171E-5</v>
      </c>
      <c r="Y478" s="386">
        <f t="shared" si="2170"/>
        <v>-1.866724689272171E-5</v>
      </c>
      <c r="Z478" s="375">
        <f t="shared" si="2134"/>
        <v>-1.7431443927530474E-5</v>
      </c>
      <c r="AA478" s="375">
        <f t="shared" si="2149"/>
        <v>0</v>
      </c>
      <c r="AB478" s="386">
        <f t="shared" si="2150"/>
        <v>0</v>
      </c>
      <c r="AC478" s="386">
        <f t="shared" si="2084"/>
        <v>0</v>
      </c>
      <c r="AD478" s="386">
        <f t="shared" si="2085"/>
        <v>0</v>
      </c>
      <c r="AE478" s="386">
        <f t="shared" si="2086"/>
        <v>0</v>
      </c>
      <c r="AF478" s="386">
        <f t="shared" si="2087"/>
        <v>0</v>
      </c>
      <c r="AG478" s="375">
        <f t="shared" si="2088"/>
        <v>0</v>
      </c>
      <c r="AH478" s="375">
        <f t="shared" si="2089"/>
        <v>0</v>
      </c>
      <c r="AI478" s="386">
        <f t="shared" si="2090"/>
        <v>0</v>
      </c>
      <c r="AJ478" s="386">
        <f t="shared" si="2091"/>
        <v>0</v>
      </c>
      <c r="AK478" s="386">
        <f t="shared" si="2092"/>
        <v>0</v>
      </c>
      <c r="AL478" s="377">
        <f t="shared" si="2093"/>
        <v>0</v>
      </c>
      <c r="AM478" s="377">
        <f t="shared" si="2094"/>
        <v>0</v>
      </c>
      <c r="AN478" s="377">
        <f t="shared" si="2095"/>
        <v>0</v>
      </c>
      <c r="AO478" s="283"/>
      <c r="AP478" s="295">
        <f t="shared" si="2111"/>
        <v>0.58548</v>
      </c>
      <c r="AQ478" s="20">
        <f t="shared" si="2171"/>
        <v>0</v>
      </c>
      <c r="AR478" s="95">
        <f t="shared" si="2172"/>
        <v>0</v>
      </c>
      <c r="AS478" s="94">
        <f t="shared" si="2173"/>
        <v>0.58548</v>
      </c>
      <c r="AT478" s="94">
        <f t="shared" si="2042"/>
        <v>0.58548</v>
      </c>
      <c r="AU478" s="94">
        <f t="shared" si="2043"/>
        <v>0.58548</v>
      </c>
      <c r="AV478" s="94">
        <f t="shared" si="2123"/>
        <v>0</v>
      </c>
      <c r="AW478" s="94">
        <f t="shared" ref="AW478:AW485" si="2175">-BH478</f>
        <v>0</v>
      </c>
      <c r="AX478" s="94">
        <f t="shared" si="2124"/>
        <v>0</v>
      </c>
      <c r="AY478" s="94">
        <f t="shared" ref="AY478:AY481" si="2176">-BO478</f>
        <v>0</v>
      </c>
      <c r="AZ478" s="433">
        <f t="shared" ref="AZ478:AZ483" si="2177">-BU478</f>
        <v>0</v>
      </c>
      <c r="BA478" s="657">
        <v>0</v>
      </c>
      <c r="BB478" s="327">
        <v>0</v>
      </c>
      <c r="BC478" s="207">
        <v>-0.58548</v>
      </c>
      <c r="BD478" s="132">
        <v>0</v>
      </c>
      <c r="BE478" s="132">
        <v>-0.58548</v>
      </c>
      <c r="BF478" s="132">
        <v>-0.58548</v>
      </c>
      <c r="BG478" s="207">
        <v>-0.58548</v>
      </c>
      <c r="BH478" s="207">
        <v>0</v>
      </c>
      <c r="BI478" s="132">
        <v>0</v>
      </c>
      <c r="BJ478" s="132">
        <v>0</v>
      </c>
      <c r="BK478" s="132">
        <v>0</v>
      </c>
      <c r="BL478" s="132">
        <v>0</v>
      </c>
      <c r="BM478" s="132">
        <v>0</v>
      </c>
      <c r="BN478" s="409">
        <v>0</v>
      </c>
      <c r="BO478" s="207">
        <v>0</v>
      </c>
      <c r="BP478" s="389">
        <v>0</v>
      </c>
      <c r="BQ478" s="389">
        <v>0</v>
      </c>
      <c r="BR478" s="389">
        <v>0</v>
      </c>
      <c r="BS478" s="296">
        <v>0</v>
      </c>
      <c r="BT478" s="296">
        <v>0</v>
      </c>
      <c r="BU478" s="296">
        <v>0</v>
      </c>
      <c r="BV478" s="409">
        <v>0</v>
      </c>
      <c r="BW478" s="296">
        <f t="shared" si="2174"/>
        <v>0</v>
      </c>
      <c r="BX478" s="439" t="s">
        <v>1489</v>
      </c>
    </row>
    <row r="479" spans="1:76" ht="113.45" hidden="1" customHeight="1" outlineLevel="1" x14ac:dyDescent="0.25">
      <c r="A479" s="678">
        <v>87</v>
      </c>
      <c r="B479" s="702" t="s">
        <v>1234</v>
      </c>
      <c r="C479" s="694" t="s">
        <v>1234</v>
      </c>
      <c r="D479" s="260">
        <v>44417</v>
      </c>
      <c r="E479" s="463" t="s">
        <v>1674</v>
      </c>
      <c r="F479" s="544" t="s">
        <v>1234</v>
      </c>
      <c r="G479" s="71" t="s">
        <v>38</v>
      </c>
      <c r="H479" s="311" t="s">
        <v>130</v>
      </c>
      <c r="I479" s="335"/>
      <c r="J479" s="294">
        <f t="shared" si="2140"/>
        <v>0</v>
      </c>
      <c r="K479" s="52">
        <f t="shared" si="2141"/>
        <v>0</v>
      </c>
      <c r="L479" s="52">
        <f t="shared" si="2142"/>
        <v>8.4800134671890306E-6</v>
      </c>
      <c r="M479" s="52">
        <f t="shared" si="2109"/>
        <v>8.8336557300857154E-6</v>
      </c>
      <c r="N479" s="52">
        <f t="shared" si="2110"/>
        <v>8.2488529465014445E-6</v>
      </c>
      <c r="O479" s="52">
        <f t="shared" si="2080"/>
        <v>0</v>
      </c>
      <c r="P479" s="52">
        <f t="shared" si="2081"/>
        <v>0</v>
      </c>
      <c r="Q479" s="52">
        <f t="shared" si="2082"/>
        <v>0</v>
      </c>
      <c r="R479" s="52">
        <f t="shared" si="2083"/>
        <v>0</v>
      </c>
      <c r="S479" s="527">
        <f t="shared" si="2143"/>
        <v>0</v>
      </c>
      <c r="T479" s="533">
        <f t="shared" si="2144"/>
        <v>0</v>
      </c>
      <c r="U479" s="375">
        <f t="shared" si="2145"/>
        <v>0</v>
      </c>
      <c r="V479" s="375">
        <f t="shared" si="2146"/>
        <v>-8.4800134671890306E-6</v>
      </c>
      <c r="W479" s="386">
        <f t="shared" si="2147"/>
        <v>0</v>
      </c>
      <c r="X479" s="386">
        <f t="shared" si="2148"/>
        <v>0</v>
      </c>
      <c r="Y479" s="386">
        <f t="shared" si="2170"/>
        <v>0</v>
      </c>
      <c r="Z479" s="375">
        <f t="shared" si="2134"/>
        <v>-8.2488529465014445E-6</v>
      </c>
      <c r="AA479" s="375">
        <f t="shared" si="2149"/>
        <v>0</v>
      </c>
      <c r="AB479" s="386">
        <f t="shared" si="2150"/>
        <v>0</v>
      </c>
      <c r="AC479" s="386">
        <f t="shared" si="2084"/>
        <v>0</v>
      </c>
      <c r="AD479" s="386">
        <f t="shared" si="2085"/>
        <v>0</v>
      </c>
      <c r="AE479" s="386">
        <f t="shared" si="2086"/>
        <v>0</v>
      </c>
      <c r="AF479" s="386">
        <f t="shared" si="2087"/>
        <v>0</v>
      </c>
      <c r="AG479" s="375">
        <f t="shared" si="2088"/>
        <v>0</v>
      </c>
      <c r="AH479" s="375">
        <f t="shared" si="2089"/>
        <v>0</v>
      </c>
      <c r="AI479" s="386">
        <f t="shared" si="2090"/>
        <v>0</v>
      </c>
      <c r="AJ479" s="386">
        <f t="shared" si="2091"/>
        <v>0</v>
      </c>
      <c r="AK479" s="386">
        <f t="shared" si="2092"/>
        <v>0</v>
      </c>
      <c r="AL479" s="377">
        <f t="shared" si="2093"/>
        <v>0</v>
      </c>
      <c r="AM479" s="377">
        <f t="shared" si="2094"/>
        <v>0</v>
      </c>
      <c r="AN479" s="377">
        <f t="shared" si="2095"/>
        <v>0</v>
      </c>
      <c r="AO479" s="283"/>
      <c r="AP479" s="295">
        <f t="shared" si="2111"/>
        <v>0.277059</v>
      </c>
      <c r="AQ479" s="20">
        <f t="shared" si="2171"/>
        <v>0</v>
      </c>
      <c r="AR479" s="95">
        <f t="shared" si="2172"/>
        <v>0</v>
      </c>
      <c r="AS479" s="94">
        <f t="shared" si="2173"/>
        <v>0.277059</v>
      </c>
      <c r="AT479" s="94">
        <f t="shared" ref="AT479:AT490" si="2178">-BC479</f>
        <v>0.277059</v>
      </c>
      <c r="AU479" s="94">
        <f t="shared" ref="AU479:AU490" si="2179">-BG479</f>
        <v>0.277059</v>
      </c>
      <c r="AV479" s="94">
        <f t="shared" si="2123"/>
        <v>0</v>
      </c>
      <c r="AW479" s="94">
        <f t="shared" si="2175"/>
        <v>0</v>
      </c>
      <c r="AX479" s="94">
        <f t="shared" si="2124"/>
        <v>0</v>
      </c>
      <c r="AY479" s="94">
        <f t="shared" si="2176"/>
        <v>0</v>
      </c>
      <c r="AZ479" s="433">
        <f t="shared" si="2177"/>
        <v>0</v>
      </c>
      <c r="BA479" s="657">
        <v>0</v>
      </c>
      <c r="BB479" s="327">
        <v>0</v>
      </c>
      <c r="BC479" s="207">
        <f>-0.277059</f>
        <v>-0.277059</v>
      </c>
      <c r="BD479" s="132">
        <v>0</v>
      </c>
      <c r="BE479" s="132">
        <v>0</v>
      </c>
      <c r="BF479" s="132">
        <v>0</v>
      </c>
      <c r="BG479" s="1010">
        <v>-0.277059</v>
      </c>
      <c r="BH479" s="207">
        <v>0</v>
      </c>
      <c r="BI479" s="132">
        <v>0</v>
      </c>
      <c r="BJ479" s="132">
        <v>0</v>
      </c>
      <c r="BK479" s="132">
        <v>0</v>
      </c>
      <c r="BL479" s="132">
        <v>0</v>
      </c>
      <c r="BM479" s="132">
        <v>0</v>
      </c>
      <c r="BN479" s="1032">
        <v>0</v>
      </c>
      <c r="BO479" s="207">
        <v>0</v>
      </c>
      <c r="BP479" s="389">
        <v>0</v>
      </c>
      <c r="BQ479" s="389">
        <v>0</v>
      </c>
      <c r="BR479" s="389">
        <v>0</v>
      </c>
      <c r="BS479" s="296">
        <v>0</v>
      </c>
      <c r="BT479" s="296">
        <v>0</v>
      </c>
      <c r="BU479" s="296">
        <v>0</v>
      </c>
      <c r="BV479" s="1032">
        <v>0</v>
      </c>
      <c r="BW479" s="296">
        <f t="shared" si="2174"/>
        <v>0</v>
      </c>
      <c r="BX479" s="439" t="s">
        <v>1568</v>
      </c>
    </row>
    <row r="480" spans="1:76" ht="90" hidden="1" customHeight="1" outlineLevel="1" x14ac:dyDescent="0.25">
      <c r="A480" s="678">
        <v>88</v>
      </c>
      <c r="B480" s="702" t="s">
        <v>1234</v>
      </c>
      <c r="C480" s="694" t="s">
        <v>1234</v>
      </c>
      <c r="D480" s="260">
        <v>44474</v>
      </c>
      <c r="E480" s="463" t="s">
        <v>1673</v>
      </c>
      <c r="F480" s="544" t="s">
        <v>1234</v>
      </c>
      <c r="G480" s="71" t="s">
        <v>38</v>
      </c>
      <c r="H480" s="311" t="s">
        <v>130</v>
      </c>
      <c r="I480" s="335"/>
      <c r="J480" s="294">
        <f t="shared" si="2140"/>
        <v>0</v>
      </c>
      <c r="K480" s="52">
        <f t="shared" si="2141"/>
        <v>0</v>
      </c>
      <c r="L480" s="52">
        <f t="shared" si="2142"/>
        <v>9.5988614103819781E-6</v>
      </c>
      <c r="M480" s="52">
        <f t="shared" si="2109"/>
        <v>9.9991630235260415E-6</v>
      </c>
      <c r="N480" s="52">
        <f t="shared" si="2110"/>
        <v>9.3372017078099029E-6</v>
      </c>
      <c r="O480" s="52">
        <f t="shared" si="2080"/>
        <v>0</v>
      </c>
      <c r="P480" s="52">
        <f t="shared" si="2081"/>
        <v>0</v>
      </c>
      <c r="Q480" s="52">
        <f t="shared" si="2082"/>
        <v>0</v>
      </c>
      <c r="R480" s="52">
        <f t="shared" si="2083"/>
        <v>0</v>
      </c>
      <c r="S480" s="527">
        <f t="shared" si="2143"/>
        <v>0</v>
      </c>
      <c r="T480" s="533">
        <f t="shared" si="2144"/>
        <v>0</v>
      </c>
      <c r="U480" s="375">
        <f t="shared" si="2145"/>
        <v>0</v>
      </c>
      <c r="V480" s="375">
        <f t="shared" si="2146"/>
        <v>-9.5988614103819781E-6</v>
      </c>
      <c r="W480" s="386">
        <f t="shared" si="2147"/>
        <v>0</v>
      </c>
      <c r="X480" s="386">
        <f t="shared" si="2148"/>
        <v>0</v>
      </c>
      <c r="Y480" s="386">
        <f t="shared" si="2170"/>
        <v>0</v>
      </c>
      <c r="Z480" s="375">
        <f t="shared" si="2134"/>
        <v>-9.3372017078099029E-6</v>
      </c>
      <c r="AA480" s="375">
        <f t="shared" si="2149"/>
        <v>0</v>
      </c>
      <c r="AB480" s="386">
        <f t="shared" si="2150"/>
        <v>0</v>
      </c>
      <c r="AC480" s="386">
        <f t="shared" si="2084"/>
        <v>0</v>
      </c>
      <c r="AD480" s="386">
        <f t="shared" si="2085"/>
        <v>0</v>
      </c>
      <c r="AE480" s="386">
        <f t="shared" si="2086"/>
        <v>0</v>
      </c>
      <c r="AF480" s="386">
        <f t="shared" si="2087"/>
        <v>0</v>
      </c>
      <c r="AG480" s="375">
        <f t="shared" si="2088"/>
        <v>0</v>
      </c>
      <c r="AH480" s="375">
        <f t="shared" si="2089"/>
        <v>0</v>
      </c>
      <c r="AI480" s="386">
        <f t="shared" si="2090"/>
        <v>0</v>
      </c>
      <c r="AJ480" s="386">
        <f t="shared" si="2091"/>
        <v>0</v>
      </c>
      <c r="AK480" s="386">
        <f t="shared" si="2092"/>
        <v>0</v>
      </c>
      <c r="AL480" s="377">
        <f t="shared" si="2093"/>
        <v>0</v>
      </c>
      <c r="AM480" s="377">
        <f t="shared" si="2094"/>
        <v>0</v>
      </c>
      <c r="AN480" s="377">
        <f t="shared" si="2095"/>
        <v>0</v>
      </c>
      <c r="AO480" s="283"/>
      <c r="AP480" s="295">
        <f t="shared" si="2111"/>
        <v>0.313614</v>
      </c>
      <c r="AQ480" s="20">
        <f t="shared" si="2171"/>
        <v>0</v>
      </c>
      <c r="AR480" s="95">
        <f t="shared" si="2172"/>
        <v>0</v>
      </c>
      <c r="AS480" s="94">
        <f t="shared" si="2173"/>
        <v>0.313614</v>
      </c>
      <c r="AT480" s="94">
        <f t="shared" si="2178"/>
        <v>0.313614</v>
      </c>
      <c r="AU480" s="94">
        <f t="shared" si="2179"/>
        <v>0.313614</v>
      </c>
      <c r="AV480" s="94">
        <f t="shared" si="2123"/>
        <v>0</v>
      </c>
      <c r="AW480" s="94">
        <f t="shared" si="2175"/>
        <v>0</v>
      </c>
      <c r="AX480" s="94">
        <f t="shared" si="2124"/>
        <v>0</v>
      </c>
      <c r="AY480" s="94">
        <f t="shared" si="2176"/>
        <v>0</v>
      </c>
      <c r="AZ480" s="433">
        <f t="shared" si="2177"/>
        <v>0</v>
      </c>
      <c r="BA480" s="657">
        <v>0</v>
      </c>
      <c r="BB480" s="327">
        <v>0</v>
      </c>
      <c r="BC480" s="207">
        <f>-0.313614</f>
        <v>-0.313614</v>
      </c>
      <c r="BD480" s="132">
        <v>0</v>
      </c>
      <c r="BE480" s="132">
        <v>0</v>
      </c>
      <c r="BF480" s="132">
        <v>0</v>
      </c>
      <c r="BG480" s="1010">
        <v>-0.313614</v>
      </c>
      <c r="BH480" s="207">
        <v>0</v>
      </c>
      <c r="BI480" s="132">
        <v>0</v>
      </c>
      <c r="BJ480" s="132">
        <v>0</v>
      </c>
      <c r="BK480" s="132">
        <v>0</v>
      </c>
      <c r="BL480" s="132">
        <v>0</v>
      </c>
      <c r="BM480" s="132">
        <v>0</v>
      </c>
      <c r="BN480" s="1032">
        <v>0</v>
      </c>
      <c r="BO480" s="207">
        <v>0</v>
      </c>
      <c r="BP480" s="389">
        <v>0</v>
      </c>
      <c r="BQ480" s="389">
        <v>0</v>
      </c>
      <c r="BR480" s="389">
        <v>0</v>
      </c>
      <c r="BS480" s="296">
        <v>0</v>
      </c>
      <c r="BT480" s="296">
        <v>0</v>
      </c>
      <c r="BU480" s="296">
        <v>0</v>
      </c>
      <c r="BV480" s="1032">
        <v>0</v>
      </c>
      <c r="BW480" s="296">
        <f t="shared" ref="BW480:BW486" si="2180">-BV480</f>
        <v>0</v>
      </c>
      <c r="BX480" s="439" t="s">
        <v>1667</v>
      </c>
    </row>
    <row r="481" spans="1:76" ht="75" hidden="1" customHeight="1" outlineLevel="1" x14ac:dyDescent="0.25">
      <c r="A481" s="678">
        <v>89</v>
      </c>
      <c r="B481" s="702" t="s">
        <v>1234</v>
      </c>
      <c r="C481" s="694" t="s">
        <v>1234</v>
      </c>
      <c r="D481" s="260">
        <v>44495</v>
      </c>
      <c r="E481" s="463" t="s">
        <v>1701</v>
      </c>
      <c r="F481" s="544" t="s">
        <v>1234</v>
      </c>
      <c r="G481" s="71" t="s">
        <v>38</v>
      </c>
      <c r="H481" s="311" t="s">
        <v>130</v>
      </c>
      <c r="I481" s="335"/>
      <c r="J481" s="294">
        <f t="shared" si="2140"/>
        <v>0</v>
      </c>
      <c r="K481" s="52">
        <f t="shared" si="2141"/>
        <v>0</v>
      </c>
      <c r="L481" s="52">
        <f t="shared" si="2142"/>
        <v>8.8060724779627828E-6</v>
      </c>
      <c r="M481" s="52">
        <f t="shared" si="2109"/>
        <v>9.1733123898318455E-6</v>
      </c>
      <c r="N481" s="52">
        <f t="shared" si="2110"/>
        <v>8.5660237672980245E-6</v>
      </c>
      <c r="O481" s="52">
        <f t="shared" si="2080"/>
        <v>0</v>
      </c>
      <c r="P481" s="52">
        <f t="shared" si="2081"/>
        <v>0</v>
      </c>
      <c r="Q481" s="52">
        <f t="shared" si="2082"/>
        <v>0</v>
      </c>
      <c r="R481" s="52">
        <f t="shared" si="2083"/>
        <v>0</v>
      </c>
      <c r="S481" s="527">
        <f t="shared" si="2143"/>
        <v>0</v>
      </c>
      <c r="T481" s="533">
        <f t="shared" si="2144"/>
        <v>0</v>
      </c>
      <c r="U481" s="375">
        <f t="shared" si="2145"/>
        <v>0</v>
      </c>
      <c r="V481" s="375">
        <f t="shared" si="2146"/>
        <v>-8.8060724779627828E-6</v>
      </c>
      <c r="W481" s="386">
        <f t="shared" si="2147"/>
        <v>0</v>
      </c>
      <c r="X481" s="386">
        <f t="shared" si="2148"/>
        <v>0</v>
      </c>
      <c r="Y481" s="386">
        <f t="shared" si="2170"/>
        <v>0</v>
      </c>
      <c r="Z481" s="375">
        <f t="shared" si="2134"/>
        <v>-8.5660237672980245E-6</v>
      </c>
      <c r="AA481" s="375">
        <f t="shared" si="2149"/>
        <v>0</v>
      </c>
      <c r="AB481" s="386">
        <f t="shared" si="2150"/>
        <v>0</v>
      </c>
      <c r="AC481" s="386">
        <f t="shared" si="2084"/>
        <v>0</v>
      </c>
      <c r="AD481" s="386">
        <f t="shared" si="2085"/>
        <v>0</v>
      </c>
      <c r="AE481" s="386">
        <f t="shared" si="2086"/>
        <v>0</v>
      </c>
      <c r="AF481" s="386">
        <f t="shared" si="2087"/>
        <v>0</v>
      </c>
      <c r="AG481" s="375">
        <f t="shared" si="2088"/>
        <v>0</v>
      </c>
      <c r="AH481" s="375">
        <f t="shared" si="2089"/>
        <v>0</v>
      </c>
      <c r="AI481" s="386">
        <f t="shared" si="2090"/>
        <v>0</v>
      </c>
      <c r="AJ481" s="386">
        <f t="shared" si="2091"/>
        <v>0</v>
      </c>
      <c r="AK481" s="386">
        <f t="shared" si="2092"/>
        <v>0</v>
      </c>
      <c r="AL481" s="377">
        <f t="shared" si="2093"/>
        <v>0</v>
      </c>
      <c r="AM481" s="377">
        <f t="shared" si="2094"/>
        <v>0</v>
      </c>
      <c r="AN481" s="377">
        <f t="shared" si="2095"/>
        <v>0</v>
      </c>
      <c r="AO481" s="283"/>
      <c r="AP481" s="295">
        <f t="shared" si="2111"/>
        <v>0.28771200000000002</v>
      </c>
      <c r="AQ481" s="20">
        <f t="shared" si="2171"/>
        <v>0</v>
      </c>
      <c r="AR481" s="95">
        <f t="shared" si="2172"/>
        <v>0</v>
      </c>
      <c r="AS481" s="94">
        <f t="shared" si="2173"/>
        <v>0.28771200000000002</v>
      </c>
      <c r="AT481" s="94">
        <f t="shared" si="2178"/>
        <v>0.28771200000000002</v>
      </c>
      <c r="AU481" s="94">
        <f t="shared" si="2179"/>
        <v>0.28771200000000002</v>
      </c>
      <c r="AV481" s="94">
        <f t="shared" si="2123"/>
        <v>0</v>
      </c>
      <c r="AW481" s="94">
        <f t="shared" si="2175"/>
        <v>0</v>
      </c>
      <c r="AX481" s="94">
        <f t="shared" si="2124"/>
        <v>0</v>
      </c>
      <c r="AY481" s="94">
        <f t="shared" si="2176"/>
        <v>0</v>
      </c>
      <c r="AZ481" s="433">
        <f t="shared" si="2177"/>
        <v>0</v>
      </c>
      <c r="BA481" s="657">
        <v>0</v>
      </c>
      <c r="BB481" s="327">
        <v>0</v>
      </c>
      <c r="BC481" s="207">
        <f>-0.287712</f>
        <v>-0.28771200000000002</v>
      </c>
      <c r="BD481" s="132">
        <v>0</v>
      </c>
      <c r="BE481" s="132">
        <v>0</v>
      </c>
      <c r="BF481" s="132">
        <v>0</v>
      </c>
      <c r="BG481" s="1010">
        <v>-0.28771200000000002</v>
      </c>
      <c r="BH481" s="207">
        <v>0</v>
      </c>
      <c r="BI481" s="132">
        <v>0</v>
      </c>
      <c r="BJ481" s="132">
        <v>0</v>
      </c>
      <c r="BK481" s="132">
        <v>0</v>
      </c>
      <c r="BL481" s="132">
        <v>0</v>
      </c>
      <c r="BM481" s="132">
        <v>0</v>
      </c>
      <c r="BN481" s="1032">
        <v>0</v>
      </c>
      <c r="BO481" s="207">
        <v>0</v>
      </c>
      <c r="BP481" s="389">
        <v>0</v>
      </c>
      <c r="BQ481" s="389">
        <v>0</v>
      </c>
      <c r="BR481" s="389">
        <v>0</v>
      </c>
      <c r="BS481" s="296">
        <v>0</v>
      </c>
      <c r="BT481" s="296">
        <v>0</v>
      </c>
      <c r="BU481" s="296">
        <v>0</v>
      </c>
      <c r="BV481" s="1032">
        <v>0</v>
      </c>
      <c r="BW481" s="296">
        <f t="shared" si="2180"/>
        <v>0</v>
      </c>
      <c r="BX481" s="439" t="s">
        <v>1681</v>
      </c>
    </row>
    <row r="482" spans="1:76" ht="116.1" hidden="1" customHeight="1" outlineLevel="1" x14ac:dyDescent="0.25">
      <c r="A482" s="678">
        <v>90</v>
      </c>
      <c r="B482" s="702" t="s">
        <v>1234</v>
      </c>
      <c r="C482" s="694" t="s">
        <v>1234</v>
      </c>
      <c r="D482" s="270">
        <v>44516</v>
      </c>
      <c r="E482" s="474" t="s">
        <v>1820</v>
      </c>
      <c r="F482" s="544" t="s">
        <v>1234</v>
      </c>
      <c r="G482" s="71" t="s">
        <v>38</v>
      </c>
      <c r="H482" s="311" t="s">
        <v>130</v>
      </c>
      <c r="I482" s="335"/>
      <c r="J482" s="294">
        <f t="shared" ref="J482:J483" si="2181">AQ482/T$8</f>
        <v>0</v>
      </c>
      <c r="K482" s="52">
        <f t="shared" ref="K482:K485" si="2182">AR482/U$8</f>
        <v>0</v>
      </c>
      <c r="L482" s="52">
        <f t="shared" ref="L482:L485" si="2183">AS482/V$8</f>
        <v>7.8490450538687564E-6</v>
      </c>
      <c r="M482" s="52">
        <f t="shared" si="2109"/>
        <v>8.1763740215842146E-6</v>
      </c>
      <c r="N482" s="52">
        <f t="shared" si="2110"/>
        <v>7.6350843864036763E-6</v>
      </c>
      <c r="O482" s="52">
        <f t="shared" si="2080"/>
        <v>0</v>
      </c>
      <c r="P482" s="52">
        <f t="shared" si="2081"/>
        <v>0</v>
      </c>
      <c r="Q482" s="52">
        <f t="shared" si="2082"/>
        <v>0</v>
      </c>
      <c r="R482" s="52">
        <f t="shared" si="2083"/>
        <v>0</v>
      </c>
      <c r="S482" s="527">
        <f t="shared" ref="S482:S485" si="2184">AZ482/AN$8</f>
        <v>0</v>
      </c>
      <c r="T482" s="533">
        <f t="shared" ref="T482:T485" si="2185">BA482/T$8</f>
        <v>0</v>
      </c>
      <c r="U482" s="375">
        <f t="shared" ref="U482:U485" si="2186">BB482/U$8</f>
        <v>0</v>
      </c>
      <c r="V482" s="375">
        <f t="shared" ref="V482:V485" si="2187">BC482/V$8</f>
        <v>-7.8490450538687564E-6</v>
      </c>
      <c r="W482" s="386">
        <f t="shared" ref="W482:W483" si="2188">BD482/W$8</f>
        <v>0</v>
      </c>
      <c r="X482" s="386">
        <f t="shared" ref="X482:X485" si="2189">BE482/X$8</f>
        <v>0</v>
      </c>
      <c r="Y482" s="386">
        <f t="shared" ref="Y482:Y483" si="2190">BF482/Y$8</f>
        <v>0</v>
      </c>
      <c r="Z482" s="375">
        <f t="shared" si="2134"/>
        <v>-7.6350843864036763E-6</v>
      </c>
      <c r="AA482" s="375">
        <f t="shared" ref="AA482:AA485" si="2191">BH482/AA$8</f>
        <v>0</v>
      </c>
      <c r="AB482" s="386">
        <f t="shared" ref="AB482:AB485" si="2192">BI482/AB$8</f>
        <v>0</v>
      </c>
      <c r="AC482" s="386">
        <f t="shared" si="2084"/>
        <v>0</v>
      </c>
      <c r="AD482" s="386">
        <f t="shared" si="2085"/>
        <v>0</v>
      </c>
      <c r="AE482" s="386">
        <f t="shared" si="2086"/>
        <v>0</v>
      </c>
      <c r="AF482" s="386">
        <f t="shared" si="2087"/>
        <v>0</v>
      </c>
      <c r="AG482" s="375">
        <f t="shared" si="2088"/>
        <v>0</v>
      </c>
      <c r="AH482" s="375">
        <f t="shared" si="2089"/>
        <v>0</v>
      </c>
      <c r="AI482" s="386">
        <f t="shared" si="2090"/>
        <v>0</v>
      </c>
      <c r="AJ482" s="386">
        <f t="shared" si="2091"/>
        <v>0</v>
      </c>
      <c r="AK482" s="386">
        <f t="shared" si="2092"/>
        <v>0</v>
      </c>
      <c r="AL482" s="377">
        <f t="shared" si="2093"/>
        <v>0</v>
      </c>
      <c r="AM482" s="377">
        <f t="shared" si="2094"/>
        <v>0</v>
      </c>
      <c r="AN482" s="377">
        <f t="shared" si="2095"/>
        <v>0</v>
      </c>
      <c r="AO482" s="283"/>
      <c r="AP482" s="295">
        <f t="shared" si="2111"/>
        <v>0.25644400000000001</v>
      </c>
      <c r="AQ482" s="20"/>
      <c r="AR482" s="95">
        <f t="shared" si="2172"/>
        <v>0</v>
      </c>
      <c r="AS482" s="94">
        <f t="shared" si="2173"/>
        <v>0.25644400000000001</v>
      </c>
      <c r="AT482" s="94">
        <f t="shared" si="2178"/>
        <v>0.25644400000000001</v>
      </c>
      <c r="AU482" s="94">
        <f t="shared" si="2179"/>
        <v>0.25644400000000001</v>
      </c>
      <c r="AV482" s="94">
        <f t="shared" si="2123"/>
        <v>0</v>
      </c>
      <c r="AW482" s="94">
        <f t="shared" si="2175"/>
        <v>0</v>
      </c>
      <c r="AX482" s="94">
        <f t="shared" si="2124"/>
        <v>0</v>
      </c>
      <c r="AY482" s="94">
        <f>-BO482</f>
        <v>0</v>
      </c>
      <c r="AZ482" s="433">
        <f t="shared" si="2177"/>
        <v>0</v>
      </c>
      <c r="BA482" s="657"/>
      <c r="BB482" s="327">
        <v>0</v>
      </c>
      <c r="BC482" s="207">
        <f>-0.256444</f>
        <v>-0.25644400000000001</v>
      </c>
      <c r="BD482" s="132">
        <v>0</v>
      </c>
      <c r="BE482" s="132">
        <v>0</v>
      </c>
      <c r="BF482" s="132">
        <v>0</v>
      </c>
      <c r="BG482" s="1010">
        <v>-0.25644400000000001</v>
      </c>
      <c r="BH482" s="207">
        <v>0</v>
      </c>
      <c r="BI482" s="132">
        <v>0</v>
      </c>
      <c r="BJ482" s="132">
        <v>0</v>
      </c>
      <c r="BK482" s="132">
        <v>0</v>
      </c>
      <c r="BL482" s="132">
        <v>0</v>
      </c>
      <c r="BM482" s="132">
        <v>0</v>
      </c>
      <c r="BN482" s="1032">
        <v>0</v>
      </c>
      <c r="BO482" s="207">
        <v>0</v>
      </c>
      <c r="BP482" s="389">
        <v>0</v>
      </c>
      <c r="BQ482" s="389">
        <v>0</v>
      </c>
      <c r="BR482" s="389">
        <v>0</v>
      </c>
      <c r="BS482" s="296">
        <v>0</v>
      </c>
      <c r="BT482" s="296">
        <v>0</v>
      </c>
      <c r="BU482" s="296">
        <v>0</v>
      </c>
      <c r="BV482" s="1032">
        <v>0</v>
      </c>
      <c r="BW482" s="296">
        <f t="shared" si="2180"/>
        <v>0</v>
      </c>
      <c r="BX482" s="439" t="s">
        <v>1787</v>
      </c>
    </row>
    <row r="483" spans="1:76" ht="108.95" hidden="1" customHeight="1" outlineLevel="1" x14ac:dyDescent="0.25">
      <c r="A483" s="678">
        <v>91</v>
      </c>
      <c r="B483" s="702" t="s">
        <v>1234</v>
      </c>
      <c r="C483" s="694" t="s">
        <v>1234</v>
      </c>
      <c r="D483" s="270">
        <v>44537</v>
      </c>
      <c r="E483" s="463" t="s">
        <v>1856</v>
      </c>
      <c r="F483" s="544" t="s">
        <v>1234</v>
      </c>
      <c r="G483" s="71" t="s">
        <v>38</v>
      </c>
      <c r="H483" s="311" t="s">
        <v>130</v>
      </c>
      <c r="I483" s="335"/>
      <c r="J483" s="294">
        <f t="shared" si="2181"/>
        <v>0</v>
      </c>
      <c r="K483" s="52">
        <f t="shared" si="2182"/>
        <v>0</v>
      </c>
      <c r="L483" s="52">
        <f t="shared" si="2183"/>
        <v>1.2551634427032321E-5</v>
      </c>
      <c r="M483" s="52">
        <f t="shared" ref="M483:M485" si="2193">AT483/Y$8</f>
        <v>1.3075075624266529E-5</v>
      </c>
      <c r="N483" s="52">
        <f t="shared" ref="N483:N485" si="2194">AU483/Z$8</f>
        <v>1.2209483749930294E-5</v>
      </c>
      <c r="O483" s="52">
        <f t="shared" si="2080"/>
        <v>0</v>
      </c>
      <c r="P483" s="52">
        <f t="shared" si="2081"/>
        <v>0</v>
      </c>
      <c r="Q483" s="52">
        <f t="shared" si="2082"/>
        <v>0</v>
      </c>
      <c r="R483" s="52">
        <f t="shared" si="2083"/>
        <v>0</v>
      </c>
      <c r="S483" s="527">
        <f t="shared" si="2184"/>
        <v>0</v>
      </c>
      <c r="T483" s="533">
        <f t="shared" si="2185"/>
        <v>0</v>
      </c>
      <c r="U483" s="375">
        <f t="shared" si="2186"/>
        <v>0</v>
      </c>
      <c r="V483" s="375">
        <f t="shared" si="2187"/>
        <v>-1.2551634427032321E-5</v>
      </c>
      <c r="W483" s="386">
        <f t="shared" si="2188"/>
        <v>0</v>
      </c>
      <c r="X483" s="386">
        <f t="shared" si="2189"/>
        <v>0</v>
      </c>
      <c r="Y483" s="386">
        <f t="shared" si="2190"/>
        <v>0</v>
      </c>
      <c r="Z483" s="375">
        <f t="shared" ref="Z483" si="2195">BG483/Z$8</f>
        <v>-1.2209483749930294E-5</v>
      </c>
      <c r="AA483" s="375">
        <f t="shared" si="2191"/>
        <v>0</v>
      </c>
      <c r="AB483" s="386">
        <f t="shared" si="2192"/>
        <v>0</v>
      </c>
      <c r="AC483" s="386">
        <f t="shared" si="2084"/>
        <v>0</v>
      </c>
      <c r="AD483" s="386">
        <f t="shared" si="2085"/>
        <v>0</v>
      </c>
      <c r="AE483" s="386">
        <f t="shared" si="2086"/>
        <v>0</v>
      </c>
      <c r="AF483" s="386">
        <f t="shared" si="2087"/>
        <v>0</v>
      </c>
      <c r="AG483" s="375">
        <f t="shared" si="2088"/>
        <v>0</v>
      </c>
      <c r="AH483" s="375">
        <f t="shared" si="2089"/>
        <v>0</v>
      </c>
      <c r="AI483" s="386">
        <f t="shared" si="2090"/>
        <v>0</v>
      </c>
      <c r="AJ483" s="386">
        <f t="shared" si="2091"/>
        <v>0</v>
      </c>
      <c r="AK483" s="386">
        <f t="shared" si="2092"/>
        <v>0</v>
      </c>
      <c r="AL483" s="377">
        <f t="shared" si="2093"/>
        <v>0</v>
      </c>
      <c r="AM483" s="377">
        <f t="shared" si="2094"/>
        <v>0</v>
      </c>
      <c r="AN483" s="377">
        <f t="shared" si="2095"/>
        <v>0</v>
      </c>
      <c r="AO483" s="283"/>
      <c r="AP483" s="295">
        <f t="shared" ref="AP483:AP485" si="2196">AR483+AU483+AZ483+AW483+AY483</f>
        <v>0.41008699999999998</v>
      </c>
      <c r="AQ483" s="20">
        <f t="shared" ref="AQ483:AQ485" si="2197">-BA483</f>
        <v>0</v>
      </c>
      <c r="AR483" s="95">
        <f t="shared" si="2172"/>
        <v>0</v>
      </c>
      <c r="AS483" s="94">
        <f t="shared" si="2173"/>
        <v>0.41008699999999998</v>
      </c>
      <c r="AT483" s="94">
        <f t="shared" ref="AT483:AT485" si="2198">-BC483</f>
        <v>0.41008699999999998</v>
      </c>
      <c r="AU483" s="94">
        <f t="shared" ref="AU483:AU485" si="2199">-BG483</f>
        <v>0.41008699999999998</v>
      </c>
      <c r="AV483" s="94">
        <f t="shared" si="2123"/>
        <v>0</v>
      </c>
      <c r="AW483" s="94">
        <f t="shared" si="2175"/>
        <v>0</v>
      </c>
      <c r="AX483" s="94">
        <f t="shared" si="2124"/>
        <v>0</v>
      </c>
      <c r="AY483" s="94">
        <f t="shared" ref="AY483:AY485" si="2200">-BO483</f>
        <v>0</v>
      </c>
      <c r="AZ483" s="433">
        <f t="shared" si="2177"/>
        <v>0</v>
      </c>
      <c r="BA483" s="657">
        <v>0</v>
      </c>
      <c r="BB483" s="327">
        <v>0</v>
      </c>
      <c r="BC483" s="207">
        <f>-0.410087</f>
        <v>-0.41008699999999998</v>
      </c>
      <c r="BD483" s="132">
        <v>0</v>
      </c>
      <c r="BE483" s="132">
        <v>0</v>
      </c>
      <c r="BF483" s="132">
        <v>0</v>
      </c>
      <c r="BG483" s="1010">
        <v>-0.41008699999999998</v>
      </c>
      <c r="BH483" s="207">
        <v>0</v>
      </c>
      <c r="BI483" s="132">
        <v>0</v>
      </c>
      <c r="BJ483" s="132">
        <v>0</v>
      </c>
      <c r="BK483" s="132">
        <v>0</v>
      </c>
      <c r="BL483" s="132">
        <v>0</v>
      </c>
      <c r="BM483" s="132">
        <v>0</v>
      </c>
      <c r="BN483" s="1032">
        <v>0</v>
      </c>
      <c r="BO483" s="207">
        <v>0</v>
      </c>
      <c r="BP483" s="389">
        <v>0</v>
      </c>
      <c r="BQ483" s="389">
        <v>0</v>
      </c>
      <c r="BR483" s="389">
        <v>0</v>
      </c>
      <c r="BS483" s="296">
        <v>0</v>
      </c>
      <c r="BT483" s="296">
        <v>0</v>
      </c>
      <c r="BU483" s="296">
        <v>0</v>
      </c>
      <c r="BV483" s="1032">
        <v>0</v>
      </c>
      <c r="BW483" s="296">
        <f t="shared" si="2180"/>
        <v>0</v>
      </c>
      <c r="BX483" s="443" t="s">
        <v>1855</v>
      </c>
    </row>
    <row r="484" spans="1:76" ht="108.95" hidden="1" customHeight="1" outlineLevel="1" x14ac:dyDescent="0.25">
      <c r="A484" s="678">
        <v>92</v>
      </c>
      <c r="B484" s="702" t="s">
        <v>1234</v>
      </c>
      <c r="C484" s="694" t="s">
        <v>1234</v>
      </c>
      <c r="D484" s="270">
        <v>44603</v>
      </c>
      <c r="E484" s="463" t="s">
        <v>1972</v>
      </c>
      <c r="F484" s="544" t="s">
        <v>1234</v>
      </c>
      <c r="G484" s="71" t="s">
        <v>38</v>
      </c>
      <c r="H484" s="311" t="s">
        <v>130</v>
      </c>
      <c r="I484" s="335"/>
      <c r="J484" s="294"/>
      <c r="K484" s="52">
        <f t="shared" si="2182"/>
        <v>0</v>
      </c>
      <c r="L484" s="52">
        <f t="shared" si="2183"/>
        <v>1.2551634427032321E-5</v>
      </c>
      <c r="M484" s="52">
        <f t="shared" si="2193"/>
        <v>1.3075075624266529E-5</v>
      </c>
      <c r="N484" s="52">
        <f t="shared" si="2194"/>
        <v>0</v>
      </c>
      <c r="O484" s="52">
        <f t="shared" si="2080"/>
        <v>6.2136986433380387E-6</v>
      </c>
      <c r="P484" s="52">
        <f t="shared" si="2081"/>
        <v>6.3879469314803011E-6</v>
      </c>
      <c r="Q484" s="52">
        <f t="shared" si="2082"/>
        <v>2.778388760438692E-5</v>
      </c>
      <c r="R484" s="52">
        <f t="shared" si="2083"/>
        <v>0</v>
      </c>
      <c r="S484" s="527">
        <f t="shared" si="2184"/>
        <v>0</v>
      </c>
      <c r="T484" s="533">
        <f t="shared" si="2185"/>
        <v>0</v>
      </c>
      <c r="U484" s="375">
        <f t="shared" si="2186"/>
        <v>0</v>
      </c>
      <c r="V484" s="375">
        <f t="shared" si="2187"/>
        <v>-1.2551634427032321E-5</v>
      </c>
      <c r="W484" s="386">
        <f>BD484/W$8</f>
        <v>0</v>
      </c>
      <c r="X484" s="386">
        <f t="shared" si="2189"/>
        <v>0</v>
      </c>
      <c r="Y484" s="386">
        <f>BF484/Y$8</f>
        <v>0</v>
      </c>
      <c r="Z484" s="375">
        <f>BG484/Z$8</f>
        <v>0</v>
      </c>
      <c r="AA484" s="375">
        <f t="shared" si="2191"/>
        <v>-6.2136986433380387E-6</v>
      </c>
      <c r="AB484" s="386">
        <f t="shared" si="2192"/>
        <v>0</v>
      </c>
      <c r="AC484" s="386">
        <f t="shared" si="2084"/>
        <v>0</v>
      </c>
      <c r="AD484" s="386">
        <f t="shared" si="2085"/>
        <v>0</v>
      </c>
      <c r="AE484" s="386">
        <f t="shared" si="2086"/>
        <v>-6.3858876572278219E-6</v>
      </c>
      <c r="AF484" s="386">
        <f t="shared" si="2087"/>
        <v>-6.2116955412825355E-6</v>
      </c>
      <c r="AG484" s="375">
        <f t="shared" si="2088"/>
        <v>-2.8038471028677991E-5</v>
      </c>
      <c r="AH484" s="375">
        <f t="shared" si="2089"/>
        <v>0</v>
      </c>
      <c r="AI484" s="386">
        <f t="shared" si="2090"/>
        <v>0</v>
      </c>
      <c r="AJ484" s="386">
        <f t="shared" si="2091"/>
        <v>0</v>
      </c>
      <c r="AK484" s="386">
        <f t="shared" si="2092"/>
        <v>0</v>
      </c>
      <c r="AL484" s="377">
        <f t="shared" si="2093"/>
        <v>0</v>
      </c>
      <c r="AM484" s="377">
        <f t="shared" si="2094"/>
        <v>0</v>
      </c>
      <c r="AN484" s="377">
        <f t="shared" si="2095"/>
        <v>0</v>
      </c>
      <c r="AO484" s="283"/>
      <c r="AP484" s="295">
        <f t="shared" si="2196"/>
        <v>0.245061</v>
      </c>
      <c r="AQ484" s="20">
        <f t="shared" si="2197"/>
        <v>0</v>
      </c>
      <c r="AR484" s="95">
        <f t="shared" si="2172"/>
        <v>0</v>
      </c>
      <c r="AS484" s="94">
        <f t="shared" si="2173"/>
        <v>0.41008699999999998</v>
      </c>
      <c r="AT484" s="94">
        <f t="shared" si="2198"/>
        <v>0.41008699999999998</v>
      </c>
      <c r="AU484" s="94">
        <f t="shared" si="2199"/>
        <v>0</v>
      </c>
      <c r="AV484" s="94">
        <f t="shared" si="2123"/>
        <v>0.245061</v>
      </c>
      <c r="AW484" s="94">
        <f t="shared" si="2175"/>
        <v>0.245061</v>
      </c>
      <c r="AX484" s="94">
        <f t="shared" si="2124"/>
        <v>1.095764</v>
      </c>
      <c r="AY484" s="94">
        <f t="shared" si="2200"/>
        <v>0</v>
      </c>
      <c r="AZ484" s="433">
        <f>-BU484</f>
        <v>0</v>
      </c>
      <c r="BA484" s="657">
        <v>0</v>
      </c>
      <c r="BB484" s="327">
        <v>0</v>
      </c>
      <c r="BC484" s="207">
        <f>-0.410087</f>
        <v>-0.41008699999999998</v>
      </c>
      <c r="BD484" s="132">
        <v>0</v>
      </c>
      <c r="BE484" s="132">
        <v>0</v>
      </c>
      <c r="BF484" s="132">
        <v>0</v>
      </c>
      <c r="BG484" s="207">
        <v>0</v>
      </c>
      <c r="BH484" s="207">
        <v>-0.245061</v>
      </c>
      <c r="BI484" s="132">
        <v>0</v>
      </c>
      <c r="BJ484" s="132">
        <v>0</v>
      </c>
      <c r="BK484" s="132">
        <v>0</v>
      </c>
      <c r="BL484" s="1042">
        <v>-0.24498200000000001</v>
      </c>
      <c r="BM484" s="1042">
        <v>-0.24498200000000001</v>
      </c>
      <c r="BN484" s="713">
        <f>-1.095764</f>
        <v>-1.095764</v>
      </c>
      <c r="BO484" s="207">
        <v>0</v>
      </c>
      <c r="BP484" s="389">
        <v>0</v>
      </c>
      <c r="BQ484" s="389">
        <v>0</v>
      </c>
      <c r="BR484" s="389">
        <v>0</v>
      </c>
      <c r="BS484" s="296">
        <v>0</v>
      </c>
      <c r="BT484" s="296">
        <v>0</v>
      </c>
      <c r="BU484" s="296">
        <v>0</v>
      </c>
      <c r="BV484" s="713">
        <v>0</v>
      </c>
      <c r="BW484" s="296">
        <f t="shared" si="2180"/>
        <v>0</v>
      </c>
      <c r="BX484" s="443" t="s">
        <v>1971</v>
      </c>
    </row>
    <row r="485" spans="1:76" ht="108.95" hidden="1" customHeight="1" outlineLevel="1" x14ac:dyDescent="0.25">
      <c r="A485" s="678">
        <v>93</v>
      </c>
      <c r="B485" s="702" t="s">
        <v>1234</v>
      </c>
      <c r="C485" s="694" t="s">
        <v>1234</v>
      </c>
      <c r="D485" s="270">
        <v>44656</v>
      </c>
      <c r="E485" s="463" t="s">
        <v>2063</v>
      </c>
      <c r="F485" s="544" t="s">
        <v>1234</v>
      </c>
      <c r="G485" s="71" t="s">
        <v>38</v>
      </c>
      <c r="H485" s="311" t="s">
        <v>130</v>
      </c>
      <c r="I485" s="335"/>
      <c r="J485" s="294"/>
      <c r="K485" s="52">
        <f t="shared" si="2182"/>
        <v>0</v>
      </c>
      <c r="L485" s="52">
        <f t="shared" si="2183"/>
        <v>1.2551634427032321E-5</v>
      </c>
      <c r="M485" s="52">
        <f t="shared" si="2193"/>
        <v>1.3075075624266529E-5</v>
      </c>
      <c r="N485" s="52">
        <f t="shared" si="2194"/>
        <v>0</v>
      </c>
      <c r="O485" s="52">
        <f t="shared" si="2080"/>
        <v>9.0707560675413477E-6</v>
      </c>
      <c r="P485" s="52">
        <f t="shared" si="2081"/>
        <v>9.3251236845836877E-6</v>
      </c>
      <c r="Q485" s="52">
        <f t="shared" si="2082"/>
        <v>0</v>
      </c>
      <c r="R485" s="52">
        <f t="shared" si="2083"/>
        <v>0</v>
      </c>
      <c r="S485" s="527">
        <f t="shared" si="2184"/>
        <v>0</v>
      </c>
      <c r="T485" s="533">
        <f t="shared" si="2185"/>
        <v>0</v>
      </c>
      <c r="U485" s="375">
        <f t="shared" si="2186"/>
        <v>0</v>
      </c>
      <c r="V485" s="375">
        <f t="shared" si="2187"/>
        <v>-1.2551634427032321E-5</v>
      </c>
      <c r="W485" s="386">
        <f>BD485/W$8</f>
        <v>0</v>
      </c>
      <c r="X485" s="386">
        <f t="shared" si="2189"/>
        <v>0</v>
      </c>
      <c r="Y485" s="386">
        <f t="shared" ref="Y485" si="2201">BF485/Y$8</f>
        <v>0</v>
      </c>
      <c r="Z485" s="375">
        <f t="shared" ref="Z485" si="2202">BG485/Z$8</f>
        <v>0</v>
      </c>
      <c r="AA485" s="375">
        <f t="shared" si="2191"/>
        <v>-9.0707560675413477E-6</v>
      </c>
      <c r="AB485" s="386">
        <f t="shared" si="2192"/>
        <v>0</v>
      </c>
      <c r="AC485" s="386">
        <f t="shared" si="2084"/>
        <v>0</v>
      </c>
      <c r="AD485" s="386">
        <f t="shared" si="2085"/>
        <v>0</v>
      </c>
      <c r="AE485" s="386">
        <f t="shared" si="2086"/>
        <v>-9.3251236845836877E-6</v>
      </c>
      <c r="AF485" s="386">
        <f t="shared" si="2087"/>
        <v>-9.0707560675413477E-6</v>
      </c>
      <c r="AG485" s="375">
        <f t="shared" si="2088"/>
        <v>0</v>
      </c>
      <c r="AH485" s="375">
        <f t="shared" si="2089"/>
        <v>0</v>
      </c>
      <c r="AI485" s="386">
        <f t="shared" si="2090"/>
        <v>0</v>
      </c>
      <c r="AJ485" s="386">
        <f t="shared" si="2091"/>
        <v>0</v>
      </c>
      <c r="AK485" s="386">
        <f t="shared" si="2092"/>
        <v>0</v>
      </c>
      <c r="AL485" s="377">
        <f t="shared" si="2093"/>
        <v>0</v>
      </c>
      <c r="AM485" s="377">
        <f t="shared" si="2094"/>
        <v>0</v>
      </c>
      <c r="AN485" s="377">
        <f t="shared" si="2095"/>
        <v>0</v>
      </c>
      <c r="AO485" s="283"/>
      <c r="AP485" s="295">
        <f t="shared" si="2196"/>
        <v>0.35774</v>
      </c>
      <c r="AQ485" s="20">
        <f t="shared" si="2197"/>
        <v>0</v>
      </c>
      <c r="AR485" s="95">
        <f t="shared" si="2172"/>
        <v>0</v>
      </c>
      <c r="AS485" s="94">
        <f t="shared" si="2173"/>
        <v>0.41008699999999998</v>
      </c>
      <c r="AT485" s="94">
        <f t="shared" si="2198"/>
        <v>0.41008699999999998</v>
      </c>
      <c r="AU485" s="94">
        <f t="shared" si="2199"/>
        <v>0</v>
      </c>
      <c r="AV485" s="94">
        <f t="shared" si="2123"/>
        <v>0.35774</v>
      </c>
      <c r="AW485" s="94">
        <f t="shared" si="2175"/>
        <v>0.35774</v>
      </c>
      <c r="AX485" s="94">
        <f t="shared" si="2124"/>
        <v>0</v>
      </c>
      <c r="AY485" s="94">
        <f t="shared" si="2200"/>
        <v>0</v>
      </c>
      <c r="AZ485" s="433">
        <f>-BU485</f>
        <v>0</v>
      </c>
      <c r="BA485" s="657">
        <v>0</v>
      </c>
      <c r="BB485" s="327">
        <v>0</v>
      </c>
      <c r="BC485" s="207">
        <f>-0.410087</f>
        <v>-0.41008699999999998</v>
      </c>
      <c r="BD485" s="132">
        <v>0</v>
      </c>
      <c r="BE485" s="132">
        <v>0</v>
      </c>
      <c r="BF485" s="132">
        <v>0</v>
      </c>
      <c r="BG485" s="207">
        <v>0</v>
      </c>
      <c r="BH485" s="207">
        <v>-0.35774</v>
      </c>
      <c r="BI485" s="132">
        <v>0</v>
      </c>
      <c r="BJ485" s="132">
        <v>0</v>
      </c>
      <c r="BK485" s="132">
        <v>0</v>
      </c>
      <c r="BL485" s="132">
        <v>-0.35774</v>
      </c>
      <c r="BM485" s="132">
        <v>-0.35774</v>
      </c>
      <c r="BN485" s="409">
        <v>0</v>
      </c>
      <c r="BO485" s="207">
        <v>0</v>
      </c>
      <c r="BP485" s="389">
        <v>0</v>
      </c>
      <c r="BQ485" s="389">
        <v>0</v>
      </c>
      <c r="BR485" s="389">
        <v>0</v>
      </c>
      <c r="BS485" s="296">
        <v>0</v>
      </c>
      <c r="BT485" s="296">
        <v>0</v>
      </c>
      <c r="BU485" s="296">
        <v>0</v>
      </c>
      <c r="BV485" s="409">
        <v>0</v>
      </c>
      <c r="BW485" s="296">
        <f t="shared" ref="BW485" si="2203">-BV485</f>
        <v>0</v>
      </c>
      <c r="BX485" s="443" t="s">
        <v>2062</v>
      </c>
    </row>
    <row r="486" spans="1:76" ht="101.45" hidden="1" customHeight="1" outlineLevel="1" x14ac:dyDescent="0.25">
      <c r="A486" s="678">
        <v>93</v>
      </c>
      <c r="B486" s="702" t="s">
        <v>1234</v>
      </c>
      <c r="C486" s="694" t="s">
        <v>1234</v>
      </c>
      <c r="D486" s="270">
        <v>44705</v>
      </c>
      <c r="E486" s="463" t="s">
        <v>2109</v>
      </c>
      <c r="F486" s="544" t="s">
        <v>1234</v>
      </c>
      <c r="G486" s="71" t="s">
        <v>38</v>
      </c>
      <c r="H486" s="311" t="s">
        <v>130</v>
      </c>
      <c r="I486" s="335"/>
      <c r="J486" s="294">
        <f t="shared" si="2140"/>
        <v>0</v>
      </c>
      <c r="K486" s="52">
        <f t="shared" si="2141"/>
        <v>0</v>
      </c>
      <c r="L486" s="52">
        <f t="shared" si="2142"/>
        <v>1.2551634427032321E-5</v>
      </c>
      <c r="M486" s="52">
        <f t="shared" si="2109"/>
        <v>1.3075075624266529E-5</v>
      </c>
      <c r="N486" s="52">
        <f t="shared" si="2110"/>
        <v>0</v>
      </c>
      <c r="O486" s="52">
        <f t="shared" si="2080"/>
        <v>1.0479367859837964E-5</v>
      </c>
      <c r="P486" s="52">
        <f t="shared" si="2081"/>
        <v>1.0773236619042685E-5</v>
      </c>
      <c r="Q486" s="52">
        <f t="shared" si="2082"/>
        <v>0</v>
      </c>
      <c r="R486" s="52">
        <f t="shared" si="2083"/>
        <v>0</v>
      </c>
      <c r="S486" s="527">
        <f t="shared" si="2143"/>
        <v>0</v>
      </c>
      <c r="T486" s="533">
        <f t="shared" si="2144"/>
        <v>0</v>
      </c>
      <c r="U486" s="375">
        <f t="shared" si="2145"/>
        <v>0</v>
      </c>
      <c r="V486" s="375">
        <f t="shared" si="2146"/>
        <v>-1.2551634427032321E-5</v>
      </c>
      <c r="W486" s="386">
        <f>BD486/W$8</f>
        <v>0</v>
      </c>
      <c r="X486" s="386">
        <f t="shared" si="2148"/>
        <v>0</v>
      </c>
      <c r="Y486" s="386">
        <f t="shared" ref="Y486:Z488" si="2204">BF486/Y$8</f>
        <v>0</v>
      </c>
      <c r="Z486" s="375">
        <f t="shared" si="2204"/>
        <v>0</v>
      </c>
      <c r="AA486" s="375">
        <f t="shared" si="2149"/>
        <v>-1.0479367859837964E-5</v>
      </c>
      <c r="AB486" s="386">
        <f t="shared" si="2150"/>
        <v>0</v>
      </c>
      <c r="AC486" s="386">
        <f t="shared" si="2084"/>
        <v>0</v>
      </c>
      <c r="AD486" s="386">
        <f t="shared" si="2085"/>
        <v>0</v>
      </c>
      <c r="AE486" s="386">
        <f t="shared" si="2086"/>
        <v>-1.0773236619042685E-5</v>
      </c>
      <c r="AF486" s="386">
        <f t="shared" si="2087"/>
        <v>-1.0479367859837964E-5</v>
      </c>
      <c r="AG486" s="375">
        <f t="shared" si="2088"/>
        <v>0</v>
      </c>
      <c r="AH486" s="375">
        <f t="shared" si="2089"/>
        <v>0</v>
      </c>
      <c r="AI486" s="386">
        <f t="shared" si="2090"/>
        <v>0</v>
      </c>
      <c r="AJ486" s="386">
        <f t="shared" si="2091"/>
        <v>0</v>
      </c>
      <c r="AK486" s="386">
        <f t="shared" si="2092"/>
        <v>0</v>
      </c>
      <c r="AL486" s="377">
        <f t="shared" si="2093"/>
        <v>0</v>
      </c>
      <c r="AM486" s="377">
        <f t="shared" si="2094"/>
        <v>0</v>
      </c>
      <c r="AN486" s="377">
        <f t="shared" si="2095"/>
        <v>0</v>
      </c>
      <c r="AO486" s="283"/>
      <c r="AP486" s="295">
        <f t="shared" si="2111"/>
        <v>0.41329399999999999</v>
      </c>
      <c r="AQ486" s="20">
        <f t="shared" si="2108"/>
        <v>0</v>
      </c>
      <c r="AR486" s="95">
        <f t="shared" si="2108"/>
        <v>0</v>
      </c>
      <c r="AS486" s="94">
        <f t="shared" si="2102"/>
        <v>0.41008699999999998</v>
      </c>
      <c r="AT486" s="94">
        <f t="shared" si="2178"/>
        <v>0.41008699999999998</v>
      </c>
      <c r="AU486" s="94">
        <f t="shared" si="2179"/>
        <v>0</v>
      </c>
      <c r="AV486" s="94">
        <f t="shared" si="2123"/>
        <v>0.41329399999999999</v>
      </c>
      <c r="AW486" s="94">
        <f t="shared" si="2167"/>
        <v>0.41329399999999999</v>
      </c>
      <c r="AX486" s="94">
        <f t="shared" si="2124"/>
        <v>0</v>
      </c>
      <c r="AY486" s="94">
        <f t="shared" si="2168"/>
        <v>0</v>
      </c>
      <c r="AZ486" s="433">
        <f>-BU486</f>
        <v>0</v>
      </c>
      <c r="BA486" s="657">
        <v>0</v>
      </c>
      <c r="BB486" s="327">
        <v>0</v>
      </c>
      <c r="BC486" s="207">
        <f>-0.410087</f>
        <v>-0.41008699999999998</v>
      </c>
      <c r="BD486" s="132">
        <v>0</v>
      </c>
      <c r="BE486" s="132">
        <v>0</v>
      </c>
      <c r="BF486" s="132">
        <v>0</v>
      </c>
      <c r="BG486" s="207">
        <v>0</v>
      </c>
      <c r="BH486" s="207">
        <v>-0.41329399999999999</v>
      </c>
      <c r="BI486" s="132">
        <v>0</v>
      </c>
      <c r="BJ486" s="132">
        <v>0</v>
      </c>
      <c r="BK486" s="132">
        <v>0</v>
      </c>
      <c r="BL486" s="132">
        <v>-0.41329399999999999</v>
      </c>
      <c r="BM486" s="132">
        <v>-0.41329399999999999</v>
      </c>
      <c r="BN486" s="409">
        <v>0</v>
      </c>
      <c r="BO486" s="207">
        <v>0</v>
      </c>
      <c r="BP486" s="389">
        <v>0</v>
      </c>
      <c r="BQ486" s="389">
        <v>0</v>
      </c>
      <c r="BR486" s="389">
        <v>0</v>
      </c>
      <c r="BS486" s="296">
        <v>0</v>
      </c>
      <c r="BT486" s="296">
        <v>0</v>
      </c>
      <c r="BU486" s="296">
        <v>0</v>
      </c>
      <c r="BV486" s="409">
        <v>0</v>
      </c>
      <c r="BW486" s="296">
        <f t="shared" si="2180"/>
        <v>0</v>
      </c>
      <c r="BX486" s="443" t="s">
        <v>2110</v>
      </c>
    </row>
    <row r="487" spans="1:76" ht="118.5" hidden="1" customHeight="1" outlineLevel="1" x14ac:dyDescent="0.25">
      <c r="A487" s="678">
        <v>94</v>
      </c>
      <c r="B487" s="702" t="s">
        <v>1319</v>
      </c>
      <c r="C487" s="686" t="s">
        <v>1319</v>
      </c>
      <c r="D487" s="63">
        <v>44306</v>
      </c>
      <c r="E487" s="463" t="s">
        <v>1358</v>
      </c>
      <c r="F487" s="544" t="s">
        <v>1319</v>
      </c>
      <c r="G487" s="71" t="s">
        <v>192</v>
      </c>
      <c r="H487" s="311" t="s">
        <v>129</v>
      </c>
      <c r="I487" s="335"/>
      <c r="J487" s="294">
        <f t="shared" si="2140"/>
        <v>0</v>
      </c>
      <c r="K487" s="52">
        <f t="shared" si="2141"/>
        <v>0</v>
      </c>
      <c r="L487" s="52">
        <f t="shared" si="2142"/>
        <v>4.5910871694417238E-6</v>
      </c>
      <c r="M487" s="52">
        <f t="shared" si="2109"/>
        <v>4.7825494191232087E-6</v>
      </c>
      <c r="N487" s="52">
        <f t="shared" si="2110"/>
        <v>0</v>
      </c>
      <c r="O487" s="52">
        <f t="shared" si="2080"/>
        <v>0</v>
      </c>
      <c r="P487" s="52">
        <f t="shared" si="2081"/>
        <v>0</v>
      </c>
      <c r="Q487" s="52">
        <f t="shared" si="2082"/>
        <v>0</v>
      </c>
      <c r="R487" s="52">
        <f t="shared" si="2083"/>
        <v>0</v>
      </c>
      <c r="S487" s="527">
        <f t="shared" si="2143"/>
        <v>0</v>
      </c>
      <c r="T487" s="533">
        <f t="shared" si="2144"/>
        <v>0</v>
      </c>
      <c r="U487" s="375">
        <f t="shared" si="2145"/>
        <v>0</v>
      </c>
      <c r="V487" s="375">
        <f t="shared" si="2146"/>
        <v>-4.5910871694417238E-6</v>
      </c>
      <c r="W487" s="386">
        <f t="shared" si="2147"/>
        <v>0</v>
      </c>
      <c r="X487" s="386">
        <f t="shared" si="2148"/>
        <v>-4.7825494191232087E-6</v>
      </c>
      <c r="Y487" s="386">
        <f t="shared" si="2204"/>
        <v>-4.7825494191232087E-6</v>
      </c>
      <c r="Z487" s="375">
        <f t="shared" si="2204"/>
        <v>0</v>
      </c>
      <c r="AA487" s="375">
        <f t="shared" si="2149"/>
        <v>0</v>
      </c>
      <c r="AB487" s="386">
        <f t="shared" si="2150"/>
        <v>0</v>
      </c>
      <c r="AC487" s="386">
        <f t="shared" si="2084"/>
        <v>0</v>
      </c>
      <c r="AD487" s="386">
        <f t="shared" si="2085"/>
        <v>0</v>
      </c>
      <c r="AE487" s="386">
        <f t="shared" si="2086"/>
        <v>0</v>
      </c>
      <c r="AF487" s="386">
        <f t="shared" si="2087"/>
        <v>0</v>
      </c>
      <c r="AG487" s="375">
        <f t="shared" si="2088"/>
        <v>0</v>
      </c>
      <c r="AH487" s="375">
        <f t="shared" si="2089"/>
        <v>0</v>
      </c>
      <c r="AI487" s="386">
        <f t="shared" si="2090"/>
        <v>0</v>
      </c>
      <c r="AJ487" s="386">
        <f t="shared" si="2091"/>
        <v>0</v>
      </c>
      <c r="AK487" s="386">
        <f t="shared" si="2092"/>
        <v>0</v>
      </c>
      <c r="AL487" s="377">
        <f t="shared" si="2093"/>
        <v>0</v>
      </c>
      <c r="AM487" s="377">
        <f t="shared" si="2094"/>
        <v>0</v>
      </c>
      <c r="AN487" s="377">
        <f t="shared" si="2095"/>
        <v>0</v>
      </c>
      <c r="AO487" s="283"/>
      <c r="AP487" s="295">
        <f t="shared" si="2111"/>
        <v>0</v>
      </c>
      <c r="AQ487" s="20">
        <f t="shared" ref="AQ487:AQ489" si="2205">-BA487</f>
        <v>0</v>
      </c>
      <c r="AR487" s="95">
        <f t="shared" ref="AR487:AR489" si="2206">-BB487</f>
        <v>0</v>
      </c>
      <c r="AS487" s="94">
        <f t="shared" ref="AS487:AS489" si="2207">-BC487</f>
        <v>0.15</v>
      </c>
      <c r="AT487" s="94">
        <f t="shared" si="2178"/>
        <v>0.15</v>
      </c>
      <c r="AU487" s="94">
        <f t="shared" si="2179"/>
        <v>0</v>
      </c>
      <c r="AV487" s="94">
        <f t="shared" si="2123"/>
        <v>0</v>
      </c>
      <c r="AW487" s="94">
        <f t="shared" ref="AW487:AW489" si="2208">-BH487</f>
        <v>0</v>
      </c>
      <c r="AX487" s="94">
        <f t="shared" si="2124"/>
        <v>0</v>
      </c>
      <c r="AY487" s="94">
        <f t="shared" ref="AY487:AY489" si="2209">-BO487</f>
        <v>0</v>
      </c>
      <c r="AZ487" s="433">
        <f t="shared" ref="AZ487:AZ489" si="2210">-BU487</f>
        <v>0</v>
      </c>
      <c r="BA487" s="657">
        <v>0</v>
      </c>
      <c r="BB487" s="327">
        <v>0</v>
      </c>
      <c r="BC487" s="207">
        <v>-0.15</v>
      </c>
      <c r="BD487" s="132">
        <v>0</v>
      </c>
      <c r="BE487" s="132">
        <v>-0.15</v>
      </c>
      <c r="BF487" s="132">
        <v>-0.15</v>
      </c>
      <c r="BG487" s="207">
        <v>0</v>
      </c>
      <c r="BH487" s="207">
        <v>0</v>
      </c>
      <c r="BI487" s="132">
        <v>0</v>
      </c>
      <c r="BJ487" s="132">
        <v>0</v>
      </c>
      <c r="BK487" s="132">
        <v>0</v>
      </c>
      <c r="BL487" s="132">
        <v>0</v>
      </c>
      <c r="BM487" s="132">
        <v>0</v>
      </c>
      <c r="BN487" s="409">
        <v>0</v>
      </c>
      <c r="BO487" s="207">
        <v>0</v>
      </c>
      <c r="BP487" s="389">
        <v>0</v>
      </c>
      <c r="BQ487" s="389">
        <v>0</v>
      </c>
      <c r="BR487" s="389">
        <v>0</v>
      </c>
      <c r="BS487" s="296">
        <v>0</v>
      </c>
      <c r="BT487" s="296">
        <v>0</v>
      </c>
      <c r="BU487" s="296">
        <v>0</v>
      </c>
      <c r="BV487" s="409">
        <v>0</v>
      </c>
      <c r="BW487" s="296">
        <f t="shared" ref="BW487:BW489" si="2211">-BV487</f>
        <v>0</v>
      </c>
      <c r="BX487" s="439" t="s">
        <v>1320</v>
      </c>
    </row>
    <row r="488" spans="1:76" ht="118.5" hidden="1" customHeight="1" outlineLevel="1" x14ac:dyDescent="0.25">
      <c r="A488" s="678">
        <v>95</v>
      </c>
      <c r="B488" s="702" t="s">
        <v>1669</v>
      </c>
      <c r="C488" s="686" t="s">
        <v>1669</v>
      </c>
      <c r="D488" s="274">
        <v>44474</v>
      </c>
      <c r="E488" s="463" t="s">
        <v>1675</v>
      </c>
      <c r="F488" s="544" t="s">
        <v>1668</v>
      </c>
      <c r="G488" s="71" t="s">
        <v>7</v>
      </c>
      <c r="H488" s="311" t="s">
        <v>1991</v>
      </c>
      <c r="I488" s="335"/>
      <c r="J488" s="294">
        <f t="shared" si="2140"/>
        <v>0</v>
      </c>
      <c r="K488" s="52">
        <f t="shared" si="2141"/>
        <v>0</v>
      </c>
      <c r="L488" s="52">
        <f t="shared" si="2142"/>
        <v>1.90781096963761E-6</v>
      </c>
      <c r="M488" s="52">
        <f t="shared" si="2109"/>
        <v>1.9873724692852525E-6</v>
      </c>
      <c r="N488" s="52">
        <f t="shared" si="2110"/>
        <v>1.8558050879463507E-6</v>
      </c>
      <c r="O488" s="52">
        <f t="shared" si="2080"/>
        <v>0</v>
      </c>
      <c r="P488" s="52">
        <f t="shared" si="2081"/>
        <v>0</v>
      </c>
      <c r="Q488" s="52">
        <f t="shared" si="2082"/>
        <v>0</v>
      </c>
      <c r="R488" s="52">
        <f t="shared" si="2083"/>
        <v>0</v>
      </c>
      <c r="S488" s="527">
        <f t="shared" si="2143"/>
        <v>0</v>
      </c>
      <c r="T488" s="533">
        <f t="shared" si="2144"/>
        <v>0</v>
      </c>
      <c r="U488" s="375">
        <f t="shared" si="2145"/>
        <v>0</v>
      </c>
      <c r="V488" s="375">
        <f t="shared" si="2146"/>
        <v>-1.90781096963761E-6</v>
      </c>
      <c r="W488" s="386">
        <f t="shared" si="2147"/>
        <v>0</v>
      </c>
      <c r="X488" s="386">
        <f t="shared" si="2148"/>
        <v>-4.7825494191232087E-6</v>
      </c>
      <c r="Y488" s="386">
        <f t="shared" si="2204"/>
        <v>-4.7825494191232087E-6</v>
      </c>
      <c r="Z488" s="375">
        <f t="shared" si="2204"/>
        <v>-1.8558050879463507E-6</v>
      </c>
      <c r="AA488" s="375">
        <f t="shared" si="2149"/>
        <v>0</v>
      </c>
      <c r="AB488" s="386">
        <f t="shared" si="2150"/>
        <v>0</v>
      </c>
      <c r="AC488" s="386">
        <f t="shared" si="2084"/>
        <v>0</v>
      </c>
      <c r="AD488" s="386">
        <f t="shared" si="2085"/>
        <v>0</v>
      </c>
      <c r="AE488" s="386">
        <f t="shared" si="2086"/>
        <v>0</v>
      </c>
      <c r="AF488" s="386">
        <f t="shared" si="2087"/>
        <v>0</v>
      </c>
      <c r="AG488" s="375">
        <f t="shared" si="2088"/>
        <v>0</v>
      </c>
      <c r="AH488" s="375">
        <f t="shared" si="2089"/>
        <v>0</v>
      </c>
      <c r="AI488" s="386">
        <f t="shared" si="2090"/>
        <v>0</v>
      </c>
      <c r="AJ488" s="386">
        <f t="shared" si="2091"/>
        <v>0</v>
      </c>
      <c r="AK488" s="386">
        <f t="shared" si="2092"/>
        <v>0</v>
      </c>
      <c r="AL488" s="377">
        <f t="shared" si="2093"/>
        <v>0</v>
      </c>
      <c r="AM488" s="377">
        <f t="shared" si="2094"/>
        <v>0</v>
      </c>
      <c r="AN488" s="377">
        <f t="shared" si="2095"/>
        <v>0</v>
      </c>
      <c r="AO488" s="283"/>
      <c r="AP488" s="295">
        <f t="shared" si="2111"/>
        <v>6.2331999999999999E-2</v>
      </c>
      <c r="AQ488" s="20">
        <f t="shared" si="2205"/>
        <v>0</v>
      </c>
      <c r="AR488" s="95">
        <f t="shared" si="2206"/>
        <v>0</v>
      </c>
      <c r="AS488" s="94">
        <f t="shared" si="2207"/>
        <v>6.2331999999999999E-2</v>
      </c>
      <c r="AT488" s="94">
        <f t="shared" si="2178"/>
        <v>6.2331999999999999E-2</v>
      </c>
      <c r="AU488" s="94">
        <f t="shared" si="2179"/>
        <v>6.2331999999999999E-2</v>
      </c>
      <c r="AV488" s="94">
        <f t="shared" si="2123"/>
        <v>0</v>
      </c>
      <c r="AW488" s="94">
        <f t="shared" si="2208"/>
        <v>0</v>
      </c>
      <c r="AX488" s="94">
        <f t="shared" si="2124"/>
        <v>0</v>
      </c>
      <c r="AY488" s="94">
        <f t="shared" si="2209"/>
        <v>0</v>
      </c>
      <c r="AZ488" s="433">
        <f t="shared" si="2210"/>
        <v>0</v>
      </c>
      <c r="BA488" s="657">
        <v>0</v>
      </c>
      <c r="BB488" s="327">
        <v>0</v>
      </c>
      <c r="BC488" s="207">
        <v>-6.2331999999999999E-2</v>
      </c>
      <c r="BD488" s="132">
        <v>0</v>
      </c>
      <c r="BE488" s="132">
        <v>-0.15</v>
      </c>
      <c r="BF488" s="132">
        <v>-0.15</v>
      </c>
      <c r="BG488" s="207">
        <v>-6.2331999999999999E-2</v>
      </c>
      <c r="BH488" s="207">
        <v>0</v>
      </c>
      <c r="BI488" s="132">
        <v>0</v>
      </c>
      <c r="BJ488" s="132">
        <v>0</v>
      </c>
      <c r="BK488" s="132">
        <v>0</v>
      </c>
      <c r="BL488" s="132">
        <v>0</v>
      </c>
      <c r="BM488" s="132">
        <v>0</v>
      </c>
      <c r="BN488" s="409">
        <v>0</v>
      </c>
      <c r="BO488" s="207">
        <v>0</v>
      </c>
      <c r="BP488" s="389">
        <v>0</v>
      </c>
      <c r="BQ488" s="389">
        <v>0</v>
      </c>
      <c r="BR488" s="389">
        <v>0</v>
      </c>
      <c r="BS488" s="296">
        <v>0</v>
      </c>
      <c r="BT488" s="296">
        <v>0</v>
      </c>
      <c r="BU488" s="296">
        <v>0</v>
      </c>
      <c r="BV488" s="409">
        <v>0</v>
      </c>
      <c r="BW488" s="296">
        <f t="shared" si="2211"/>
        <v>0</v>
      </c>
      <c r="BX488" s="439" t="s">
        <v>1670</v>
      </c>
    </row>
    <row r="489" spans="1:76" ht="118.5" hidden="1" customHeight="1" outlineLevel="1" x14ac:dyDescent="0.25">
      <c r="A489" s="678">
        <v>96</v>
      </c>
      <c r="B489" s="702" t="s">
        <v>1669</v>
      </c>
      <c r="C489" s="686" t="s">
        <v>1669</v>
      </c>
      <c r="D489" s="274">
        <v>44593</v>
      </c>
      <c r="E489" s="463" t="s">
        <v>1993</v>
      </c>
      <c r="F489" s="544" t="s">
        <v>1994</v>
      </c>
      <c r="G489" s="71" t="s">
        <v>7</v>
      </c>
      <c r="H489" s="311" t="s">
        <v>130</v>
      </c>
      <c r="I489" s="335"/>
      <c r="J489" s="294"/>
      <c r="K489" s="52">
        <f t="shared" ref="K489" si="2212">AR489/U$8</f>
        <v>0</v>
      </c>
      <c r="L489" s="52">
        <f t="shared" ref="L489" si="2213">AS489/V$8</f>
        <v>1.90781096963761E-6</v>
      </c>
      <c r="M489" s="52">
        <f t="shared" ref="M489" si="2214">AT489/Y$8</f>
        <v>1.9873724692852525E-6</v>
      </c>
      <c r="N489" s="52">
        <f t="shared" ref="N489" si="2215">AU489/Z$8</f>
        <v>0</v>
      </c>
      <c r="O489" s="52">
        <f t="shared" si="2080"/>
        <v>1.166413933636264E-6</v>
      </c>
      <c r="P489" s="52">
        <f t="shared" si="2081"/>
        <v>1.1991232172477744E-6</v>
      </c>
      <c r="Q489" s="52">
        <f t="shared" si="2082"/>
        <v>1.1570069606920646E-6</v>
      </c>
      <c r="R489" s="52">
        <f t="shared" si="2083"/>
        <v>0</v>
      </c>
      <c r="S489" s="527">
        <f t="shared" ref="S489" si="2216">AZ489/AN$8</f>
        <v>0</v>
      </c>
      <c r="T489" s="533">
        <f t="shared" ref="T489" si="2217">BA489/T$8</f>
        <v>0</v>
      </c>
      <c r="U489" s="375">
        <f t="shared" ref="U489" si="2218">BB489/U$8</f>
        <v>0</v>
      </c>
      <c r="V489" s="375">
        <f t="shared" ref="V489" si="2219">BC489/V$8</f>
        <v>-1.90781096963761E-6</v>
      </c>
      <c r="W489" s="386">
        <f>BD489/W$8</f>
        <v>0</v>
      </c>
      <c r="X489" s="386">
        <f t="shared" ref="X489" si="2220">BE489/X$8</f>
        <v>-4.7825494191232087E-6</v>
      </c>
      <c r="Y489" s="386">
        <f t="shared" ref="Y489" si="2221">BF489/Y$8</f>
        <v>-4.7825494191232087E-6</v>
      </c>
      <c r="Z489" s="375">
        <f t="shared" ref="Z489" si="2222">BG489/Z$8</f>
        <v>0</v>
      </c>
      <c r="AA489" s="375">
        <f t="shared" ref="AA489" si="2223">BH489/AA$8</f>
        <v>-1.166413933636264E-6</v>
      </c>
      <c r="AB489" s="386">
        <f t="shared" ref="AB489" si="2224">BI489/AB$8</f>
        <v>0</v>
      </c>
      <c r="AC489" s="386">
        <f t="shared" si="2084"/>
        <v>0</v>
      </c>
      <c r="AD489" s="386">
        <f t="shared" si="2085"/>
        <v>-1.3521342567500052E-6</v>
      </c>
      <c r="AE489" s="386">
        <f t="shared" si="2086"/>
        <v>-1.1894524482899263E-6</v>
      </c>
      <c r="AF489" s="386">
        <f t="shared" si="2087"/>
        <v>-1.1570069606920646E-6</v>
      </c>
      <c r="AG489" s="375">
        <f t="shared" si="2088"/>
        <v>-1.1676086014046869E-6</v>
      </c>
      <c r="AH489" s="375">
        <f t="shared" si="2089"/>
        <v>0</v>
      </c>
      <c r="AI489" s="386">
        <f t="shared" si="2090"/>
        <v>0</v>
      </c>
      <c r="AJ489" s="386">
        <f t="shared" si="2091"/>
        <v>0</v>
      </c>
      <c r="AK489" s="386">
        <f t="shared" si="2092"/>
        <v>0</v>
      </c>
      <c r="AL489" s="377">
        <f t="shared" si="2093"/>
        <v>0</v>
      </c>
      <c r="AM489" s="377">
        <f t="shared" si="2094"/>
        <v>0</v>
      </c>
      <c r="AN489" s="377">
        <f t="shared" si="2095"/>
        <v>0</v>
      </c>
      <c r="AO489" s="283"/>
      <c r="AP489" s="295">
        <f t="shared" si="2111"/>
        <v>4.6002000000000001E-2</v>
      </c>
      <c r="AQ489" s="20">
        <f t="shared" si="2205"/>
        <v>0</v>
      </c>
      <c r="AR489" s="95">
        <f t="shared" si="2206"/>
        <v>0</v>
      </c>
      <c r="AS489" s="94">
        <f t="shared" si="2207"/>
        <v>6.2331999999999999E-2</v>
      </c>
      <c r="AT489" s="94">
        <f t="shared" si="2178"/>
        <v>6.2331999999999999E-2</v>
      </c>
      <c r="AU489" s="94">
        <f t="shared" si="2179"/>
        <v>0</v>
      </c>
      <c r="AV489" s="94">
        <f t="shared" si="2123"/>
        <v>4.6002000000000001E-2</v>
      </c>
      <c r="AW489" s="94">
        <f t="shared" si="2208"/>
        <v>4.6002000000000001E-2</v>
      </c>
      <c r="AX489" s="94">
        <f t="shared" si="2124"/>
        <v>4.5630999999999998E-2</v>
      </c>
      <c r="AY489" s="94">
        <f t="shared" si="2209"/>
        <v>0</v>
      </c>
      <c r="AZ489" s="433">
        <f t="shared" si="2210"/>
        <v>0</v>
      </c>
      <c r="BA489" s="657">
        <v>0</v>
      </c>
      <c r="BB489" s="327">
        <v>0</v>
      </c>
      <c r="BC489" s="207">
        <v>-6.2331999999999999E-2</v>
      </c>
      <c r="BD489" s="132">
        <v>0</v>
      </c>
      <c r="BE489" s="132">
        <v>-0.15</v>
      </c>
      <c r="BF489" s="132">
        <v>-0.15</v>
      </c>
      <c r="BG489" s="207">
        <v>0</v>
      </c>
      <c r="BH489" s="207">
        <f>-0.046002</f>
        <v>-4.6002000000000001E-2</v>
      </c>
      <c r="BI489" s="132">
        <v>0</v>
      </c>
      <c r="BJ489" s="132">
        <v>0</v>
      </c>
      <c r="BK489" s="132">
        <v>-4.6002000000000001E-2</v>
      </c>
      <c r="BL489" s="1042">
        <v>-4.5630999999999998E-2</v>
      </c>
      <c r="BM489" s="1042">
        <v>-4.5630999999999998E-2</v>
      </c>
      <c r="BN489" s="713">
        <f>-0.045631</f>
        <v>-4.5630999999999998E-2</v>
      </c>
      <c r="BO489" s="207">
        <v>0</v>
      </c>
      <c r="BP489" s="389">
        <v>0</v>
      </c>
      <c r="BQ489" s="389">
        <v>0</v>
      </c>
      <c r="BR489" s="389">
        <v>0</v>
      </c>
      <c r="BS489" s="296">
        <v>0</v>
      </c>
      <c r="BT489" s="296">
        <v>0</v>
      </c>
      <c r="BU489" s="296">
        <v>0</v>
      </c>
      <c r="BV489" s="713">
        <v>0</v>
      </c>
      <c r="BW489" s="296">
        <f t="shared" si="2211"/>
        <v>0</v>
      </c>
      <c r="BX489" s="439" t="s">
        <v>1992</v>
      </c>
    </row>
    <row r="490" spans="1:76" ht="129.94999999999999" hidden="1" customHeight="1" outlineLevel="1" x14ac:dyDescent="0.25">
      <c r="A490" s="678">
        <v>97</v>
      </c>
      <c r="B490" s="702" t="s">
        <v>1319</v>
      </c>
      <c r="C490" s="686" t="s">
        <v>1319</v>
      </c>
      <c r="D490" s="274">
        <v>44475</v>
      </c>
      <c r="E490" s="463" t="s">
        <v>1871</v>
      </c>
      <c r="F490" s="544" t="s">
        <v>1872</v>
      </c>
      <c r="G490" s="71" t="s">
        <v>192</v>
      </c>
      <c r="H490" s="311" t="s">
        <v>1798</v>
      </c>
      <c r="I490" s="335"/>
      <c r="J490" s="294">
        <f t="shared" si="2140"/>
        <v>0</v>
      </c>
      <c r="K490" s="52">
        <f t="shared" si="2141"/>
        <v>0</v>
      </c>
      <c r="L490" s="52">
        <f t="shared" si="2142"/>
        <v>7.8005631733594522E-7</v>
      </c>
      <c r="M490" s="52">
        <f t="shared" si="2109"/>
        <v>8.125870299718275E-7</v>
      </c>
      <c r="N490" s="52">
        <f t="shared" si="2110"/>
        <v>7.5879240953925266E-7</v>
      </c>
      <c r="O490" s="52">
        <f t="shared" si="2080"/>
        <v>0</v>
      </c>
      <c r="P490" s="52">
        <f t="shared" si="2081"/>
        <v>0</v>
      </c>
      <c r="Q490" s="52">
        <f t="shared" si="2082"/>
        <v>0</v>
      </c>
      <c r="R490" s="52">
        <f t="shared" si="2083"/>
        <v>0</v>
      </c>
      <c r="S490" s="527">
        <f t="shared" si="2143"/>
        <v>0</v>
      </c>
      <c r="T490" s="533">
        <f t="shared" si="2144"/>
        <v>0</v>
      </c>
      <c r="U490" s="375">
        <f t="shared" si="2145"/>
        <v>0</v>
      </c>
      <c r="V490" s="375">
        <f t="shared" si="2146"/>
        <v>-7.8005631733594522E-7</v>
      </c>
      <c r="W490" s="386">
        <f t="shared" si="2147"/>
        <v>0</v>
      </c>
      <c r="X490" s="386">
        <f t="shared" si="2148"/>
        <v>-4.7825494191232087E-6</v>
      </c>
      <c r="Y490" s="386">
        <f>BF490/Y$8</f>
        <v>0</v>
      </c>
      <c r="Z490" s="375">
        <f>BG490/Z$8</f>
        <v>-7.5879240953925266E-7</v>
      </c>
      <c r="AA490" s="375">
        <f t="shared" si="2149"/>
        <v>0</v>
      </c>
      <c r="AB490" s="386">
        <f t="shared" si="2150"/>
        <v>0</v>
      </c>
      <c r="AC490" s="386">
        <f t="shared" si="2084"/>
        <v>0</v>
      </c>
      <c r="AD490" s="386">
        <f t="shared" si="2085"/>
        <v>0</v>
      </c>
      <c r="AE490" s="386">
        <f t="shared" si="2086"/>
        <v>0</v>
      </c>
      <c r="AF490" s="386">
        <f t="shared" si="2087"/>
        <v>0</v>
      </c>
      <c r="AG490" s="375">
        <f t="shared" si="2088"/>
        <v>0</v>
      </c>
      <c r="AH490" s="375">
        <f t="shared" si="2089"/>
        <v>0</v>
      </c>
      <c r="AI490" s="386">
        <f t="shared" si="2090"/>
        <v>0</v>
      </c>
      <c r="AJ490" s="386">
        <f t="shared" si="2091"/>
        <v>0</v>
      </c>
      <c r="AK490" s="386">
        <f t="shared" si="2092"/>
        <v>0</v>
      </c>
      <c r="AL490" s="377">
        <f t="shared" si="2093"/>
        <v>0</v>
      </c>
      <c r="AM490" s="377">
        <f t="shared" si="2094"/>
        <v>0</v>
      </c>
      <c r="AN490" s="377">
        <f t="shared" si="2095"/>
        <v>0</v>
      </c>
      <c r="AO490" s="283"/>
      <c r="AP490" s="295">
        <f t="shared" si="2111"/>
        <v>2.5486000000000002E-2</v>
      </c>
      <c r="AQ490" s="20">
        <f t="shared" si="2108"/>
        <v>0</v>
      </c>
      <c r="AR490" s="95">
        <f t="shared" si="2108"/>
        <v>0</v>
      </c>
      <c r="AS490" s="94">
        <f>-BC490</f>
        <v>2.5486000000000002E-2</v>
      </c>
      <c r="AT490" s="94">
        <f t="shared" si="2178"/>
        <v>2.5486000000000002E-2</v>
      </c>
      <c r="AU490" s="94">
        <f t="shared" si="2179"/>
        <v>2.5486000000000002E-2</v>
      </c>
      <c r="AV490" s="94">
        <f t="shared" si="2123"/>
        <v>0</v>
      </c>
      <c r="AW490" s="94">
        <f t="shared" si="2167"/>
        <v>0</v>
      </c>
      <c r="AX490" s="94">
        <f t="shared" si="2124"/>
        <v>0</v>
      </c>
      <c r="AY490" s="94">
        <f t="shared" si="2168"/>
        <v>0</v>
      </c>
      <c r="AZ490" s="433">
        <f t="shared" si="2169"/>
        <v>0</v>
      </c>
      <c r="BA490" s="657">
        <v>0</v>
      </c>
      <c r="BB490" s="327">
        <v>0</v>
      </c>
      <c r="BC490" s="207">
        <v>-2.5486000000000002E-2</v>
      </c>
      <c r="BD490" s="132">
        <v>0</v>
      </c>
      <c r="BE490" s="132">
        <v>-0.15</v>
      </c>
      <c r="BF490" s="132">
        <v>0</v>
      </c>
      <c r="BG490" s="207">
        <v>-2.5486000000000002E-2</v>
      </c>
      <c r="BH490" s="207">
        <v>0</v>
      </c>
      <c r="BI490" s="132">
        <v>0</v>
      </c>
      <c r="BJ490" s="132">
        <v>0</v>
      </c>
      <c r="BK490" s="132">
        <v>0</v>
      </c>
      <c r="BL490" s="132">
        <v>0</v>
      </c>
      <c r="BM490" s="132">
        <v>0</v>
      </c>
      <c r="BN490" s="409">
        <v>0</v>
      </c>
      <c r="BO490" s="207">
        <v>0</v>
      </c>
      <c r="BP490" s="389">
        <v>0</v>
      </c>
      <c r="BQ490" s="389">
        <v>0</v>
      </c>
      <c r="BR490" s="389">
        <v>0</v>
      </c>
      <c r="BS490" s="296">
        <v>0</v>
      </c>
      <c r="BT490" s="296">
        <v>0</v>
      </c>
      <c r="BU490" s="296">
        <v>0</v>
      </c>
      <c r="BV490" s="409">
        <v>0</v>
      </c>
      <c r="BW490" s="296">
        <f t="shared" si="2106"/>
        <v>0</v>
      </c>
      <c r="BX490" s="439" t="s">
        <v>1870</v>
      </c>
    </row>
    <row r="491" spans="1:76" ht="18.75" collapsed="1" x14ac:dyDescent="0.25">
      <c r="A491" s="308" t="s">
        <v>241</v>
      </c>
      <c r="B491" s="706"/>
      <c r="C491" s="12"/>
      <c r="D491" s="13"/>
      <c r="E491" s="445"/>
      <c r="F491" s="553"/>
      <c r="G491" s="398" t="s">
        <v>1730</v>
      </c>
      <c r="H491" s="402" t="s">
        <v>1730</v>
      </c>
      <c r="I491" s="333"/>
      <c r="J491" s="294">
        <f>J492+J494+J497</f>
        <v>2.7025076328296802E-2</v>
      </c>
      <c r="K491" s="573">
        <f t="shared" ref="K491:AN491" si="2225">K492+K494+K497</f>
        <v>9.0123293208285672E-4</v>
      </c>
      <c r="L491" s="573">
        <f t="shared" si="2225"/>
        <v>2.7502556623408428E-3</v>
      </c>
      <c r="M491" s="670">
        <f t="shared" si="2225"/>
        <v>2.8649496589645334E-3</v>
      </c>
      <c r="N491" s="573">
        <f>N492+N494+N497</f>
        <v>1.7029233038796873E-3</v>
      </c>
      <c r="O491" s="573">
        <f t="shared" ref="O491:P491" si="2226">O492+O494+O497</f>
        <v>5.9971303994106832E-3</v>
      </c>
      <c r="P491" s="573">
        <f t="shared" si="2226"/>
        <v>6.1653055501292671E-3</v>
      </c>
      <c r="Q491" s="573">
        <f t="shared" ref="Q491" si="2227">Q492+Q494+Q497</f>
        <v>4.3252820661418721E-3</v>
      </c>
      <c r="R491" s="573">
        <f t="shared" si="2225"/>
        <v>0</v>
      </c>
      <c r="S491" s="574">
        <f t="shared" si="2225"/>
        <v>0</v>
      </c>
      <c r="T491" s="294">
        <f t="shared" si="2225"/>
        <v>0</v>
      </c>
      <c r="U491" s="573">
        <f t="shared" si="2225"/>
        <v>0</v>
      </c>
      <c r="V491" s="573">
        <f t="shared" si="2225"/>
        <v>-2.6268364348677769E-4</v>
      </c>
      <c r="W491" s="575">
        <f t="shared" si="2225"/>
        <v>-2.8020596541098965E-4</v>
      </c>
      <c r="X491" s="575">
        <f t="shared" si="2225"/>
        <v>-2.7363834756455351E-4</v>
      </c>
      <c r="Y491" s="575">
        <f t="shared" si="2225"/>
        <v>-2.7363834756455351E-4</v>
      </c>
      <c r="Z491" s="573">
        <f t="shared" ref="Z491" si="2228">Z492+Z494+Z497</f>
        <v>-2.555230312967779E-4</v>
      </c>
      <c r="AA491" s="573">
        <f t="shared" si="2225"/>
        <v>-1.744473688843419E-4</v>
      </c>
      <c r="AB491" s="575">
        <f t="shared" si="2225"/>
        <v>-2.0222346172862112E-4</v>
      </c>
      <c r="AC491" s="575">
        <f t="shared" ref="AC491:AD491" si="2229">AC492+AC494+AC497</f>
        <v>-2.0222346172862126E-4</v>
      </c>
      <c r="AD491" s="575">
        <f t="shared" si="2229"/>
        <v>-2.0222346172862126E-4</v>
      </c>
      <c r="AE491" s="575">
        <f t="shared" si="2225"/>
        <v>-1.7933932730456693E-4</v>
      </c>
      <c r="AF491" s="575">
        <f t="shared" ref="AF491:AG491" si="2230">AF492+AF494+AF497</f>
        <v>-1.744473688843419E-4</v>
      </c>
      <c r="AG491" s="573">
        <f t="shared" si="2230"/>
        <v>-1.7604582800430073E-4</v>
      </c>
      <c r="AH491" s="573">
        <f t="shared" ref="AH491:AI491" si="2231">AH492+AH494+AH497</f>
        <v>0</v>
      </c>
      <c r="AI491" s="575">
        <f t="shared" si="2231"/>
        <v>-7.4944900476435543E-5</v>
      </c>
      <c r="AJ491" s="575">
        <f t="shared" ref="AJ491:AM491" si="2232">AJ492+AJ494+AJ497</f>
        <v>0</v>
      </c>
      <c r="AK491" s="575">
        <f t="shared" si="2232"/>
        <v>0</v>
      </c>
      <c r="AL491" s="574">
        <f t="shared" si="2232"/>
        <v>0</v>
      </c>
      <c r="AM491" s="574">
        <f t="shared" si="2232"/>
        <v>0</v>
      </c>
      <c r="AN491" s="574">
        <f t="shared" si="2225"/>
        <v>0</v>
      </c>
      <c r="AO491" s="576"/>
      <c r="AP491" s="577">
        <f t="shared" ref="AP491:BV491" si="2233">AP492+AP494+AP497</f>
        <v>321.01886400000001</v>
      </c>
      <c r="AQ491" s="578">
        <f t="shared" si="2233"/>
        <v>761.94500200000004</v>
      </c>
      <c r="AR491" s="579">
        <f t="shared" si="2233"/>
        <v>27.301991000000001</v>
      </c>
      <c r="AS491" s="580">
        <f t="shared" si="2233"/>
        <v>89.856353000000013</v>
      </c>
      <c r="AT491" s="581">
        <f t="shared" si="2233"/>
        <v>89.856353000000013</v>
      </c>
      <c r="AU491" s="580">
        <f>AU492+AU494+AU497</f>
        <v>57.197071000000001</v>
      </c>
      <c r="AV491" s="580">
        <f t="shared" ref="AV491" si="2234">AV492+AV494+AV497</f>
        <v>236.51980199999997</v>
      </c>
      <c r="AW491" s="580">
        <f t="shared" si="2233"/>
        <v>236.51980199999997</v>
      </c>
      <c r="AX491" s="580">
        <f t="shared" ref="AX491" si="2235">AX492+AX494+AX497</f>
        <v>170.58406099999999</v>
      </c>
      <c r="AY491" s="580">
        <f t="shared" si="2233"/>
        <v>0</v>
      </c>
      <c r="AZ491" s="582">
        <f t="shared" si="2233"/>
        <v>0</v>
      </c>
      <c r="BA491" s="658">
        <f t="shared" si="2233"/>
        <v>0</v>
      </c>
      <c r="BB491" s="324">
        <f t="shared" si="2233"/>
        <v>0</v>
      </c>
      <c r="BC491" s="580">
        <f t="shared" si="2233"/>
        <v>-8.5823999999999998</v>
      </c>
      <c r="BD491" s="583">
        <f t="shared" si="2233"/>
        <v>-8.5823999999999998</v>
      </c>
      <c r="BE491" s="583">
        <f t="shared" si="2233"/>
        <v>-8.5823999999999998</v>
      </c>
      <c r="BF491" s="583">
        <f t="shared" si="2233"/>
        <v>-8.5823999999999998</v>
      </c>
      <c r="BG491" s="580">
        <f t="shared" ref="BG491" si="2236">BG492+BG494+BG497</f>
        <v>-8.5823999999999998</v>
      </c>
      <c r="BH491" s="580">
        <f t="shared" si="2233"/>
        <v>-6.88</v>
      </c>
      <c r="BI491" s="583">
        <f t="shared" si="2233"/>
        <v>-6.88</v>
      </c>
      <c r="BJ491" s="583">
        <f t="shared" ref="BJ491" si="2237">BJ492+BJ494+BJ497</f>
        <v>-6.88</v>
      </c>
      <c r="BK491" s="583">
        <f t="shared" si="2233"/>
        <v>-6.88</v>
      </c>
      <c r="BL491" s="583">
        <f t="shared" ref="BL491:BN491" si="2238">BL492+BL494+BL497</f>
        <v>-6.88</v>
      </c>
      <c r="BM491" s="583">
        <f t="shared" si="2238"/>
        <v>-6.88</v>
      </c>
      <c r="BN491" s="324">
        <f t="shared" si="2238"/>
        <v>-6.88</v>
      </c>
      <c r="BO491" s="580">
        <f>BO492+BO494+BO497</f>
        <v>0</v>
      </c>
      <c r="BP491" s="732">
        <f>BP492+BP494+BP497</f>
        <v>-3.0975999999999999</v>
      </c>
      <c r="BQ491" s="732">
        <f>BQ492+BQ494+BQ497</f>
        <v>0</v>
      </c>
      <c r="BR491" s="732">
        <f>BR492+BR494+BR497</f>
        <v>0</v>
      </c>
      <c r="BS491" s="582">
        <f t="shared" ref="BS491:BT491" si="2239">BS492+BS494+BS497</f>
        <v>0</v>
      </c>
      <c r="BT491" s="582">
        <f t="shared" si="2239"/>
        <v>0</v>
      </c>
      <c r="BU491" s="582">
        <f t="shared" si="2233"/>
        <v>0</v>
      </c>
      <c r="BV491" s="324">
        <f t="shared" si="2233"/>
        <v>0</v>
      </c>
      <c r="BW491" s="582">
        <f>BW492+BW494+BW497</f>
        <v>0</v>
      </c>
      <c r="BX491" s="447"/>
    </row>
    <row r="492" spans="1:76" ht="18.75" x14ac:dyDescent="0.25">
      <c r="A492" s="467">
        <v>1</v>
      </c>
      <c r="B492" s="708" t="s">
        <v>200</v>
      </c>
      <c r="C492" s="689"/>
      <c r="D492" s="348"/>
      <c r="E492" s="460"/>
      <c r="F492" s="540"/>
      <c r="G492" s="400" t="s">
        <v>1730</v>
      </c>
      <c r="H492" s="401" t="s">
        <v>1730</v>
      </c>
      <c r="I492" s="349"/>
      <c r="J492" s="379">
        <f>J493</f>
        <v>1.7592395545151452E-2</v>
      </c>
      <c r="K492" s="380">
        <f t="shared" ref="K492:AN492" si="2240">K493</f>
        <v>3.0845511056710984E-4</v>
      </c>
      <c r="L492" s="380">
        <f t="shared" si="2240"/>
        <v>2.3219058827130268E-3</v>
      </c>
      <c r="M492" s="380">
        <f t="shared" si="2240"/>
        <v>2.4187363952791752E-3</v>
      </c>
      <c r="N492" s="380">
        <f>N493</f>
        <v>1.1007517392069253E-3</v>
      </c>
      <c r="O492" s="380">
        <f t="shared" si="2240"/>
        <v>5.0970360850787003E-3</v>
      </c>
      <c r="P492" s="380">
        <f t="shared" si="2240"/>
        <v>5.2399702477092811E-3</v>
      </c>
      <c r="Q492" s="380">
        <f t="shared" si="2240"/>
        <v>3.463187510608787E-3</v>
      </c>
      <c r="R492" s="380">
        <f t="shared" si="2240"/>
        <v>0</v>
      </c>
      <c r="S492" s="381">
        <f t="shared" si="2240"/>
        <v>0</v>
      </c>
      <c r="T492" s="379">
        <f t="shared" si="2240"/>
        <v>0</v>
      </c>
      <c r="U492" s="380">
        <f t="shared" si="2240"/>
        <v>0</v>
      </c>
      <c r="V492" s="380">
        <f t="shared" si="2240"/>
        <v>0</v>
      </c>
      <c r="W492" s="385">
        <f t="shared" si="2240"/>
        <v>0</v>
      </c>
      <c r="X492" s="385">
        <f t="shared" si="2240"/>
        <v>0</v>
      </c>
      <c r="Y492" s="385">
        <f t="shared" si="2240"/>
        <v>0</v>
      </c>
      <c r="Z492" s="380">
        <f t="shared" si="2240"/>
        <v>0</v>
      </c>
      <c r="AA492" s="380">
        <f t="shared" si="2240"/>
        <v>0</v>
      </c>
      <c r="AB492" s="385">
        <f t="shared" si="2240"/>
        <v>0</v>
      </c>
      <c r="AC492" s="385">
        <f t="shared" si="2240"/>
        <v>0</v>
      </c>
      <c r="AD492" s="385">
        <f t="shared" si="2240"/>
        <v>0</v>
      </c>
      <c r="AE492" s="385">
        <f t="shared" si="2240"/>
        <v>0</v>
      </c>
      <c r="AF492" s="385">
        <f t="shared" si="2240"/>
        <v>0</v>
      </c>
      <c r="AG492" s="380">
        <f t="shared" si="2240"/>
        <v>0</v>
      </c>
      <c r="AH492" s="380">
        <f t="shared" si="2240"/>
        <v>0</v>
      </c>
      <c r="AI492" s="385">
        <f t="shared" si="2240"/>
        <v>0</v>
      </c>
      <c r="AJ492" s="385">
        <f t="shared" si="2240"/>
        <v>0</v>
      </c>
      <c r="AK492" s="385">
        <f t="shared" si="2240"/>
        <v>0</v>
      </c>
      <c r="AL492" s="381">
        <f t="shared" si="2240"/>
        <v>0</v>
      </c>
      <c r="AM492" s="381">
        <f t="shared" si="2240"/>
        <v>0</v>
      </c>
      <c r="AN492" s="381">
        <f t="shared" si="2240"/>
        <v>0</v>
      </c>
      <c r="AO492" s="403"/>
      <c r="AP492" s="350">
        <f t="shared" ref="AP492:BW492" si="2241">AP493</f>
        <v>247.33707499999997</v>
      </c>
      <c r="AQ492" s="382">
        <f t="shared" si="2241"/>
        <v>496</v>
      </c>
      <c r="AR492" s="382">
        <f t="shared" si="2241"/>
        <v>9.3443529999999999</v>
      </c>
      <c r="AS492" s="382">
        <f t="shared" si="2241"/>
        <v>75.861309000000006</v>
      </c>
      <c r="AT492" s="382">
        <f t="shared" si="2241"/>
        <v>75.861309000000006</v>
      </c>
      <c r="AU492" s="382">
        <f>AU493</f>
        <v>36.971586000000002</v>
      </c>
      <c r="AV492" s="382">
        <f t="shared" si="2241"/>
        <v>201.02113599999998</v>
      </c>
      <c r="AW492" s="382">
        <f t="shared" si="2241"/>
        <v>201.02113599999998</v>
      </c>
      <c r="AX492" s="382">
        <f t="shared" si="2241"/>
        <v>136.58406099999999</v>
      </c>
      <c r="AY492" s="382">
        <f t="shared" si="2241"/>
        <v>0</v>
      </c>
      <c r="AZ492" s="383">
        <f t="shared" si="2241"/>
        <v>0</v>
      </c>
      <c r="BA492" s="656">
        <f t="shared" si="2241"/>
        <v>0</v>
      </c>
      <c r="BB492" s="350">
        <f t="shared" si="2241"/>
        <v>0</v>
      </c>
      <c r="BC492" s="382">
        <f t="shared" si="2241"/>
        <v>0</v>
      </c>
      <c r="BD492" s="387">
        <f t="shared" si="2241"/>
        <v>0</v>
      </c>
      <c r="BE492" s="387">
        <f t="shared" si="2241"/>
        <v>0</v>
      </c>
      <c r="BF492" s="651">
        <f t="shared" si="2241"/>
        <v>0</v>
      </c>
      <c r="BG492" s="360">
        <f t="shared" si="2241"/>
        <v>0</v>
      </c>
      <c r="BH492" s="382">
        <f t="shared" si="2241"/>
        <v>0</v>
      </c>
      <c r="BI492" s="387">
        <f t="shared" si="2241"/>
        <v>0</v>
      </c>
      <c r="BJ492" s="515">
        <f t="shared" si="2241"/>
        <v>0</v>
      </c>
      <c r="BK492" s="515">
        <f t="shared" si="2241"/>
        <v>0</v>
      </c>
      <c r="BL492" s="515">
        <f t="shared" si="2241"/>
        <v>0</v>
      </c>
      <c r="BM492" s="515">
        <f t="shared" si="2241"/>
        <v>0</v>
      </c>
      <c r="BN492" s="350">
        <f t="shared" si="2241"/>
        <v>0</v>
      </c>
      <c r="BO492" s="382">
        <f>BO493</f>
        <v>0</v>
      </c>
      <c r="BP492" s="387">
        <f>BP493</f>
        <v>0</v>
      </c>
      <c r="BQ492" s="387">
        <f>BQ493</f>
        <v>0</v>
      </c>
      <c r="BR492" s="387">
        <f>BR493</f>
        <v>0</v>
      </c>
      <c r="BS492" s="383">
        <f t="shared" si="2241"/>
        <v>0</v>
      </c>
      <c r="BT492" s="383">
        <f t="shared" si="2241"/>
        <v>0</v>
      </c>
      <c r="BU492" s="383">
        <f t="shared" si="2241"/>
        <v>0</v>
      </c>
      <c r="BV492" s="350">
        <f t="shared" si="2241"/>
        <v>0</v>
      </c>
      <c r="BW492" s="383">
        <f t="shared" si="2241"/>
        <v>0</v>
      </c>
      <c r="BX492" s="351"/>
    </row>
    <row r="493" spans="1:76" ht="134.44999999999999" hidden="1" customHeight="1" outlineLevel="1" x14ac:dyDescent="0.25">
      <c r="A493" s="678">
        <v>1</v>
      </c>
      <c r="B493" s="702" t="s">
        <v>200</v>
      </c>
      <c r="C493" s="694" t="s">
        <v>200</v>
      </c>
      <c r="D493" s="63">
        <v>43970</v>
      </c>
      <c r="E493" s="463" t="s">
        <v>201</v>
      </c>
      <c r="F493" s="561" t="s">
        <v>234</v>
      </c>
      <c r="G493" s="71" t="s">
        <v>38</v>
      </c>
      <c r="H493" s="311" t="s">
        <v>326</v>
      </c>
      <c r="I493" s="335"/>
      <c r="J493" s="294">
        <f>AQ493/T$8</f>
        <v>1.7592395545151452E-2</v>
      </c>
      <c r="K493" s="52">
        <f>AR493/U$8</f>
        <v>3.0845511056710984E-4</v>
      </c>
      <c r="L493" s="52">
        <f>AS493/V$8</f>
        <v>2.3219058827130268E-3</v>
      </c>
      <c r="M493" s="52">
        <f>AT493/Y$8</f>
        <v>2.4187363952791752E-3</v>
      </c>
      <c r="N493" s="52">
        <f>AU493/Z$8</f>
        <v>1.1007517392069253E-3</v>
      </c>
      <c r="O493" s="52">
        <f>AV493/AA$8</f>
        <v>5.0970360850787003E-3</v>
      </c>
      <c r="P493" s="52">
        <f>AW493/AE$8</f>
        <v>5.2399702477092811E-3</v>
      </c>
      <c r="Q493" s="52">
        <f>AX493/AF$8</f>
        <v>3.463187510608787E-3</v>
      </c>
      <c r="R493" s="52">
        <f>AY493/AH$8</f>
        <v>0</v>
      </c>
      <c r="S493" s="527">
        <f>AZ493/AN$8</f>
        <v>0</v>
      </c>
      <c r="T493" s="533">
        <f>BA493/T$8</f>
        <v>0</v>
      </c>
      <c r="U493" s="375">
        <f t="shared" ref="U493" si="2242">BB493/U$8</f>
        <v>0</v>
      </c>
      <c r="V493" s="375">
        <f t="shared" ref="V493" si="2243">BC493/V$8</f>
        <v>0</v>
      </c>
      <c r="W493" s="386">
        <f t="shared" ref="W493" si="2244">BD493/W$8</f>
        <v>0</v>
      </c>
      <c r="X493" s="386">
        <f t="shared" ref="X493" si="2245">BE493/X$8</f>
        <v>0</v>
      </c>
      <c r="Y493" s="386">
        <f>BF493/Y$8</f>
        <v>0</v>
      </c>
      <c r="Z493" s="375">
        <f>BG493/Z$8</f>
        <v>0</v>
      </c>
      <c r="AA493" s="375">
        <f t="shared" ref="AA493" si="2246">BH493/AA$8</f>
        <v>0</v>
      </c>
      <c r="AB493" s="386">
        <f t="shared" ref="AB493" si="2247">BI493/AB$8</f>
        <v>0</v>
      </c>
      <c r="AC493" s="386">
        <f t="shared" ref="AC493:AN493" si="2248">BJ493/AC$8</f>
        <v>0</v>
      </c>
      <c r="AD493" s="386">
        <f t="shared" si="2248"/>
        <v>0</v>
      </c>
      <c r="AE493" s="386">
        <f t="shared" si="2248"/>
        <v>0</v>
      </c>
      <c r="AF493" s="386">
        <f t="shared" si="2248"/>
        <v>0</v>
      </c>
      <c r="AG493" s="375">
        <f t="shared" si="2248"/>
        <v>0</v>
      </c>
      <c r="AH493" s="375">
        <f t="shared" si="2248"/>
        <v>0</v>
      </c>
      <c r="AI493" s="386">
        <f t="shared" si="2248"/>
        <v>0</v>
      </c>
      <c r="AJ493" s="386">
        <f t="shared" si="2248"/>
        <v>0</v>
      </c>
      <c r="AK493" s="386">
        <f t="shared" si="2248"/>
        <v>0</v>
      </c>
      <c r="AL493" s="377">
        <f t="shared" si="2248"/>
        <v>0</v>
      </c>
      <c r="AM493" s="377">
        <f t="shared" si="2248"/>
        <v>0</v>
      </c>
      <c r="AN493" s="377">
        <f t="shared" si="2248"/>
        <v>0</v>
      </c>
      <c r="AO493" s="284"/>
      <c r="AP493" s="295">
        <f>AR493+AU493+AZ493+AW493+AY493</f>
        <v>247.33707499999997</v>
      </c>
      <c r="AQ493" s="20">
        <v>496</v>
      </c>
      <c r="AR493" s="95">
        <v>9.3443529999999999</v>
      </c>
      <c r="AS493" s="95">
        <v>75.861309000000006</v>
      </c>
      <c r="AT493" s="95">
        <v>75.861309000000006</v>
      </c>
      <c r="AU493" s="95">
        <v>36.971586000000002</v>
      </c>
      <c r="AV493" s="95">
        <v>201.02113599999998</v>
      </c>
      <c r="AW493" s="95">
        <v>201.02113599999998</v>
      </c>
      <c r="AX493" s="95">
        <v>136.58406099999999</v>
      </c>
      <c r="AY493" s="95">
        <v>0</v>
      </c>
      <c r="AZ493" s="435">
        <v>0</v>
      </c>
      <c r="BA493" s="657">
        <v>0</v>
      </c>
      <c r="BB493" s="327">
        <v>0</v>
      </c>
      <c r="BC493" s="207">
        <v>0</v>
      </c>
      <c r="BD493" s="389">
        <v>0</v>
      </c>
      <c r="BE493" s="389">
        <v>0</v>
      </c>
      <c r="BF493" s="516">
        <v>0</v>
      </c>
      <c r="BG493" s="1050">
        <v>0</v>
      </c>
      <c r="BH493" s="207">
        <v>0</v>
      </c>
      <c r="BI493" s="389">
        <v>0</v>
      </c>
      <c r="BJ493" s="516">
        <v>0</v>
      </c>
      <c r="BK493" s="516">
        <v>0</v>
      </c>
      <c r="BL493" s="516">
        <v>0</v>
      </c>
      <c r="BM493" s="516">
        <v>0</v>
      </c>
      <c r="BN493" s="327">
        <v>0</v>
      </c>
      <c r="BO493" s="207">
        <v>0</v>
      </c>
      <c r="BP493" s="389">
        <v>0</v>
      </c>
      <c r="BQ493" s="389">
        <v>0</v>
      </c>
      <c r="BR493" s="389">
        <v>0</v>
      </c>
      <c r="BS493" s="296">
        <v>0</v>
      </c>
      <c r="BT493" s="296">
        <v>0</v>
      </c>
      <c r="BU493" s="296">
        <v>0</v>
      </c>
      <c r="BV493" s="327">
        <v>0</v>
      </c>
      <c r="BW493" s="1052">
        <v>0</v>
      </c>
      <c r="BX493" s="439" t="s">
        <v>1232</v>
      </c>
    </row>
    <row r="494" spans="1:76" ht="18.75" collapsed="1" x14ac:dyDescent="0.25">
      <c r="A494" s="467">
        <v>2</v>
      </c>
      <c r="B494" s="708" t="s">
        <v>213</v>
      </c>
      <c r="C494" s="689"/>
      <c r="D494" s="348"/>
      <c r="E494" s="460"/>
      <c r="F494" s="540"/>
      <c r="G494" s="400" t="s">
        <v>1730</v>
      </c>
      <c r="H494" s="401" t="s">
        <v>1730</v>
      </c>
      <c r="I494" s="349"/>
      <c r="J494" s="379">
        <f>SUM(J495:J496)</f>
        <v>5.0163155281265515E-3</v>
      </c>
      <c r="K494" s="380">
        <f>SUM(K495:K496)</f>
        <v>7.3491671382940118E-6</v>
      </c>
      <c r="L494" s="380">
        <f t="shared" ref="L494:AN494" si="2249">SUM(L495:L496)</f>
        <v>4.2834977962781588E-4</v>
      </c>
      <c r="M494" s="380">
        <f t="shared" si="2249"/>
        <v>4.4621326368535837E-4</v>
      </c>
      <c r="N494" s="380">
        <f>SUM(N495:N496)</f>
        <v>6.0217156467276198E-4</v>
      </c>
      <c r="O494" s="380">
        <f>SUM(O495:O496)</f>
        <v>9.0009431433198334E-4</v>
      </c>
      <c r="P494" s="380">
        <f>SUM(P495:P496)</f>
        <v>9.2533530241998565E-4</v>
      </c>
      <c r="Q494" s="380">
        <f>SUM(Q495:Q496)</f>
        <v>8.6209455553308491E-4</v>
      </c>
      <c r="R494" s="380">
        <f t="shared" si="2249"/>
        <v>0</v>
      </c>
      <c r="S494" s="381">
        <f t="shared" si="2249"/>
        <v>0</v>
      </c>
      <c r="T494" s="379">
        <f t="shared" si="2249"/>
        <v>0</v>
      </c>
      <c r="U494" s="380">
        <f t="shared" si="2249"/>
        <v>0</v>
      </c>
      <c r="V494" s="380">
        <f t="shared" si="2249"/>
        <v>0</v>
      </c>
      <c r="W494" s="385">
        <f t="shared" si="2249"/>
        <v>0</v>
      </c>
      <c r="X494" s="385">
        <f t="shared" si="2249"/>
        <v>0</v>
      </c>
      <c r="Y494" s="385">
        <f t="shared" si="2249"/>
        <v>0</v>
      </c>
      <c r="Z494" s="380">
        <f t="shared" ref="Z494" si="2250">SUM(Z495:Z496)</f>
        <v>0</v>
      </c>
      <c r="AA494" s="380">
        <f t="shared" si="2249"/>
        <v>0</v>
      </c>
      <c r="AB494" s="385">
        <f t="shared" si="2249"/>
        <v>0</v>
      </c>
      <c r="AC494" s="385">
        <f t="shared" ref="AC494:AD494" si="2251">SUM(AC495:AC496)</f>
        <v>0</v>
      </c>
      <c r="AD494" s="385">
        <f t="shared" si="2251"/>
        <v>0</v>
      </c>
      <c r="AE494" s="385">
        <f t="shared" si="2249"/>
        <v>0</v>
      </c>
      <c r="AF494" s="385">
        <f t="shared" ref="AF494:AG494" si="2252">SUM(AF495:AF496)</f>
        <v>0</v>
      </c>
      <c r="AG494" s="380">
        <f t="shared" si="2252"/>
        <v>0</v>
      </c>
      <c r="AH494" s="380">
        <f t="shared" ref="AH494:AI494" si="2253">SUM(AH495:AH496)</f>
        <v>0</v>
      </c>
      <c r="AI494" s="385">
        <f t="shared" si="2253"/>
        <v>0</v>
      </c>
      <c r="AJ494" s="385">
        <f t="shared" ref="AJ494:AM494" si="2254">SUM(AJ495:AJ496)</f>
        <v>0</v>
      </c>
      <c r="AK494" s="385">
        <f t="shared" si="2254"/>
        <v>0</v>
      </c>
      <c r="AL494" s="381">
        <f t="shared" si="2254"/>
        <v>0</v>
      </c>
      <c r="AM494" s="381">
        <f t="shared" si="2254"/>
        <v>0</v>
      </c>
      <c r="AN494" s="381">
        <f t="shared" si="2249"/>
        <v>0</v>
      </c>
      <c r="AO494" s="403"/>
      <c r="AP494" s="350">
        <f t="shared" ref="AP494:BW494" si="2255">SUM(AP495:AP496)</f>
        <v>55.946787</v>
      </c>
      <c r="AQ494" s="382">
        <f t="shared" si="2255"/>
        <v>141.43</v>
      </c>
      <c r="AR494" s="382">
        <f t="shared" si="2255"/>
        <v>0.222636</v>
      </c>
      <c r="AS494" s="382">
        <f t="shared" si="2255"/>
        <v>13.995044</v>
      </c>
      <c r="AT494" s="382">
        <f t="shared" si="2255"/>
        <v>13.995044</v>
      </c>
      <c r="AU494" s="382">
        <f>SUM(AU495:AU496)</f>
        <v>20.225484999999999</v>
      </c>
      <c r="AV494" s="382">
        <f t="shared" ref="AV494" si="2256">SUM(AV495:AV496)</f>
        <v>35.498666</v>
      </c>
      <c r="AW494" s="382">
        <f t="shared" si="2255"/>
        <v>35.498666</v>
      </c>
      <c r="AX494" s="382">
        <f t="shared" ref="AX494" si="2257">SUM(AX495:AX496)</f>
        <v>34</v>
      </c>
      <c r="AY494" s="382">
        <f t="shared" si="2255"/>
        <v>0</v>
      </c>
      <c r="AZ494" s="383">
        <f t="shared" si="2255"/>
        <v>0</v>
      </c>
      <c r="BA494" s="656">
        <f t="shared" si="2255"/>
        <v>0</v>
      </c>
      <c r="BB494" s="350">
        <f t="shared" si="2255"/>
        <v>0</v>
      </c>
      <c r="BC494" s="382">
        <f t="shared" si="2255"/>
        <v>0</v>
      </c>
      <c r="BD494" s="387">
        <f t="shared" si="2255"/>
        <v>0</v>
      </c>
      <c r="BE494" s="387">
        <f t="shared" si="2255"/>
        <v>0</v>
      </c>
      <c r="BF494" s="651">
        <f t="shared" si="2255"/>
        <v>0</v>
      </c>
      <c r="BG494" s="360">
        <f>SUM(BG495:BG496)</f>
        <v>0</v>
      </c>
      <c r="BH494" s="382">
        <f t="shared" si="2255"/>
        <v>0</v>
      </c>
      <c r="BI494" s="387">
        <f t="shared" si="2255"/>
        <v>0</v>
      </c>
      <c r="BJ494" s="515">
        <f t="shared" ref="BJ494:BP494" si="2258">SUM(BJ495:BJ496)</f>
        <v>0</v>
      </c>
      <c r="BK494" s="515">
        <f t="shared" si="2258"/>
        <v>0</v>
      </c>
      <c r="BL494" s="515">
        <f t="shared" si="2258"/>
        <v>0</v>
      </c>
      <c r="BM494" s="515">
        <f t="shared" si="2258"/>
        <v>0</v>
      </c>
      <c r="BN494" s="350">
        <f>SUM(BN495:BN496)</f>
        <v>0</v>
      </c>
      <c r="BO494" s="382">
        <f t="shared" si="2258"/>
        <v>0</v>
      </c>
      <c r="BP494" s="387">
        <f t="shared" si="2258"/>
        <v>0</v>
      </c>
      <c r="BQ494" s="387">
        <f t="shared" ref="BQ494:BT494" si="2259">SUM(BQ495:BQ496)</f>
        <v>0</v>
      </c>
      <c r="BR494" s="387">
        <f t="shared" si="2259"/>
        <v>0</v>
      </c>
      <c r="BS494" s="383">
        <f t="shared" si="2259"/>
        <v>0</v>
      </c>
      <c r="BT494" s="383">
        <f t="shared" si="2259"/>
        <v>0</v>
      </c>
      <c r="BU494" s="383">
        <f t="shared" si="2255"/>
        <v>0</v>
      </c>
      <c r="BV494" s="350">
        <f>SUM(BV495:BV496)</f>
        <v>0</v>
      </c>
      <c r="BW494" s="383">
        <f t="shared" si="2255"/>
        <v>0</v>
      </c>
      <c r="BX494" s="351"/>
    </row>
    <row r="495" spans="1:76" ht="362.45" hidden="1" customHeight="1" outlineLevel="1" x14ac:dyDescent="0.25">
      <c r="A495" s="678">
        <v>1</v>
      </c>
      <c r="B495" s="702" t="s">
        <v>213</v>
      </c>
      <c r="C495" s="697" t="s">
        <v>213</v>
      </c>
      <c r="D495" s="63">
        <v>43984</v>
      </c>
      <c r="E495" s="463" t="s">
        <v>215</v>
      </c>
      <c r="F495" s="542" t="s">
        <v>309</v>
      </c>
      <c r="G495" s="71" t="s">
        <v>38</v>
      </c>
      <c r="H495" s="311" t="s">
        <v>730</v>
      </c>
      <c r="I495" s="335"/>
      <c r="J495" s="294">
        <f>AQ495/T$8</f>
        <v>2.5182662977938568E-3</v>
      </c>
      <c r="K495" s="1201">
        <f>AR495/U$8</f>
        <v>7.3491671382940118E-6</v>
      </c>
      <c r="L495" s="1201">
        <f>AS495/V$8</f>
        <v>4.2834977962781588E-4</v>
      </c>
      <c r="M495" s="1201">
        <f>AT495/Y$8</f>
        <v>4.4621326368535837E-4</v>
      </c>
      <c r="N495" s="1201">
        <f>AU495/Z$8</f>
        <v>6.0217156467276198E-4</v>
      </c>
      <c r="O495" s="1201">
        <f>AV495/AA$8</f>
        <v>9.0009431433198334E-4</v>
      </c>
      <c r="P495" s="1201">
        <f>AW495/AE$8</f>
        <v>9.2533530241998565E-4</v>
      </c>
      <c r="Q495" s="1201">
        <f>AX495/AF$8</f>
        <v>8.6209455553308491E-4</v>
      </c>
      <c r="R495" s="1201">
        <f>AY495/AH$8</f>
        <v>0</v>
      </c>
      <c r="S495" s="1210">
        <f>AZ495/AN$8</f>
        <v>0</v>
      </c>
      <c r="T495" s="533">
        <f>BA495/T$8</f>
        <v>0</v>
      </c>
      <c r="U495" s="375">
        <f t="shared" ref="U495:U496" si="2260">BB495/U$8</f>
        <v>0</v>
      </c>
      <c r="V495" s="375">
        <f t="shared" ref="V495:V496" si="2261">BC495/V$8</f>
        <v>0</v>
      </c>
      <c r="W495" s="386">
        <f t="shared" ref="W495:W496" si="2262">BD495/W$8</f>
        <v>0</v>
      </c>
      <c r="X495" s="386">
        <f t="shared" ref="X495:X496" si="2263">BE495/X$8</f>
        <v>0</v>
      </c>
      <c r="Y495" s="386">
        <f>BF495/Y$8</f>
        <v>0</v>
      </c>
      <c r="Z495" s="375">
        <f>BG495/Z$8</f>
        <v>0</v>
      </c>
      <c r="AA495" s="375">
        <f t="shared" ref="AA495:AA496" si="2264">BH495/AA$8</f>
        <v>0</v>
      </c>
      <c r="AB495" s="386">
        <f t="shared" ref="AB495:AB496" si="2265">BI495/AB$8</f>
        <v>0</v>
      </c>
      <c r="AC495" s="386">
        <f t="shared" ref="AC495:AF496" si="2266">BJ495/AC$8</f>
        <v>0</v>
      </c>
      <c r="AD495" s="386">
        <f t="shared" si="2266"/>
        <v>0</v>
      </c>
      <c r="AE495" s="386">
        <f t="shared" si="2266"/>
        <v>0</v>
      </c>
      <c r="AF495" s="386">
        <f t="shared" si="2266"/>
        <v>0</v>
      </c>
      <c r="AG495" s="375">
        <f>BN495/AG$8</f>
        <v>0</v>
      </c>
      <c r="AH495" s="375">
        <f t="shared" ref="AH495:AK496" si="2267">BO495/AH$8</f>
        <v>0</v>
      </c>
      <c r="AI495" s="386">
        <f t="shared" si="2267"/>
        <v>0</v>
      </c>
      <c r="AJ495" s="386">
        <f t="shared" si="2267"/>
        <v>0</v>
      </c>
      <c r="AK495" s="386">
        <f t="shared" si="2267"/>
        <v>0</v>
      </c>
      <c r="AL495" s="377">
        <f t="shared" ref="AL495:AN496" si="2268">BS495/AL$8</f>
        <v>0</v>
      </c>
      <c r="AM495" s="377">
        <f t="shared" si="2268"/>
        <v>0</v>
      </c>
      <c r="AN495" s="377">
        <f t="shared" si="2268"/>
        <v>0</v>
      </c>
      <c r="AO495" s="284"/>
      <c r="AP495" s="1231">
        <f>AR495+AU495+AZ495+AY495+AW495</f>
        <v>55.946787</v>
      </c>
      <c r="AQ495" s="20">
        <v>71</v>
      </c>
      <c r="AR495" s="1233">
        <v>0.222636</v>
      </c>
      <c r="AS495" s="1233">
        <v>13.995044</v>
      </c>
      <c r="AT495" s="1233">
        <v>13.995044</v>
      </c>
      <c r="AU495" s="1233">
        <v>20.225484999999999</v>
      </c>
      <c r="AV495" s="1233">
        <v>35.498666</v>
      </c>
      <c r="AW495" s="1233">
        <v>35.498666</v>
      </c>
      <c r="AX495" s="1233">
        <v>34</v>
      </c>
      <c r="AY495" s="1233">
        <v>0</v>
      </c>
      <c r="AZ495" s="1236">
        <v>0</v>
      </c>
      <c r="BA495" s="657">
        <v>0</v>
      </c>
      <c r="BB495" s="327">
        <v>0</v>
      </c>
      <c r="BC495" s="207">
        <v>0</v>
      </c>
      <c r="BD495" s="389">
        <v>0</v>
      </c>
      <c r="BE495" s="389">
        <v>0</v>
      </c>
      <c r="BF495" s="516">
        <v>0</v>
      </c>
      <c r="BG495" s="1235">
        <v>0</v>
      </c>
      <c r="BH495" s="207">
        <v>0</v>
      </c>
      <c r="BI495" s="389">
        <v>0</v>
      </c>
      <c r="BJ495" s="516">
        <v>0</v>
      </c>
      <c r="BK495" s="516">
        <v>0</v>
      </c>
      <c r="BL495" s="516">
        <v>0</v>
      </c>
      <c r="BM495" s="516">
        <v>0</v>
      </c>
      <c r="BN495" s="1238">
        <v>0</v>
      </c>
      <c r="BO495" s="207">
        <v>0</v>
      </c>
      <c r="BP495" s="389">
        <v>0</v>
      </c>
      <c r="BQ495" s="389">
        <v>0</v>
      </c>
      <c r="BR495" s="389">
        <v>0</v>
      </c>
      <c r="BS495" s="296">
        <v>0</v>
      </c>
      <c r="BT495" s="296">
        <v>0</v>
      </c>
      <c r="BU495" s="296">
        <v>0</v>
      </c>
      <c r="BV495" s="1238">
        <v>0</v>
      </c>
      <c r="BW495" s="1229">
        <v>0</v>
      </c>
      <c r="BX495" s="439" t="s">
        <v>1233</v>
      </c>
    </row>
    <row r="496" spans="1:76" ht="210" hidden="1" customHeight="1" outlineLevel="1" x14ac:dyDescent="0.25">
      <c r="A496" s="424">
        <v>2</v>
      </c>
      <c r="B496" s="702" t="s">
        <v>213</v>
      </c>
      <c r="C496" s="697" t="s">
        <v>213</v>
      </c>
      <c r="D496" s="63">
        <v>43984</v>
      </c>
      <c r="E496" s="463" t="s">
        <v>215</v>
      </c>
      <c r="F496" s="542" t="s">
        <v>308</v>
      </c>
      <c r="G496" s="71" t="s">
        <v>38</v>
      </c>
      <c r="H496" s="311" t="s">
        <v>326</v>
      </c>
      <c r="I496" s="335"/>
      <c r="J496" s="294">
        <f>AQ496/T$8</f>
        <v>2.4980492303326952E-3</v>
      </c>
      <c r="K496" s="1202"/>
      <c r="L496" s="1202"/>
      <c r="M496" s="1202"/>
      <c r="N496" s="1202"/>
      <c r="O496" s="1202"/>
      <c r="P496" s="1202"/>
      <c r="Q496" s="1202"/>
      <c r="R496" s="1202"/>
      <c r="S496" s="1211"/>
      <c r="T496" s="533">
        <f>BA496/T$8</f>
        <v>0</v>
      </c>
      <c r="U496" s="375">
        <f t="shared" si="2260"/>
        <v>0</v>
      </c>
      <c r="V496" s="375">
        <f t="shared" si="2261"/>
        <v>0</v>
      </c>
      <c r="W496" s="386">
        <f t="shared" si="2262"/>
        <v>0</v>
      </c>
      <c r="X496" s="386">
        <f t="shared" si="2263"/>
        <v>0</v>
      </c>
      <c r="Y496" s="386">
        <f>BF496/Y$8</f>
        <v>0</v>
      </c>
      <c r="Z496" s="375">
        <f>BG496/Z$8</f>
        <v>0</v>
      </c>
      <c r="AA496" s="375">
        <f t="shared" si="2264"/>
        <v>0</v>
      </c>
      <c r="AB496" s="386">
        <f t="shared" si="2265"/>
        <v>0</v>
      </c>
      <c r="AC496" s="386">
        <f t="shared" si="2266"/>
        <v>0</v>
      </c>
      <c r="AD496" s="386">
        <f t="shared" si="2266"/>
        <v>0</v>
      </c>
      <c r="AE496" s="386">
        <f t="shared" si="2266"/>
        <v>0</v>
      </c>
      <c r="AF496" s="386">
        <f t="shared" si="2266"/>
        <v>0</v>
      </c>
      <c r="AG496" s="375">
        <f>BN496/AG$8</f>
        <v>0</v>
      </c>
      <c r="AH496" s="375">
        <f t="shared" si="2267"/>
        <v>0</v>
      </c>
      <c r="AI496" s="386">
        <f t="shared" si="2267"/>
        <v>0</v>
      </c>
      <c r="AJ496" s="386">
        <f t="shared" si="2267"/>
        <v>0</v>
      </c>
      <c r="AK496" s="386">
        <f t="shared" si="2267"/>
        <v>0</v>
      </c>
      <c r="AL496" s="377">
        <f t="shared" si="2268"/>
        <v>0</v>
      </c>
      <c r="AM496" s="377">
        <f t="shared" si="2268"/>
        <v>0</v>
      </c>
      <c r="AN496" s="377">
        <f t="shared" si="2268"/>
        <v>0</v>
      </c>
      <c r="AO496" s="284"/>
      <c r="AP496" s="1232"/>
      <c r="AQ496" s="20">
        <v>70.430000000000007</v>
      </c>
      <c r="AR496" s="1234"/>
      <c r="AS496" s="1234"/>
      <c r="AT496" s="1234"/>
      <c r="AU496" s="1234"/>
      <c r="AV496" s="1234"/>
      <c r="AW496" s="1234"/>
      <c r="AX496" s="1234"/>
      <c r="AY496" s="1234"/>
      <c r="AZ496" s="1237"/>
      <c r="BA496" s="657">
        <v>0</v>
      </c>
      <c r="BB496" s="327">
        <v>0</v>
      </c>
      <c r="BC496" s="207">
        <v>0</v>
      </c>
      <c r="BD496" s="389">
        <v>0</v>
      </c>
      <c r="BE496" s="389">
        <v>0</v>
      </c>
      <c r="BF496" s="516">
        <v>0</v>
      </c>
      <c r="BG496" s="1235"/>
      <c r="BH496" s="207">
        <v>0</v>
      </c>
      <c r="BI496" s="389">
        <v>0</v>
      </c>
      <c r="BJ496" s="516">
        <v>0</v>
      </c>
      <c r="BK496" s="516">
        <v>0</v>
      </c>
      <c r="BL496" s="516">
        <v>0</v>
      </c>
      <c r="BM496" s="516">
        <v>0</v>
      </c>
      <c r="BN496" s="1239"/>
      <c r="BO496" s="207">
        <v>0</v>
      </c>
      <c r="BP496" s="389">
        <v>0</v>
      </c>
      <c r="BQ496" s="389">
        <v>0</v>
      </c>
      <c r="BR496" s="389">
        <v>0</v>
      </c>
      <c r="BS496" s="296">
        <v>0</v>
      </c>
      <c r="BT496" s="296">
        <v>0</v>
      </c>
      <c r="BU496" s="296">
        <v>0</v>
      </c>
      <c r="BV496" s="1239"/>
      <c r="BW496" s="1230"/>
      <c r="BX496" s="455" t="s">
        <v>1092</v>
      </c>
    </row>
    <row r="497" spans="1:76" ht="19.5" collapsed="1" thickBot="1" x14ac:dyDescent="0.3">
      <c r="A497" s="479">
        <v>3</v>
      </c>
      <c r="B497" s="711" t="s">
        <v>1723</v>
      </c>
      <c r="C497" s="698"/>
      <c r="D497" s="480"/>
      <c r="E497" s="481"/>
      <c r="F497" s="562"/>
      <c r="G497" s="563" t="s">
        <v>1730</v>
      </c>
      <c r="H497" s="564" t="s">
        <v>1730</v>
      </c>
      <c r="I497" s="349"/>
      <c r="J497" s="565">
        <f>SUM(J498:J500)</f>
        <v>4.416365255018798E-3</v>
      </c>
      <c r="K497" s="566">
        <f>SUM(K498:K500)</f>
        <v>5.8542865437745287E-4</v>
      </c>
      <c r="L497" s="566">
        <f t="shared" ref="L497:AN497" si="2269">SUM(L498:L500)</f>
        <v>0</v>
      </c>
      <c r="M497" s="566">
        <f t="shared" si="2269"/>
        <v>0</v>
      </c>
      <c r="N497" s="566">
        <f>SUM(N498:N500)</f>
        <v>0</v>
      </c>
      <c r="O497" s="566">
        <f>SUM(O498:O500)</f>
        <v>0</v>
      </c>
      <c r="P497" s="566">
        <f>SUM(P498:P500)</f>
        <v>0</v>
      </c>
      <c r="Q497" s="566">
        <f>SUM(Q498:Q500)</f>
        <v>0</v>
      </c>
      <c r="R497" s="566">
        <f t="shared" si="2269"/>
        <v>0</v>
      </c>
      <c r="S497" s="567">
        <f t="shared" si="2269"/>
        <v>0</v>
      </c>
      <c r="T497" s="565">
        <f t="shared" si="2269"/>
        <v>0</v>
      </c>
      <c r="U497" s="566">
        <f t="shared" si="2269"/>
        <v>0</v>
      </c>
      <c r="V497" s="566">
        <f t="shared" si="2269"/>
        <v>-2.6268364348677769E-4</v>
      </c>
      <c r="W497" s="568">
        <f t="shared" si="2269"/>
        <v>-2.8020596541098965E-4</v>
      </c>
      <c r="X497" s="568">
        <f t="shared" si="2269"/>
        <v>-2.7363834756455351E-4</v>
      </c>
      <c r="Y497" s="568">
        <f t="shared" si="2269"/>
        <v>-2.7363834756455351E-4</v>
      </c>
      <c r="Z497" s="566">
        <f>SUM(Z498:Z500)</f>
        <v>-2.555230312967779E-4</v>
      </c>
      <c r="AA497" s="566">
        <f t="shared" si="2269"/>
        <v>-1.744473688843419E-4</v>
      </c>
      <c r="AB497" s="568">
        <f t="shared" si="2269"/>
        <v>-2.0222346172862112E-4</v>
      </c>
      <c r="AC497" s="568">
        <f t="shared" ref="AC497:AD497" si="2270">SUM(AC498:AC500)</f>
        <v>-2.0222346172862126E-4</v>
      </c>
      <c r="AD497" s="568">
        <f t="shared" si="2270"/>
        <v>-2.0222346172862126E-4</v>
      </c>
      <c r="AE497" s="568">
        <f t="shared" si="2269"/>
        <v>-1.7933932730456693E-4</v>
      </c>
      <c r="AF497" s="568">
        <f t="shared" ref="AF497:AG497" si="2271">SUM(AF498:AF500)</f>
        <v>-1.744473688843419E-4</v>
      </c>
      <c r="AG497" s="566">
        <f t="shared" si="2271"/>
        <v>-1.7604582800430073E-4</v>
      </c>
      <c r="AH497" s="566">
        <f t="shared" ref="AH497:AI497" si="2272">SUM(AH498:AH500)</f>
        <v>0</v>
      </c>
      <c r="AI497" s="568">
        <f t="shared" si="2272"/>
        <v>-7.4944900476435543E-5</v>
      </c>
      <c r="AJ497" s="568">
        <f t="shared" ref="AJ497:AM497" si="2273">SUM(AJ498:AJ500)</f>
        <v>0</v>
      </c>
      <c r="AK497" s="568">
        <f t="shared" si="2273"/>
        <v>0</v>
      </c>
      <c r="AL497" s="567">
        <f t="shared" si="2273"/>
        <v>0</v>
      </c>
      <c r="AM497" s="567">
        <f t="shared" si="2273"/>
        <v>0</v>
      </c>
      <c r="AN497" s="567">
        <f t="shared" si="2269"/>
        <v>0</v>
      </c>
      <c r="AO497" s="403"/>
      <c r="AP497" s="456">
        <f t="shared" ref="AP497:BW497" si="2274">SUM(AP498:AP500)</f>
        <v>17.735002000000001</v>
      </c>
      <c r="AQ497" s="569">
        <f t="shared" si="2274"/>
        <v>124.51500200000001</v>
      </c>
      <c r="AR497" s="569">
        <f t="shared" si="2274"/>
        <v>17.735002000000001</v>
      </c>
      <c r="AS497" s="569">
        <f t="shared" si="2274"/>
        <v>0</v>
      </c>
      <c r="AT497" s="569">
        <f t="shared" si="2274"/>
        <v>0</v>
      </c>
      <c r="AU497" s="569">
        <f>SUM(AU498:AU500)</f>
        <v>0</v>
      </c>
      <c r="AV497" s="569">
        <f t="shared" ref="AV497" si="2275">SUM(AV498:AV500)</f>
        <v>0</v>
      </c>
      <c r="AW497" s="569">
        <f t="shared" si="2274"/>
        <v>0</v>
      </c>
      <c r="AX497" s="569">
        <f t="shared" ref="AX497" si="2276">SUM(AX498:AX500)</f>
        <v>0</v>
      </c>
      <c r="AY497" s="569">
        <f t="shared" si="2274"/>
        <v>0</v>
      </c>
      <c r="AZ497" s="570">
        <f t="shared" si="2274"/>
        <v>0</v>
      </c>
      <c r="BA497" s="659">
        <f t="shared" si="2274"/>
        <v>0</v>
      </c>
      <c r="BB497" s="456">
        <f t="shared" si="2274"/>
        <v>0</v>
      </c>
      <c r="BC497" s="569">
        <f t="shared" si="2274"/>
        <v>-8.5823999999999998</v>
      </c>
      <c r="BD497" s="571">
        <f t="shared" si="2274"/>
        <v>-8.5823999999999998</v>
      </c>
      <c r="BE497" s="571">
        <f t="shared" si="2274"/>
        <v>-8.5823999999999998</v>
      </c>
      <c r="BF497" s="572">
        <f t="shared" si="2274"/>
        <v>-8.5823999999999998</v>
      </c>
      <c r="BG497" s="569">
        <f t="shared" ref="BG497" si="2277">SUM(BG498:BG500)</f>
        <v>-8.5823999999999998</v>
      </c>
      <c r="BH497" s="569">
        <f t="shared" si="2274"/>
        <v>-6.88</v>
      </c>
      <c r="BI497" s="571">
        <f t="shared" si="2274"/>
        <v>-6.88</v>
      </c>
      <c r="BJ497" s="572">
        <f>SUM(BJ498:BJ500)</f>
        <v>-6.88</v>
      </c>
      <c r="BK497" s="572">
        <f t="shared" si="2274"/>
        <v>-6.88</v>
      </c>
      <c r="BL497" s="572">
        <f t="shared" ref="BL497:BN497" si="2278">SUM(BL498:BL500)</f>
        <v>-6.88</v>
      </c>
      <c r="BM497" s="572">
        <f t="shared" si="2278"/>
        <v>-6.88</v>
      </c>
      <c r="BN497" s="456">
        <f t="shared" si="2278"/>
        <v>-6.88</v>
      </c>
      <c r="BO497" s="569">
        <f>SUM(BO498:BO500)</f>
        <v>0</v>
      </c>
      <c r="BP497" s="571">
        <f>SUM(BP498:BP500)</f>
        <v>-3.0975999999999999</v>
      </c>
      <c r="BQ497" s="571">
        <f>SUM(BQ498:BQ500)</f>
        <v>0</v>
      </c>
      <c r="BR497" s="571">
        <f>SUM(BR498:BR500)</f>
        <v>0</v>
      </c>
      <c r="BS497" s="570">
        <f t="shared" ref="BS497:BT497" si="2279">SUM(BS498:BS500)</f>
        <v>0</v>
      </c>
      <c r="BT497" s="570">
        <f t="shared" si="2279"/>
        <v>0</v>
      </c>
      <c r="BU497" s="570">
        <f t="shared" si="2274"/>
        <v>0</v>
      </c>
      <c r="BV497" s="456">
        <f t="shared" si="2274"/>
        <v>0</v>
      </c>
      <c r="BW497" s="570">
        <f t="shared" si="2274"/>
        <v>0</v>
      </c>
      <c r="BX497" s="351"/>
    </row>
    <row r="498" spans="1:76" ht="141" hidden="1" customHeight="1" outlineLevel="1" x14ac:dyDescent="0.25">
      <c r="A498" s="206">
        <v>1</v>
      </c>
      <c r="B498" s="206" t="s">
        <v>196</v>
      </c>
      <c r="C498" s="423" t="s">
        <v>196</v>
      </c>
      <c r="D498" s="457">
        <v>43965</v>
      </c>
      <c r="E498" s="347" t="s">
        <v>288</v>
      </c>
      <c r="F498" s="534" t="s">
        <v>233</v>
      </c>
      <c r="G498" s="535" t="s">
        <v>40</v>
      </c>
      <c r="H498" s="536" t="s">
        <v>127</v>
      </c>
      <c r="I498" s="335"/>
      <c r="J498" s="412">
        <f t="shared" ref="J498:L500" si="2280">AQ498/T$8</f>
        <v>2.1224373980279492E-3</v>
      </c>
      <c r="K498" s="203">
        <f t="shared" si="2280"/>
        <v>3.6508825414367747E-4</v>
      </c>
      <c r="L498" s="203">
        <f t="shared" si="2280"/>
        <v>0</v>
      </c>
      <c r="M498" s="203">
        <f t="shared" ref="M498:O500" si="2281">AT498/Y$8</f>
        <v>0</v>
      </c>
      <c r="N498" s="203">
        <f t="shared" si="2281"/>
        <v>0</v>
      </c>
      <c r="O498" s="203">
        <f t="shared" si="2281"/>
        <v>0</v>
      </c>
      <c r="P498" s="203">
        <f t="shared" ref="P498:Q500" si="2282">AW498/AE$8</f>
        <v>0</v>
      </c>
      <c r="Q498" s="203">
        <f t="shared" si="2282"/>
        <v>0</v>
      </c>
      <c r="R498" s="203">
        <f>AY498/AH$8</f>
        <v>0</v>
      </c>
      <c r="S498" s="203">
        <f t="shared" ref="S498:S500" si="2283">AZ498/AN$8</f>
        <v>0</v>
      </c>
      <c r="T498" s="421">
        <f>BA498/T$8</f>
        <v>0</v>
      </c>
      <c r="U498" s="413">
        <f t="shared" ref="U498:U500" si="2284">BB498/U$8</f>
        <v>0</v>
      </c>
      <c r="V498" s="413">
        <f t="shared" ref="V498:V500" si="2285">BC498/V$8</f>
        <v>0</v>
      </c>
      <c r="W498" s="416">
        <f t="shared" ref="W498:W500" si="2286">BD498/W$8</f>
        <v>0</v>
      </c>
      <c r="X498" s="416">
        <f t="shared" ref="X498:X500" si="2287">BE498/X$8</f>
        <v>0</v>
      </c>
      <c r="Y498" s="416">
        <f t="shared" ref="Y498:Z500" si="2288">BF498/Y$8</f>
        <v>0</v>
      </c>
      <c r="Z498" s="413">
        <f t="shared" si="2288"/>
        <v>0</v>
      </c>
      <c r="AA498" s="413">
        <f t="shared" ref="AA498:AA500" si="2289">BH498/AA$8</f>
        <v>0</v>
      </c>
      <c r="AB498" s="416">
        <f t="shared" ref="AB498:AB500" si="2290">BI498/AB$8</f>
        <v>0</v>
      </c>
      <c r="AC498" s="386">
        <f t="shared" ref="AC498:AF500" si="2291">BJ498/AC$8</f>
        <v>0</v>
      </c>
      <c r="AD498" s="386">
        <f t="shared" si="2291"/>
        <v>0</v>
      </c>
      <c r="AE498" s="416">
        <f t="shared" si="2291"/>
        <v>0</v>
      </c>
      <c r="AF498" s="416">
        <f t="shared" si="2291"/>
        <v>0</v>
      </c>
      <c r="AG498" s="413">
        <f>BN498/AG$8</f>
        <v>0</v>
      </c>
      <c r="AH498" s="413">
        <f t="shared" ref="AH498:AK500" si="2292">BO498/AH$8</f>
        <v>0</v>
      </c>
      <c r="AI498" s="386">
        <f t="shared" si="2292"/>
        <v>0</v>
      </c>
      <c r="AJ498" s="386">
        <f t="shared" si="2292"/>
        <v>0</v>
      </c>
      <c r="AK498" s="386">
        <f t="shared" si="2292"/>
        <v>0</v>
      </c>
      <c r="AL498" s="422">
        <f t="shared" ref="AL498:AN500" si="2293">BS498/AL$8</f>
        <v>0</v>
      </c>
      <c r="AM498" s="422">
        <f t="shared" si="2293"/>
        <v>0</v>
      </c>
      <c r="AN498" s="422">
        <f t="shared" si="2293"/>
        <v>0</v>
      </c>
      <c r="AO498" s="284"/>
      <c r="AP498" s="411">
        <f>AR498+AU498+AZ498+AW498+AY498</f>
        <v>11.06</v>
      </c>
      <c r="AQ498" s="414">
        <v>59.84</v>
      </c>
      <c r="AR498" s="405">
        <v>11.06</v>
      </c>
      <c r="AS498" s="405">
        <v>0</v>
      </c>
      <c r="AT498" s="405">
        <v>0</v>
      </c>
      <c r="AU498" s="950">
        <v>0</v>
      </c>
      <c r="AV498" s="950">
        <v>0</v>
      </c>
      <c r="AW498" s="405">
        <v>0</v>
      </c>
      <c r="AX498" s="405">
        <v>0</v>
      </c>
      <c r="AY498" s="405">
        <v>0</v>
      </c>
      <c r="AZ498" s="405">
        <v>0</v>
      </c>
      <c r="BA498" s="415">
        <v>0</v>
      </c>
      <c r="BB498" s="220">
        <v>0</v>
      </c>
      <c r="BC498" s="214">
        <v>0</v>
      </c>
      <c r="BD498" s="404">
        <v>0</v>
      </c>
      <c r="BE498" s="404">
        <v>0</v>
      </c>
      <c r="BF498" s="404">
        <v>0</v>
      </c>
      <c r="BG498" s="942">
        <v>0</v>
      </c>
      <c r="BH498" s="962">
        <v>0</v>
      </c>
      <c r="BI498" s="404">
        <v>0</v>
      </c>
      <c r="BJ498" s="404">
        <v>0</v>
      </c>
      <c r="BK498" s="404">
        <v>0</v>
      </c>
      <c r="BL498" s="404">
        <v>0</v>
      </c>
      <c r="BM498" s="404">
        <v>0</v>
      </c>
      <c r="BN498" s="420">
        <v>0</v>
      </c>
      <c r="BO498" s="955">
        <v>0</v>
      </c>
      <c r="BP498" s="964">
        <v>0</v>
      </c>
      <c r="BQ498" s="388">
        <v>0</v>
      </c>
      <c r="BR498" s="388">
        <v>0</v>
      </c>
      <c r="BS498" s="406">
        <v>0</v>
      </c>
      <c r="BT498" s="406">
        <v>0</v>
      </c>
      <c r="BU498" s="406">
        <v>0</v>
      </c>
      <c r="BV498" s="420">
        <v>0</v>
      </c>
      <c r="BW498" s="942">
        <f t="shared" ref="BW498:BW499" si="2294">-BV498</f>
        <v>0</v>
      </c>
      <c r="BX498" s="323" t="s">
        <v>559</v>
      </c>
    </row>
    <row r="499" spans="1:76" ht="217.5" hidden="1" customHeight="1" outlineLevel="1" x14ac:dyDescent="0.25">
      <c r="A499" s="210">
        <v>2</v>
      </c>
      <c r="B499" s="210" t="s">
        <v>212</v>
      </c>
      <c r="C499" s="97" t="s">
        <v>212</v>
      </c>
      <c r="D499" s="63">
        <v>43984</v>
      </c>
      <c r="E499" s="98" t="s">
        <v>289</v>
      </c>
      <c r="F499" s="49" t="s">
        <v>235</v>
      </c>
      <c r="G499" s="71" t="s">
        <v>40</v>
      </c>
      <c r="H499" s="311" t="s">
        <v>131</v>
      </c>
      <c r="I499" s="335"/>
      <c r="J499" s="294">
        <f t="shared" si="2280"/>
        <v>2.3675257146910691E-4</v>
      </c>
      <c r="K499" s="52">
        <f t="shared" si="2280"/>
        <v>2.2034040023377534E-4</v>
      </c>
      <c r="L499" s="52">
        <f t="shared" si="2280"/>
        <v>0</v>
      </c>
      <c r="M499" s="52">
        <f t="shared" si="2281"/>
        <v>0</v>
      </c>
      <c r="N499" s="52">
        <f t="shared" si="2281"/>
        <v>0</v>
      </c>
      <c r="O499" s="52">
        <f t="shared" si="2281"/>
        <v>0</v>
      </c>
      <c r="P499" s="52">
        <f t="shared" si="2282"/>
        <v>0</v>
      </c>
      <c r="Q499" s="52">
        <f t="shared" si="2282"/>
        <v>0</v>
      </c>
      <c r="R499" s="52">
        <f>AY499/AH$8</f>
        <v>0</v>
      </c>
      <c r="S499" s="52">
        <f t="shared" si="2283"/>
        <v>0</v>
      </c>
      <c r="T499" s="374">
        <f>BA499/T$8</f>
        <v>0</v>
      </c>
      <c r="U499" s="375">
        <f t="shared" si="2284"/>
        <v>0</v>
      </c>
      <c r="V499" s="375">
        <f t="shared" si="2285"/>
        <v>0</v>
      </c>
      <c r="W499" s="386">
        <f t="shared" si="2286"/>
        <v>0</v>
      </c>
      <c r="X499" s="386">
        <f t="shared" si="2287"/>
        <v>0</v>
      </c>
      <c r="Y499" s="386">
        <f t="shared" si="2288"/>
        <v>0</v>
      </c>
      <c r="Z499" s="375">
        <f t="shared" si="2288"/>
        <v>0</v>
      </c>
      <c r="AA499" s="375">
        <f t="shared" si="2289"/>
        <v>0</v>
      </c>
      <c r="AB499" s="386">
        <f t="shared" si="2290"/>
        <v>0</v>
      </c>
      <c r="AC499" s="386">
        <f t="shared" si="2291"/>
        <v>0</v>
      </c>
      <c r="AD499" s="386">
        <f t="shared" si="2291"/>
        <v>0</v>
      </c>
      <c r="AE499" s="386">
        <f t="shared" si="2291"/>
        <v>0</v>
      </c>
      <c r="AF499" s="386">
        <f t="shared" si="2291"/>
        <v>0</v>
      </c>
      <c r="AG499" s="375">
        <f>BN499/AG$8</f>
        <v>0</v>
      </c>
      <c r="AH499" s="375">
        <f t="shared" si="2292"/>
        <v>0</v>
      </c>
      <c r="AI499" s="386">
        <f t="shared" si="2292"/>
        <v>0</v>
      </c>
      <c r="AJ499" s="386">
        <f t="shared" si="2292"/>
        <v>0</v>
      </c>
      <c r="AK499" s="386">
        <f t="shared" si="2292"/>
        <v>0</v>
      </c>
      <c r="AL499" s="377">
        <f t="shared" si="2293"/>
        <v>0</v>
      </c>
      <c r="AM499" s="377">
        <f t="shared" si="2293"/>
        <v>0</v>
      </c>
      <c r="AN499" s="377">
        <f t="shared" si="2293"/>
        <v>0</v>
      </c>
      <c r="AO499" s="284"/>
      <c r="AP499" s="295">
        <f>AR499+AU499+AZ499+AW499+AY499</f>
        <v>6.6750020000000001</v>
      </c>
      <c r="AQ499" s="20">
        <v>6.6750020000000001</v>
      </c>
      <c r="AR499" s="95">
        <v>6.6750020000000001</v>
      </c>
      <c r="AS499" s="95">
        <v>0</v>
      </c>
      <c r="AT499" s="95">
        <v>0</v>
      </c>
      <c r="AU499" s="949">
        <v>0</v>
      </c>
      <c r="AV499" s="949">
        <v>0</v>
      </c>
      <c r="AW499" s="95">
        <v>0</v>
      </c>
      <c r="AX499" s="95">
        <v>0</v>
      </c>
      <c r="AY499" s="95">
        <v>0</v>
      </c>
      <c r="AZ499" s="95">
        <v>0</v>
      </c>
      <c r="BA499" s="29">
        <v>0</v>
      </c>
      <c r="BB499" s="77">
        <v>0</v>
      </c>
      <c r="BC499" s="207">
        <v>0</v>
      </c>
      <c r="BD499" s="132">
        <v>0</v>
      </c>
      <c r="BE499" s="132">
        <v>0</v>
      </c>
      <c r="BF499" s="132">
        <v>0</v>
      </c>
      <c r="BG499" s="943">
        <v>0</v>
      </c>
      <c r="BH499" s="955">
        <v>0</v>
      </c>
      <c r="BI499" s="132">
        <v>0</v>
      </c>
      <c r="BJ499" s="132">
        <v>0</v>
      </c>
      <c r="BK499" s="132">
        <v>0</v>
      </c>
      <c r="BL499" s="132">
        <v>0</v>
      </c>
      <c r="BM499" s="132">
        <v>0</v>
      </c>
      <c r="BN499" s="327">
        <v>0</v>
      </c>
      <c r="BO499" s="955">
        <v>0</v>
      </c>
      <c r="BP499" s="964">
        <v>0</v>
      </c>
      <c r="BQ499" s="388">
        <v>0</v>
      </c>
      <c r="BR499" s="388">
        <v>0</v>
      </c>
      <c r="BS499" s="296">
        <v>0</v>
      </c>
      <c r="BT499" s="296">
        <v>0</v>
      </c>
      <c r="BU499" s="296">
        <v>0</v>
      </c>
      <c r="BV499" s="327">
        <v>0</v>
      </c>
      <c r="BW499" s="943">
        <f t="shared" si="2294"/>
        <v>0</v>
      </c>
      <c r="BX499" s="323" t="s">
        <v>362</v>
      </c>
    </row>
    <row r="500" spans="1:76" ht="159.94999999999999" hidden="1" customHeight="1" outlineLevel="1" thickBot="1" x14ac:dyDescent="0.3">
      <c r="A500" s="210">
        <v>3</v>
      </c>
      <c r="B500" s="210" t="s">
        <v>214</v>
      </c>
      <c r="C500" s="314" t="s">
        <v>214</v>
      </c>
      <c r="D500" s="315" t="s">
        <v>299</v>
      </c>
      <c r="E500" s="316" t="s">
        <v>303</v>
      </c>
      <c r="F500" s="317" t="s">
        <v>304</v>
      </c>
      <c r="G500" s="318" t="s">
        <v>40</v>
      </c>
      <c r="H500" s="319" t="s">
        <v>171</v>
      </c>
      <c r="I500" s="335"/>
      <c r="J500" s="294">
        <f t="shared" si="2280"/>
        <v>2.0571752855217422E-3</v>
      </c>
      <c r="K500" s="52">
        <f t="shared" si="2280"/>
        <v>0</v>
      </c>
      <c r="L500" s="52">
        <f t="shared" si="2280"/>
        <v>0</v>
      </c>
      <c r="M500" s="52">
        <f t="shared" si="2281"/>
        <v>0</v>
      </c>
      <c r="N500" s="52">
        <f t="shared" si="2281"/>
        <v>0</v>
      </c>
      <c r="O500" s="52">
        <f t="shared" si="2281"/>
        <v>0</v>
      </c>
      <c r="P500" s="52">
        <f t="shared" si="2282"/>
        <v>0</v>
      </c>
      <c r="Q500" s="52">
        <f t="shared" si="2282"/>
        <v>0</v>
      </c>
      <c r="R500" s="52">
        <f>AY500/AH$8</f>
        <v>0</v>
      </c>
      <c r="S500" s="52">
        <f t="shared" si="2283"/>
        <v>0</v>
      </c>
      <c r="T500" s="374">
        <f>BA500/T$8</f>
        <v>0</v>
      </c>
      <c r="U500" s="375">
        <f t="shared" si="2284"/>
        <v>0</v>
      </c>
      <c r="V500" s="375">
        <f t="shared" si="2285"/>
        <v>-2.6268364348677769E-4</v>
      </c>
      <c r="W500" s="386">
        <f t="shared" si="2286"/>
        <v>-2.8020596541098965E-4</v>
      </c>
      <c r="X500" s="386">
        <f t="shared" si="2287"/>
        <v>-2.7363834756455351E-4</v>
      </c>
      <c r="Y500" s="386">
        <f t="shared" si="2288"/>
        <v>-2.7363834756455351E-4</v>
      </c>
      <c r="Z500" s="375">
        <f t="shared" si="2288"/>
        <v>-2.555230312967779E-4</v>
      </c>
      <c r="AA500" s="375">
        <f t="shared" si="2289"/>
        <v>-1.744473688843419E-4</v>
      </c>
      <c r="AB500" s="386">
        <f t="shared" si="2290"/>
        <v>-2.0222346172862112E-4</v>
      </c>
      <c r="AC500" s="386">
        <f t="shared" si="2291"/>
        <v>-2.0222346172862126E-4</v>
      </c>
      <c r="AD500" s="386">
        <f t="shared" si="2291"/>
        <v>-2.0222346172862126E-4</v>
      </c>
      <c r="AE500" s="386">
        <f t="shared" si="2291"/>
        <v>-1.7933932730456693E-4</v>
      </c>
      <c r="AF500" s="386">
        <f t="shared" si="2291"/>
        <v>-1.744473688843419E-4</v>
      </c>
      <c r="AG500" s="375">
        <f>BN500/AG$8</f>
        <v>-1.7604582800430073E-4</v>
      </c>
      <c r="AH500" s="375">
        <f t="shared" si="2292"/>
        <v>0</v>
      </c>
      <c r="AI500" s="386">
        <f t="shared" si="2292"/>
        <v>-7.4944900476435543E-5</v>
      </c>
      <c r="AJ500" s="386">
        <f t="shared" si="2292"/>
        <v>0</v>
      </c>
      <c r="AK500" s="386">
        <f t="shared" si="2292"/>
        <v>0</v>
      </c>
      <c r="AL500" s="377">
        <f t="shared" si="2293"/>
        <v>0</v>
      </c>
      <c r="AM500" s="377">
        <f t="shared" si="2293"/>
        <v>0</v>
      </c>
      <c r="AN500" s="377">
        <f t="shared" si="2293"/>
        <v>0</v>
      </c>
      <c r="AO500" s="284"/>
      <c r="AP500" s="297">
        <f>AR500+AU500+AZ500+AW500+AY500</f>
        <v>0</v>
      </c>
      <c r="AQ500" s="298">
        <v>58</v>
      </c>
      <c r="AR500" s="299">
        <v>0</v>
      </c>
      <c r="AS500" s="299">
        <v>0</v>
      </c>
      <c r="AT500" s="299">
        <v>0</v>
      </c>
      <c r="AU500" s="951">
        <v>0</v>
      </c>
      <c r="AV500" s="951">
        <v>0</v>
      </c>
      <c r="AW500" s="299">
        <v>0</v>
      </c>
      <c r="AX500" s="299">
        <v>0</v>
      </c>
      <c r="AY500" s="299">
        <v>0</v>
      </c>
      <c r="AZ500" s="299">
        <v>0</v>
      </c>
      <c r="BA500" s="300">
        <v>0</v>
      </c>
      <c r="BB500" s="301">
        <v>0</v>
      </c>
      <c r="BC500" s="302">
        <f>-26.82*0.32</f>
        <v>-8.5823999999999998</v>
      </c>
      <c r="BD500" s="303">
        <f>-26.82*0.32</f>
        <v>-8.5823999999999998</v>
      </c>
      <c r="BE500" s="303">
        <f>-26.82*0.32</f>
        <v>-8.5823999999999998</v>
      </c>
      <c r="BF500" s="132">
        <f>-26.82*0.32</f>
        <v>-8.5823999999999998</v>
      </c>
      <c r="BG500" s="943">
        <v>-8.5823999999999998</v>
      </c>
      <c r="BH500" s="963">
        <f>-21.5*0.32</f>
        <v>-6.88</v>
      </c>
      <c r="BI500" s="303">
        <f t="shared" ref="BI500:BM500" si="2295">-21.5*0.32</f>
        <v>-6.88</v>
      </c>
      <c r="BJ500" s="303">
        <f t="shared" si="2295"/>
        <v>-6.88</v>
      </c>
      <c r="BK500" s="303">
        <f t="shared" si="2295"/>
        <v>-6.88</v>
      </c>
      <c r="BL500" s="303">
        <f t="shared" si="2295"/>
        <v>-6.88</v>
      </c>
      <c r="BM500" s="303">
        <f t="shared" si="2295"/>
        <v>-6.88</v>
      </c>
      <c r="BN500" s="1055">
        <f>-21.5*0.32</f>
        <v>-6.88</v>
      </c>
      <c r="BO500" s="963">
        <v>0</v>
      </c>
      <c r="BP500" s="965">
        <f>-9.68*0.32</f>
        <v>-3.0975999999999999</v>
      </c>
      <c r="BQ500" s="733">
        <v>0</v>
      </c>
      <c r="BR500" s="733">
        <v>0</v>
      </c>
      <c r="BS500" s="304">
        <v>0</v>
      </c>
      <c r="BT500" s="304">
        <v>0</v>
      </c>
      <c r="BU500" s="304">
        <v>0</v>
      </c>
      <c r="BV500" s="1055">
        <v>0</v>
      </c>
      <c r="BW500" s="944">
        <v>0</v>
      </c>
      <c r="BX500" s="328" t="s">
        <v>1093</v>
      </c>
    </row>
    <row r="501" spans="1:76" collapsed="1" x14ac:dyDescent="0.25">
      <c r="AO501"/>
    </row>
    <row r="502" spans="1:76" x14ac:dyDescent="0.25">
      <c r="A502" s="903" t="s">
        <v>2347</v>
      </c>
      <c r="J502" s="23"/>
      <c r="K502" s="23"/>
      <c r="L502" s="23"/>
      <c r="M502" s="23"/>
      <c r="N502" s="23"/>
      <c r="O502" s="23"/>
      <c r="P502" s="23"/>
      <c r="Q502" s="23"/>
      <c r="R502" s="23"/>
      <c r="S502" s="23"/>
      <c r="AO502"/>
      <c r="BA502" s="23"/>
      <c r="BB502" s="23"/>
      <c r="BC502" s="23"/>
      <c r="BD502" s="23"/>
      <c r="BE502" s="23"/>
      <c r="BF502" s="23"/>
      <c r="BG502" s="957"/>
      <c r="BV502" s="289"/>
      <c r="BW502" s="946"/>
    </row>
    <row r="503" spans="1:76" ht="18.75" x14ac:dyDescent="0.3">
      <c r="A503" s="104"/>
      <c r="B503" s="104"/>
      <c r="I503" s="725"/>
      <c r="J503" s="726"/>
      <c r="K503" s="726"/>
      <c r="L503" s="726"/>
      <c r="M503" s="726"/>
      <c r="N503" s="726"/>
      <c r="O503" s="726"/>
      <c r="P503" s="726"/>
      <c r="Q503" s="726"/>
      <c r="R503" s="726"/>
      <c r="S503" s="726"/>
      <c r="T503" s="726"/>
      <c r="U503" s="726"/>
      <c r="V503" s="726"/>
      <c r="W503" s="726"/>
      <c r="X503" s="726"/>
      <c r="Y503" s="726"/>
      <c r="Z503" s="726"/>
      <c r="AA503" s="725"/>
      <c r="AB503" s="725"/>
      <c r="AC503" s="725"/>
      <c r="AD503" s="725"/>
      <c r="AE503" s="725"/>
      <c r="AF503" s="725"/>
      <c r="AG503" s="725"/>
      <c r="AH503" s="725"/>
      <c r="AI503" s="725"/>
      <c r="AJ503" s="725"/>
      <c r="AK503" s="725"/>
      <c r="AL503" s="725"/>
      <c r="AM503" s="725"/>
      <c r="AN503" s="725"/>
      <c r="AO503" s="725"/>
      <c r="AP503" s="901" t="s">
        <v>2094</v>
      </c>
      <c r="AQ503" s="901"/>
      <c r="AR503" s="902">
        <v>182.9</v>
      </c>
      <c r="AS503" s="901"/>
      <c r="AT503" s="901"/>
      <c r="AU503" s="953">
        <f>AR503-AR492-AU492</f>
        <v>136.58406099999999</v>
      </c>
      <c r="AV503" s="961"/>
      <c r="AW503" s="719"/>
      <c r="AX503" s="719"/>
      <c r="AY503" s="719"/>
      <c r="AZ503" s="720"/>
      <c r="BA503" s="721"/>
      <c r="BB503" s="721"/>
      <c r="BC503" s="721"/>
      <c r="BD503" s="721"/>
      <c r="BE503" s="721"/>
      <c r="BF503" s="722"/>
      <c r="BG503" s="958"/>
      <c r="BV503" s="289"/>
      <c r="BW503" s="947"/>
    </row>
    <row r="504" spans="1:76" x14ac:dyDescent="0.25">
      <c r="I504" s="725"/>
      <c r="J504" s="727"/>
      <c r="K504" s="727"/>
      <c r="L504" s="727"/>
      <c r="M504" s="727"/>
      <c r="N504" s="727"/>
      <c r="O504" s="727"/>
      <c r="P504" s="727"/>
      <c r="Q504" s="727"/>
      <c r="R504" s="727"/>
      <c r="S504" s="727"/>
      <c r="T504" s="725"/>
      <c r="U504" s="725"/>
      <c r="V504" s="725"/>
      <c r="W504" s="725"/>
      <c r="X504" s="725"/>
      <c r="Y504" s="725"/>
      <c r="Z504" s="725"/>
      <c r="AA504" s="725"/>
      <c r="AB504" s="725"/>
      <c r="AC504" s="725"/>
      <c r="AD504" s="725"/>
      <c r="AE504" s="725"/>
      <c r="AF504" s="725"/>
      <c r="AG504" s="725"/>
      <c r="AH504" s="725"/>
      <c r="AI504" s="725"/>
      <c r="AJ504" s="725"/>
      <c r="AK504" s="725"/>
      <c r="AL504" s="725"/>
      <c r="AM504" s="725"/>
      <c r="AN504" s="725"/>
      <c r="AO504" s="725"/>
      <c r="AP504" s="901" t="s">
        <v>2341</v>
      </c>
      <c r="AQ504" s="901"/>
      <c r="AR504" s="902">
        <v>54.4</v>
      </c>
      <c r="AS504" s="901"/>
      <c r="AT504" s="901"/>
      <c r="AU504" s="953">
        <f>AR504-AR494-AU494</f>
        <v>33.951878999999998</v>
      </c>
      <c r="AV504" s="961"/>
      <c r="AW504" s="719"/>
      <c r="AX504" s="719"/>
      <c r="AY504" s="719"/>
      <c r="AZ504" s="720"/>
      <c r="BA504" s="723"/>
      <c r="BB504" s="723"/>
      <c r="BC504" s="723"/>
      <c r="BD504" s="723"/>
      <c r="BE504" s="723"/>
      <c r="BF504" s="723"/>
      <c r="BG504" s="959"/>
    </row>
    <row r="505" spans="1:76" x14ac:dyDescent="0.25">
      <c r="I505" s="725"/>
      <c r="J505" s="728"/>
      <c r="K505" s="728"/>
      <c r="L505" s="728"/>
      <c r="M505" s="728"/>
      <c r="N505" s="728"/>
      <c r="O505" s="728"/>
      <c r="P505" s="728"/>
      <c r="Q505" s="728"/>
      <c r="R505" s="728"/>
      <c r="S505" s="728"/>
      <c r="T505" s="725"/>
      <c r="U505" s="725"/>
      <c r="V505" s="725"/>
      <c r="W505" s="725"/>
      <c r="X505" s="725"/>
      <c r="Y505" s="725"/>
      <c r="Z505" s="725"/>
      <c r="AA505" s="725"/>
      <c r="AB505" s="725"/>
      <c r="AC505" s="725"/>
      <c r="AD505" s="725"/>
      <c r="AE505" s="725"/>
      <c r="AF505" s="725"/>
      <c r="AG505" s="725"/>
      <c r="AH505" s="725"/>
      <c r="AI505" s="725"/>
      <c r="AJ505" s="725"/>
      <c r="AK505" s="725"/>
      <c r="AL505" s="725"/>
      <c r="AM505" s="725"/>
      <c r="AN505" s="725"/>
      <c r="AO505" s="725"/>
      <c r="AP505" s="728"/>
      <c r="AQ505" s="728"/>
      <c r="AR505" s="728"/>
      <c r="AS505" s="728"/>
      <c r="AT505" s="728"/>
      <c r="AU505" s="954"/>
      <c r="AV505" s="954"/>
      <c r="AW505" s="719"/>
      <c r="AX505" s="719"/>
      <c r="AY505" s="719"/>
      <c r="AZ505" s="720"/>
      <c r="BA505" s="723"/>
      <c r="BB505" s="723"/>
      <c r="BC505" s="723"/>
      <c r="BD505" s="723"/>
      <c r="BE505" s="723"/>
      <c r="BF505" s="724"/>
      <c r="BG505" s="960"/>
      <c r="BW505" s="948"/>
    </row>
    <row r="506" spans="1:76" x14ac:dyDescent="0.25">
      <c r="AO506"/>
      <c r="AZ506" s="290"/>
    </row>
    <row r="507" spans="1:76" x14ac:dyDescent="0.25">
      <c r="AO507"/>
    </row>
    <row r="508" spans="1:76" x14ac:dyDescent="0.25">
      <c r="AO508"/>
    </row>
    <row r="509" spans="1:76" x14ac:dyDescent="0.25">
      <c r="AO509"/>
      <c r="BW509" s="945" t="s">
        <v>1704</v>
      </c>
    </row>
    <row r="510" spans="1:76" x14ac:dyDescent="0.25">
      <c r="AO510"/>
    </row>
    <row r="511" spans="1:76" x14ac:dyDescent="0.25">
      <c r="AO511"/>
    </row>
  </sheetData>
  <mergeCells count="752">
    <mergeCell ref="BT73:BT74"/>
    <mergeCell ref="BT97:BT105"/>
    <mergeCell ref="BT113:BT114"/>
    <mergeCell ref="BT122:BT123"/>
    <mergeCell ref="AM122:AM123"/>
    <mergeCell ref="AK122:AK123"/>
    <mergeCell ref="AL31:AL36"/>
    <mergeCell ref="AL53:AL54"/>
    <mergeCell ref="AL57:AL58"/>
    <mergeCell ref="AL60:AL61"/>
    <mergeCell ref="AL64:AL66"/>
    <mergeCell ref="AL73:AL74"/>
    <mergeCell ref="AL97:AL105"/>
    <mergeCell ref="AL113:AL114"/>
    <mergeCell ref="AL122:AL123"/>
    <mergeCell ref="BP73:BP74"/>
    <mergeCell ref="BP97:BP105"/>
    <mergeCell ref="BS31:BS36"/>
    <mergeCell ref="BS53:BS54"/>
    <mergeCell ref="BS57:BS58"/>
    <mergeCell ref="BS60:BS61"/>
    <mergeCell ref="BS64:BS66"/>
    <mergeCell ref="BS73:BS74"/>
    <mergeCell ref="BS97:BS105"/>
    <mergeCell ref="BR73:BR74"/>
    <mergeCell ref="BR97:BR105"/>
    <mergeCell ref="BQ31:BQ36"/>
    <mergeCell ref="BQ53:BQ54"/>
    <mergeCell ref="BQ57:BQ58"/>
    <mergeCell ref="BQ60:BQ61"/>
    <mergeCell ref="BQ64:BQ66"/>
    <mergeCell ref="BQ73:BQ74"/>
    <mergeCell ref="BQ97:BQ105"/>
    <mergeCell ref="BR113:BR114"/>
    <mergeCell ref="BR122:BR123"/>
    <mergeCell ref="Q122:Q123"/>
    <mergeCell ref="Q495:Q496"/>
    <mergeCell ref="AG31:AG36"/>
    <mergeCell ref="AG53:AG54"/>
    <mergeCell ref="AG57:AG58"/>
    <mergeCell ref="AG60:AG61"/>
    <mergeCell ref="AG64:AG66"/>
    <mergeCell ref="AG73:AG74"/>
    <mergeCell ref="AG97:AG105"/>
    <mergeCell ref="AG113:AG114"/>
    <mergeCell ref="AG122:AG123"/>
    <mergeCell ref="X53:X54"/>
    <mergeCell ref="V60:V61"/>
    <mergeCell ref="W60:W61"/>
    <mergeCell ref="T64:T66"/>
    <mergeCell ref="U57:U58"/>
    <mergeCell ref="AC53:AC54"/>
    <mergeCell ref="AF122:AF123"/>
    <mergeCell ref="V31:V36"/>
    <mergeCell ref="W31:W36"/>
    <mergeCell ref="X31:X36"/>
    <mergeCell ref="V113:V114"/>
    <mergeCell ref="Q97:Q105"/>
    <mergeCell ref="Q113:Q114"/>
    <mergeCell ref="AX16:AX20"/>
    <mergeCell ref="AX31:AX36"/>
    <mergeCell ref="AX53:AX54"/>
    <mergeCell ref="AX57:AX58"/>
    <mergeCell ref="AX60:AX61"/>
    <mergeCell ref="AX64:AX66"/>
    <mergeCell ref="AX73:AX74"/>
    <mergeCell ref="AX97:AX105"/>
    <mergeCell ref="AX113:AX114"/>
    <mergeCell ref="AM113:AM114"/>
    <mergeCell ref="AJ97:AJ105"/>
    <mergeCell ref="AH97:AH105"/>
    <mergeCell ref="AH113:AH114"/>
    <mergeCell ref="Z53:Z54"/>
    <mergeCell ref="AM31:AM36"/>
    <mergeCell ref="AM53:AM54"/>
    <mergeCell ref="AI31:AI36"/>
    <mergeCell ref="AT73:AT74"/>
    <mergeCell ref="AW73:AW74"/>
    <mergeCell ref="AN53:AN54"/>
    <mergeCell ref="AV53:AV54"/>
    <mergeCell ref="AV57:AV58"/>
    <mergeCell ref="BC73:BC74"/>
    <mergeCell ref="Q11:Q15"/>
    <mergeCell ref="Q16:Q20"/>
    <mergeCell ref="Q31:Q36"/>
    <mergeCell ref="Q53:Q54"/>
    <mergeCell ref="Q57:Q58"/>
    <mergeCell ref="Q60:Q61"/>
    <mergeCell ref="Q64:Q66"/>
    <mergeCell ref="Q73:Q74"/>
    <mergeCell ref="AJ60:AJ61"/>
    <mergeCell ref="AJ64:AJ66"/>
    <mergeCell ref="AJ73:AJ74"/>
    <mergeCell ref="AI57:AI58"/>
    <mergeCell ref="AI53:AI54"/>
    <mergeCell ref="AF60:AF61"/>
    <mergeCell ref="AM60:AM61"/>
    <mergeCell ref="AM64:AM66"/>
    <mergeCell ref="AM73:AM74"/>
    <mergeCell ref="AH53:AH54"/>
    <mergeCell ref="AH57:AH58"/>
    <mergeCell ref="AH60:AH61"/>
    <mergeCell ref="AH64:AH66"/>
    <mergeCell ref="AH73:AH74"/>
    <mergeCell ref="W53:W54"/>
    <mergeCell ref="O97:O105"/>
    <mergeCell ref="O113:O114"/>
    <mergeCell ref="AI60:AI61"/>
    <mergeCell ref="BA60:BA61"/>
    <mergeCell ref="X113:X114"/>
    <mergeCell ref="Y113:Y114"/>
    <mergeCell ref="BI97:BI105"/>
    <mergeCell ref="AR31:AR36"/>
    <mergeCell ref="AT53:AT54"/>
    <mergeCell ref="AT31:AT36"/>
    <mergeCell ref="AZ31:AZ36"/>
    <mergeCell ref="BD60:BD61"/>
    <mergeCell ref="BI73:BI74"/>
    <mergeCell ref="AY73:AY74"/>
    <mergeCell ref="AV73:AV74"/>
    <mergeCell ref="BE97:BE105"/>
    <mergeCell ref="BC97:BC105"/>
    <mergeCell ref="BD97:BD105"/>
    <mergeCell ref="AS53:AS54"/>
    <mergeCell ref="AW31:AW36"/>
    <mergeCell ref="AS31:AS36"/>
    <mergeCell ref="BH97:BH105"/>
    <mergeCell ref="AU31:AU36"/>
    <mergeCell ref="AR57:AR58"/>
    <mergeCell ref="P97:P105"/>
    <mergeCell ref="R31:R36"/>
    <mergeCell ref="AN60:AN61"/>
    <mergeCell ref="AM97:AM105"/>
    <mergeCell ref="BF73:BF74"/>
    <mergeCell ref="AZ97:AZ105"/>
    <mergeCell ref="BA97:BA105"/>
    <mergeCell ref="BC60:BC61"/>
    <mergeCell ref="AZ60:AZ61"/>
    <mergeCell ref="AS57:AS58"/>
    <mergeCell ref="AZ57:AZ58"/>
    <mergeCell ref="AR53:AR54"/>
    <mergeCell ref="AF97:AF105"/>
    <mergeCell ref="AT64:AT66"/>
    <mergeCell ref="AK31:AK36"/>
    <mergeCell ref="AK53:AK54"/>
    <mergeCell ref="AK57:AK58"/>
    <mergeCell ref="AK60:AK61"/>
    <mergeCell ref="AK64:AK66"/>
    <mergeCell ref="AK73:AK74"/>
    <mergeCell ref="AK97:AK105"/>
    <mergeCell ref="AJ31:AJ36"/>
    <mergeCell ref="AJ53:AJ54"/>
    <mergeCell ref="AJ57:AJ58"/>
    <mergeCell ref="AD60:AD61"/>
    <mergeCell ref="AD64:AD66"/>
    <mergeCell ref="AD73:AD74"/>
    <mergeCell ref="AD97:AD105"/>
    <mergeCell ref="AD113:AD114"/>
    <mergeCell ref="AD122:AD123"/>
    <mergeCell ref="AF31:AF36"/>
    <mergeCell ref="AF113:AF114"/>
    <mergeCell ref="AH31:AH36"/>
    <mergeCell ref="BX104:BX105"/>
    <mergeCell ref="AP60:AP61"/>
    <mergeCell ref="AQ60:AQ61"/>
    <mergeCell ref="AP97:AP105"/>
    <mergeCell ref="Z97:Z105"/>
    <mergeCell ref="X97:X105"/>
    <mergeCell ref="Y97:Y105"/>
    <mergeCell ref="AI97:AI105"/>
    <mergeCell ref="AN97:AN105"/>
    <mergeCell ref="AC97:AC105"/>
    <mergeCell ref="Z60:Z61"/>
    <mergeCell ref="Z64:Z66"/>
    <mergeCell ref="AE60:AE61"/>
    <mergeCell ref="AC60:AC61"/>
    <mergeCell ref="AC64:AC66"/>
    <mergeCell ref="BV73:BV74"/>
    <mergeCell ref="BW73:BW74"/>
    <mergeCell ref="BX73:BX74"/>
    <mergeCell ref="BU97:BU105"/>
    <mergeCell ref="BV97:BV105"/>
    <mergeCell ref="BW97:BW105"/>
    <mergeCell ref="BK97:BK105"/>
    <mergeCell ref="BU73:BU74"/>
    <mergeCell ref="BX64:BX66"/>
    <mergeCell ref="L60:L61"/>
    <mergeCell ref="J31:J36"/>
    <mergeCell ref="K31:K36"/>
    <mergeCell ref="L31:L36"/>
    <mergeCell ref="BB53:BB54"/>
    <mergeCell ref="U97:U105"/>
    <mergeCell ref="V57:V58"/>
    <mergeCell ref="W97:W105"/>
    <mergeCell ref="V97:V105"/>
    <mergeCell ref="AR97:AR105"/>
    <mergeCell ref="AS97:AS105"/>
    <mergeCell ref="BB97:BB105"/>
    <mergeCell ref="O64:O66"/>
    <mergeCell ref="U64:U66"/>
    <mergeCell ref="U60:U61"/>
    <mergeCell ref="U53:U54"/>
    <mergeCell ref="S31:S36"/>
    <mergeCell ref="Z31:Z36"/>
    <mergeCell ref="Y31:Y36"/>
    <mergeCell ref="T39:T40"/>
    <mergeCell ref="BA73:BA74"/>
    <mergeCell ref="BB73:BB74"/>
    <mergeCell ref="V53:V54"/>
    <mergeCell ref="Y53:Y54"/>
    <mergeCell ref="D57:D58"/>
    <mergeCell ref="F57:F58"/>
    <mergeCell ref="M57:M58"/>
    <mergeCell ref="J39:J40"/>
    <mergeCell ref="AQ39:AQ40"/>
    <mergeCell ref="AV31:AV36"/>
    <mergeCell ref="A8:B8"/>
    <mergeCell ref="A7:B7"/>
    <mergeCell ref="BE53:BE54"/>
    <mergeCell ref="BE31:BE36"/>
    <mergeCell ref="BE57:BE58"/>
    <mergeCell ref="P16:P20"/>
    <mergeCell ref="BA39:BA40"/>
    <mergeCell ref="BB57:BB58"/>
    <mergeCell ref="BC57:BC58"/>
    <mergeCell ref="BD57:BD58"/>
    <mergeCell ref="AZ53:AZ54"/>
    <mergeCell ref="S53:S54"/>
    <mergeCell ref="AP53:AP54"/>
    <mergeCell ref="AQ53:AQ54"/>
    <mergeCell ref="BA53:BA54"/>
    <mergeCell ref="M53:M54"/>
    <mergeCell ref="M31:M36"/>
    <mergeCell ref="N53:N54"/>
    <mergeCell ref="A11:A20"/>
    <mergeCell ref="C11:C20"/>
    <mergeCell ref="D11:D20"/>
    <mergeCell ref="E11:E20"/>
    <mergeCell ref="F11:F20"/>
    <mergeCell ref="J11:J15"/>
    <mergeCell ref="K11:K15"/>
    <mergeCell ref="L11:L15"/>
    <mergeCell ref="J16:J20"/>
    <mergeCell ref="K16:K20"/>
    <mergeCell ref="L16:L20"/>
    <mergeCell ref="T5:U5"/>
    <mergeCell ref="V5:Z5"/>
    <mergeCell ref="L5:N5"/>
    <mergeCell ref="AS5:AU5"/>
    <mergeCell ref="M11:M15"/>
    <mergeCell ref="M16:M20"/>
    <mergeCell ref="R11:R15"/>
    <mergeCell ref="R16:R20"/>
    <mergeCell ref="N11:N15"/>
    <mergeCell ref="N16:N20"/>
    <mergeCell ref="O11:O15"/>
    <mergeCell ref="AU11:AU15"/>
    <mergeCell ref="AU16:AU20"/>
    <mergeCell ref="AT11:AT15"/>
    <mergeCell ref="P11:P15"/>
    <mergeCell ref="O16:O20"/>
    <mergeCell ref="Z16:Z20"/>
    <mergeCell ref="O5:Q5"/>
    <mergeCell ref="AA5:AG5"/>
    <mergeCell ref="AH5:AK5"/>
    <mergeCell ref="R97:R105"/>
    <mergeCell ref="AE53:AE54"/>
    <mergeCell ref="T31:T36"/>
    <mergeCell ref="U31:U36"/>
    <mergeCell ref="N97:N105"/>
    <mergeCell ref="AF53:AF54"/>
    <mergeCell ref="AB53:AB54"/>
    <mergeCell ref="AA53:AA54"/>
    <mergeCell ref="AE31:AE36"/>
    <mergeCell ref="AC31:AC36"/>
    <mergeCell ref="P53:P54"/>
    <mergeCell ref="P31:P36"/>
    <mergeCell ref="T53:T54"/>
    <mergeCell ref="AB60:AB61"/>
    <mergeCell ref="O31:O36"/>
    <mergeCell ref="O53:O54"/>
    <mergeCell ref="AA31:AA36"/>
    <mergeCell ref="AB31:AB36"/>
    <mergeCell ref="N31:N36"/>
    <mergeCell ref="P64:P66"/>
    <mergeCell ref="AF64:AF66"/>
    <mergeCell ref="T73:T74"/>
    <mergeCell ref="AD31:AD36"/>
    <mergeCell ref="AD53:AD54"/>
    <mergeCell ref="F1:BV1"/>
    <mergeCell ref="A2:BX2"/>
    <mergeCell ref="A3:A6"/>
    <mergeCell ref="C3:C6"/>
    <mergeCell ref="D3:D6"/>
    <mergeCell ref="E3:E6"/>
    <mergeCell ref="F3:F6"/>
    <mergeCell ref="J3:S4"/>
    <mergeCell ref="AP3:AZ4"/>
    <mergeCell ref="J5:K5"/>
    <mergeCell ref="AP5:AP6"/>
    <mergeCell ref="AQ5:AR5"/>
    <mergeCell ref="BA5:BB5"/>
    <mergeCell ref="BX3:BX6"/>
    <mergeCell ref="BA3:BU4"/>
    <mergeCell ref="BV5:BV6"/>
    <mergeCell ref="BW5:BW6"/>
    <mergeCell ref="BV3:BW4"/>
    <mergeCell ref="H3:H6"/>
    <mergeCell ref="BC5:BG5"/>
    <mergeCell ref="AV5:AX5"/>
    <mergeCell ref="BH5:BN5"/>
    <mergeCell ref="BO5:BR5"/>
    <mergeCell ref="T3:AN4"/>
    <mergeCell ref="BX7:BX8"/>
    <mergeCell ref="S16:S20"/>
    <mergeCell ref="AP16:AP20"/>
    <mergeCell ref="AQ16:AQ20"/>
    <mergeCell ref="S11:S15"/>
    <mergeCell ref="AP11:AP15"/>
    <mergeCell ref="AQ11:AQ15"/>
    <mergeCell ref="AR16:AR20"/>
    <mergeCell ref="AS16:AS20"/>
    <mergeCell ref="AZ16:AZ20"/>
    <mergeCell ref="Z11:Z15"/>
    <mergeCell ref="AT16:AT20"/>
    <mergeCell ref="BX16:BX20"/>
    <mergeCell ref="BV11:BV15"/>
    <mergeCell ref="BW11:BW15"/>
    <mergeCell ref="BX11:BX15"/>
    <mergeCell ref="AR11:AR15"/>
    <mergeCell ref="AS11:AS15"/>
    <mergeCell ref="AZ11:AZ15"/>
    <mergeCell ref="AV16:AV20"/>
    <mergeCell ref="BP31:BP36"/>
    <mergeCell ref="BU60:BU61"/>
    <mergeCell ref="BB60:BB61"/>
    <mergeCell ref="BP53:BP54"/>
    <mergeCell ref="BV16:BV20"/>
    <mergeCell ref="BW16:BW20"/>
    <mergeCell ref="AY57:AY58"/>
    <mergeCell ref="BH60:BH61"/>
    <mergeCell ref="BI60:BI61"/>
    <mergeCell ref="BK60:BK61"/>
    <mergeCell ref="BH57:BH58"/>
    <mergeCell ref="BT31:BT36"/>
    <mergeCell ref="BT53:BT54"/>
    <mergeCell ref="BT57:BT58"/>
    <mergeCell ref="BT60:BT61"/>
    <mergeCell ref="BR31:BR36"/>
    <mergeCell ref="BR53:BR54"/>
    <mergeCell ref="BR57:BR58"/>
    <mergeCell ref="BR60:BR61"/>
    <mergeCell ref="BX53:BX54"/>
    <mergeCell ref="BU53:BU54"/>
    <mergeCell ref="AY53:AY54"/>
    <mergeCell ref="AY31:AY36"/>
    <mergeCell ref="BI53:BI54"/>
    <mergeCell ref="BK57:BK58"/>
    <mergeCell ref="BU31:BU36"/>
    <mergeCell ref="BV31:BV36"/>
    <mergeCell ref="BW31:BW36"/>
    <mergeCell ref="BA31:BA36"/>
    <mergeCell ref="BB31:BB36"/>
    <mergeCell ref="BF31:BF36"/>
    <mergeCell ref="BK31:BK36"/>
    <mergeCell ref="BW53:BW54"/>
    <mergeCell ref="BC31:BC36"/>
    <mergeCell ref="BD31:BD36"/>
    <mergeCell ref="BH31:BH36"/>
    <mergeCell ref="BO53:BO54"/>
    <mergeCell ref="BI31:BI36"/>
    <mergeCell ref="BC53:BC54"/>
    <mergeCell ref="BD53:BD54"/>
    <mergeCell ref="BO31:BO36"/>
    <mergeCell ref="BJ31:BJ36"/>
    <mergeCell ref="BV53:BV54"/>
    <mergeCell ref="BD64:BD66"/>
    <mergeCell ref="BN64:BN66"/>
    <mergeCell ref="AI64:AI66"/>
    <mergeCell ref="BM64:BM66"/>
    <mergeCell ref="BL64:BL66"/>
    <mergeCell ref="BA64:BA66"/>
    <mergeCell ref="BB64:BB66"/>
    <mergeCell ref="BC64:BC66"/>
    <mergeCell ref="BF64:BF66"/>
    <mergeCell ref="BK64:BK66"/>
    <mergeCell ref="BG64:BG66"/>
    <mergeCell ref="AW64:AW66"/>
    <mergeCell ref="AU64:AU66"/>
    <mergeCell ref="AY64:AY66"/>
    <mergeCell ref="AV64:AV66"/>
    <mergeCell ref="BH64:BH66"/>
    <mergeCell ref="D64:D66"/>
    <mergeCell ref="F64:F66"/>
    <mergeCell ref="J64:J66"/>
    <mergeCell ref="K64:K66"/>
    <mergeCell ref="D60:D61"/>
    <mergeCell ref="F60:F61"/>
    <mergeCell ref="J60:J61"/>
    <mergeCell ref="K60:K61"/>
    <mergeCell ref="AE64:AE66"/>
    <mergeCell ref="AA60:AA61"/>
    <mergeCell ref="M64:M66"/>
    <mergeCell ref="N64:N66"/>
    <mergeCell ref="X60:X61"/>
    <mergeCell ref="Y60:Y61"/>
    <mergeCell ref="V64:V66"/>
    <mergeCell ref="R60:R61"/>
    <mergeCell ref="R64:R66"/>
    <mergeCell ref="S60:S61"/>
    <mergeCell ref="O60:O61"/>
    <mergeCell ref="I60:I61"/>
    <mergeCell ref="N60:N61"/>
    <mergeCell ref="P60:P61"/>
    <mergeCell ref="L64:L66"/>
    <mergeCell ref="S64:S66"/>
    <mergeCell ref="J57:J58"/>
    <mergeCell ref="K57:K58"/>
    <mergeCell ref="L57:L58"/>
    <mergeCell ref="S57:S58"/>
    <mergeCell ref="AP57:AP58"/>
    <mergeCell ref="AQ57:AQ58"/>
    <mergeCell ref="T57:T58"/>
    <mergeCell ref="W57:W58"/>
    <mergeCell ref="N57:N58"/>
    <mergeCell ref="AF57:AF58"/>
    <mergeCell ref="R57:R58"/>
    <mergeCell ref="O57:O58"/>
    <mergeCell ref="AE57:AE58"/>
    <mergeCell ref="Z57:Z58"/>
    <mergeCell ref="P57:P58"/>
    <mergeCell ref="AC57:AC58"/>
    <mergeCell ref="AM57:AM58"/>
    <mergeCell ref="AN57:AN58"/>
    <mergeCell ref="AD57:AD58"/>
    <mergeCell ref="BX57:BX58"/>
    <mergeCell ref="BO60:BO61"/>
    <mergeCell ref="BI64:BI66"/>
    <mergeCell ref="BI57:BI58"/>
    <mergeCell ref="BU57:BU58"/>
    <mergeCell ref="BW57:BW58"/>
    <mergeCell ref="BV64:BV66"/>
    <mergeCell ref="BV57:BV58"/>
    <mergeCell ref="BJ57:BJ58"/>
    <mergeCell ref="BJ60:BJ61"/>
    <mergeCell ref="BJ64:BJ66"/>
    <mergeCell ref="BP57:BP58"/>
    <mergeCell ref="BP60:BP61"/>
    <mergeCell ref="BP64:BP66"/>
    <mergeCell ref="BV60:BV61"/>
    <mergeCell ref="BU64:BU66"/>
    <mergeCell ref="BL57:BL58"/>
    <mergeCell ref="BW60:BW61"/>
    <mergeCell ref="BT64:BT66"/>
    <mergeCell ref="BW64:BW66"/>
    <mergeCell ref="BR64:BR66"/>
    <mergeCell ref="L73:L74"/>
    <mergeCell ref="S73:S74"/>
    <mergeCell ref="AP73:AP74"/>
    <mergeCell ref="AQ73:AQ74"/>
    <mergeCell ref="AR73:AR74"/>
    <mergeCell ref="AS73:AS74"/>
    <mergeCell ref="BD73:BD74"/>
    <mergeCell ref="BH73:BH74"/>
    <mergeCell ref="N73:N74"/>
    <mergeCell ref="M73:M74"/>
    <mergeCell ref="O73:O74"/>
    <mergeCell ref="BE73:BE74"/>
    <mergeCell ref="X73:X74"/>
    <mergeCell ref="Y73:Y74"/>
    <mergeCell ref="P73:P74"/>
    <mergeCell ref="AF73:AF74"/>
    <mergeCell ref="R73:R74"/>
    <mergeCell ref="AZ73:AZ74"/>
    <mergeCell ref="AI73:AI74"/>
    <mergeCell ref="BG73:BG74"/>
    <mergeCell ref="AU73:AU74"/>
    <mergeCell ref="Z73:Z74"/>
    <mergeCell ref="AN73:AN74"/>
    <mergeCell ref="AC73:AC74"/>
    <mergeCell ref="D73:D74"/>
    <mergeCell ref="AE113:AE114"/>
    <mergeCell ref="J97:J105"/>
    <mergeCell ref="K97:K105"/>
    <mergeCell ref="L97:L105"/>
    <mergeCell ref="S97:S105"/>
    <mergeCell ref="D113:D114"/>
    <mergeCell ref="J113:J114"/>
    <mergeCell ref="K113:K114"/>
    <mergeCell ref="L113:L114"/>
    <mergeCell ref="AB73:AB74"/>
    <mergeCell ref="U73:U74"/>
    <mergeCell ref="V73:V74"/>
    <mergeCell ref="W73:W74"/>
    <mergeCell ref="AA97:AA105"/>
    <mergeCell ref="AB97:AB105"/>
    <mergeCell ref="P113:P114"/>
    <mergeCell ref="T97:T105"/>
    <mergeCell ref="F73:F74"/>
    <mergeCell ref="J73:J74"/>
    <mergeCell ref="K73:K74"/>
    <mergeCell ref="R113:R114"/>
    <mergeCell ref="S113:S114"/>
    <mergeCell ref="M113:M114"/>
    <mergeCell ref="BX113:BX114"/>
    <mergeCell ref="BH113:BH114"/>
    <mergeCell ref="BH122:BH123"/>
    <mergeCell ref="BF113:BF114"/>
    <mergeCell ref="BI113:BI114"/>
    <mergeCell ref="BE122:BE123"/>
    <mergeCell ref="BK122:BK123"/>
    <mergeCell ref="BA113:BA114"/>
    <mergeCell ref="BB113:BB114"/>
    <mergeCell ref="BB115:BB128"/>
    <mergeCell ref="BO113:BO114"/>
    <mergeCell ref="BC113:BC114"/>
    <mergeCell ref="BD113:BD114"/>
    <mergeCell ref="BG113:BG114"/>
    <mergeCell ref="BK113:BK114"/>
    <mergeCell ref="BJ113:BJ114"/>
    <mergeCell ref="BE113:BE114"/>
    <mergeCell ref="BM122:BM123"/>
    <mergeCell ref="BM113:BM114"/>
    <mergeCell ref="BN122:BN123"/>
    <mergeCell ref="BS113:BS114"/>
    <mergeCell ref="BS122:BS123"/>
    <mergeCell ref="BN113:BN114"/>
    <mergeCell ref="BL122:BL123"/>
    <mergeCell ref="BX460:BX461"/>
    <mergeCell ref="AP317:AP318"/>
    <mergeCell ref="AR317:AR318"/>
    <mergeCell ref="BB317:BB318"/>
    <mergeCell ref="BU122:BU123"/>
    <mergeCell ref="BV122:BV123"/>
    <mergeCell ref="BW122:BW123"/>
    <mergeCell ref="BX122:BX123"/>
    <mergeCell ref="BX274:BX276"/>
    <mergeCell ref="BA122:BA123"/>
    <mergeCell ref="BC122:BC123"/>
    <mergeCell ref="BD122:BD123"/>
    <mergeCell ref="BW317:BW318"/>
    <mergeCell ref="BI122:BI123"/>
    <mergeCell ref="AP115:AP128"/>
    <mergeCell ref="AR115:AR128"/>
    <mergeCell ref="AY122:AY123"/>
    <mergeCell ref="AS122:AS123"/>
    <mergeCell ref="BV317:BV318"/>
    <mergeCell ref="AV122:AV123"/>
    <mergeCell ref="AX122:AX123"/>
    <mergeCell ref="BN317:BN318"/>
    <mergeCell ref="BG317:BG318"/>
    <mergeCell ref="BP122:BP123"/>
    <mergeCell ref="BU113:BU114"/>
    <mergeCell ref="BV113:BV114"/>
    <mergeCell ref="BW113:BW114"/>
    <mergeCell ref="M122:M123"/>
    <mergeCell ref="BO97:BO105"/>
    <mergeCell ref="T113:T114"/>
    <mergeCell ref="U113:U114"/>
    <mergeCell ref="Y122:Y123"/>
    <mergeCell ref="N113:N114"/>
    <mergeCell ref="AT122:AT123"/>
    <mergeCell ref="AT97:AT105"/>
    <mergeCell ref="AT113:AT114"/>
    <mergeCell ref="AW113:AW114"/>
    <mergeCell ref="AW122:AW123"/>
    <mergeCell ref="AW97:AW105"/>
    <mergeCell ref="AU97:AU105"/>
    <mergeCell ref="AY113:AY114"/>
    <mergeCell ref="AV113:AV114"/>
    <mergeCell ref="AQ97:AQ105"/>
    <mergeCell ref="AY97:AY105"/>
    <mergeCell ref="AI113:AI114"/>
    <mergeCell ref="AI122:AI123"/>
    <mergeCell ref="BQ113:BQ114"/>
    <mergeCell ref="M97:M105"/>
    <mergeCell ref="AA113:AA114"/>
    <mergeCell ref="BB292:BB295"/>
    <mergeCell ref="AR292:AR295"/>
    <mergeCell ref="U317:U318"/>
    <mergeCell ref="W64:W66"/>
    <mergeCell ref="X64:X66"/>
    <mergeCell ref="Y64:Y66"/>
    <mergeCell ref="AA64:AA66"/>
    <mergeCell ref="AB64:AB66"/>
    <mergeCell ref="AE73:AE74"/>
    <mergeCell ref="AE97:AE105"/>
    <mergeCell ref="AZ64:AZ66"/>
    <mergeCell ref="AP64:AP66"/>
    <mergeCell ref="AQ64:AQ66"/>
    <mergeCell ref="AR64:AR66"/>
    <mergeCell ref="AS64:AS66"/>
    <mergeCell ref="AN64:AN66"/>
    <mergeCell ref="AV97:AV105"/>
    <mergeCell ref="AB122:AB123"/>
    <mergeCell ref="AH122:AH123"/>
    <mergeCell ref="F460:F461"/>
    <mergeCell ref="O122:O123"/>
    <mergeCell ref="BP113:BP114"/>
    <mergeCell ref="BL113:BL114"/>
    <mergeCell ref="AK113:AK114"/>
    <mergeCell ref="AQ113:AQ114"/>
    <mergeCell ref="AR113:AR114"/>
    <mergeCell ref="AJ122:AJ123"/>
    <mergeCell ref="BV495:BV496"/>
    <mergeCell ref="BO122:BO123"/>
    <mergeCell ref="BF122:BF123"/>
    <mergeCell ref="BG122:BG123"/>
    <mergeCell ref="BJ122:BJ123"/>
    <mergeCell ref="N122:N123"/>
    <mergeCell ref="BQ122:BQ123"/>
    <mergeCell ref="W113:W114"/>
    <mergeCell ref="AJ113:AJ114"/>
    <mergeCell ref="AP113:AP114"/>
    <mergeCell ref="AC113:AC114"/>
    <mergeCell ref="AN113:AN114"/>
    <mergeCell ref="AS113:AS114"/>
    <mergeCell ref="AZ113:AZ114"/>
    <mergeCell ref="AU113:AU114"/>
    <mergeCell ref="Z113:Z114"/>
    <mergeCell ref="BW495:BW496"/>
    <mergeCell ref="K495:K496"/>
    <mergeCell ref="L495:L496"/>
    <mergeCell ref="S495:S496"/>
    <mergeCell ref="AP495:AP496"/>
    <mergeCell ref="AR495:AR496"/>
    <mergeCell ref="AS495:AS496"/>
    <mergeCell ref="AW495:AW496"/>
    <mergeCell ref="M495:M496"/>
    <mergeCell ref="AT495:AT496"/>
    <mergeCell ref="P495:P496"/>
    <mergeCell ref="R495:R496"/>
    <mergeCell ref="AY495:AY496"/>
    <mergeCell ref="BG495:BG496"/>
    <mergeCell ref="AU495:AU496"/>
    <mergeCell ref="AV495:AV496"/>
    <mergeCell ref="AX495:AX496"/>
    <mergeCell ref="N495:N496"/>
    <mergeCell ref="AZ495:AZ496"/>
    <mergeCell ref="BN495:BN496"/>
    <mergeCell ref="O495:O496"/>
    <mergeCell ref="D122:D123"/>
    <mergeCell ref="J122:J123"/>
    <mergeCell ref="L122:L123"/>
    <mergeCell ref="S122:S123"/>
    <mergeCell ref="AQ122:AQ123"/>
    <mergeCell ref="U292:U295"/>
    <mergeCell ref="AP292:AP295"/>
    <mergeCell ref="I122:I123"/>
    <mergeCell ref="AZ122:AZ123"/>
    <mergeCell ref="V122:V123"/>
    <mergeCell ref="W122:W123"/>
    <mergeCell ref="X122:X123"/>
    <mergeCell ref="AA122:AA123"/>
    <mergeCell ref="E162:E163"/>
    <mergeCell ref="P122:P123"/>
    <mergeCell ref="AE122:AE123"/>
    <mergeCell ref="U115:U128"/>
    <mergeCell ref="T122:T123"/>
    <mergeCell ref="AN122:AN123"/>
    <mergeCell ref="K115:K128"/>
    <mergeCell ref="AU122:AU123"/>
    <mergeCell ref="Z122:Z123"/>
    <mergeCell ref="AC122:AC123"/>
    <mergeCell ref="R122:R123"/>
    <mergeCell ref="F53:F54"/>
    <mergeCell ref="D53:D54"/>
    <mergeCell ref="I3:I6"/>
    <mergeCell ref="B3:B6"/>
    <mergeCell ref="G3:G6"/>
    <mergeCell ref="AB113:AB114"/>
    <mergeCell ref="Y57:Y58"/>
    <mergeCell ref="AA57:AA58"/>
    <mergeCell ref="AB57:AB58"/>
    <mergeCell ref="J53:J54"/>
    <mergeCell ref="K53:K54"/>
    <mergeCell ref="L53:L54"/>
    <mergeCell ref="I97:I105"/>
    <mergeCell ref="I113:I114"/>
    <mergeCell ref="X57:X58"/>
    <mergeCell ref="I53:I54"/>
    <mergeCell ref="I31:I37"/>
    <mergeCell ref="I64:I66"/>
    <mergeCell ref="I57:I58"/>
    <mergeCell ref="I73:I74"/>
    <mergeCell ref="AA73:AA74"/>
    <mergeCell ref="T60:T61"/>
    <mergeCell ref="M60:M61"/>
    <mergeCell ref="R53:R54"/>
    <mergeCell ref="AV60:AV61"/>
    <mergeCell ref="BO73:BO74"/>
    <mergeCell ref="BJ73:BJ74"/>
    <mergeCell ref="BK73:BK74"/>
    <mergeCell ref="BO57:BO58"/>
    <mergeCell ref="BJ97:BJ105"/>
    <mergeCell ref="BL97:BL105"/>
    <mergeCell ref="BG97:BG105"/>
    <mergeCell ref="AW53:AW54"/>
    <mergeCell ref="AW57:AW58"/>
    <mergeCell ref="BF97:BF105"/>
    <mergeCell ref="BO64:BO66"/>
    <mergeCell ref="BG60:BG61"/>
    <mergeCell ref="BE64:BE66"/>
    <mergeCell ref="BE60:BE61"/>
    <mergeCell ref="BM53:BM54"/>
    <mergeCell ref="BM57:BM58"/>
    <mergeCell ref="BM60:BM61"/>
    <mergeCell ref="BM73:BM74"/>
    <mergeCell ref="BM97:BM105"/>
    <mergeCell ref="BL73:BL74"/>
    <mergeCell ref="BL60:BL61"/>
    <mergeCell ref="BN73:BN74"/>
    <mergeCell ref="BN97:BN105"/>
    <mergeCell ref="AT57:AT58"/>
    <mergeCell ref="BG11:BG15"/>
    <mergeCell ref="BG16:BG20"/>
    <mergeCell ref="BG31:BG36"/>
    <mergeCell ref="BG53:BG54"/>
    <mergeCell ref="BG57:BG58"/>
    <mergeCell ref="BF57:BF58"/>
    <mergeCell ref="AX11:AX15"/>
    <mergeCell ref="AW11:AW15"/>
    <mergeCell ref="AW16:AW20"/>
    <mergeCell ref="AY11:AY15"/>
    <mergeCell ref="AY16:AY20"/>
    <mergeCell ref="BF53:BF54"/>
    <mergeCell ref="AV11:AV15"/>
    <mergeCell ref="BA57:BA58"/>
    <mergeCell ref="AN31:AN36"/>
    <mergeCell ref="AP31:AP36"/>
    <mergeCell ref="BN31:BN36"/>
    <mergeCell ref="BN53:BN54"/>
    <mergeCell ref="BN57:BN58"/>
    <mergeCell ref="BN60:BN61"/>
    <mergeCell ref="BM31:BM36"/>
    <mergeCell ref="BN11:BN15"/>
    <mergeCell ref="BN16:BN20"/>
    <mergeCell ref="AQ31:AQ36"/>
    <mergeCell ref="AU53:AU54"/>
    <mergeCell ref="AU57:AU58"/>
    <mergeCell ref="BJ53:BJ54"/>
    <mergeCell ref="BF60:BF61"/>
    <mergeCell ref="AW60:AW61"/>
    <mergeCell ref="AY60:AY61"/>
    <mergeCell ref="BL31:BL36"/>
    <mergeCell ref="BL53:BL54"/>
    <mergeCell ref="BH53:BH54"/>
    <mergeCell ref="BK53:BK54"/>
    <mergeCell ref="AT60:AT61"/>
    <mergeCell ref="AU60:AU61"/>
    <mergeCell ref="AR60:AR61"/>
    <mergeCell ref="AS60:AS61"/>
  </mergeCells>
  <phoneticPr fontId="71" type="noConversion"/>
  <hyperlinks>
    <hyperlink ref="E79" r:id="rId1" display="MK 24.03.2020 not. Nr. 153 &quot;Grozījumi Ministru kabineta 2020.gada 19.marta noteikumos Nr.149 &quot;Noteikumi par apgrozāmo līdzekļu aizdevumiem saimnieciskās darbības veicējiem, kuru darbību ietekmējusi Covid-19 izplatība&quot;&quot;" xr:uid="{00000000-0004-0000-0000-000000000000}"/>
    <hyperlink ref="E81" r:id="rId2" display="MK 24.03.2020 not. Nr. 154 &quot;Grozījumi Ministru kabineta 2020.gada 19.marta noteikumos Nr.150 &quot;Noteikumi par garantijām saimnieciskās darbības veicējiem, kuru darbību ietekmējusi Covid-19 izplatība&quot;&quot;" xr:uid="{00000000-0004-0000-0000-000001000000}"/>
    <hyperlink ref="E116" r:id="rId3" display="MK 27.03.2020. rīkojums Nr.137" xr:uid="{00000000-0004-0000-0000-000002000000}"/>
    <hyperlink ref="E115" r:id="rId4" xr:uid="{00000000-0004-0000-0000-000003000000}"/>
    <hyperlink ref="E109" r:id="rId5" display="MK rīkojums Nr.80 &quot;Par apropriācijas palielināšanuVeselības ministrijai&quot;" xr:uid="{00000000-0004-0000-0000-000004000000}"/>
    <hyperlink ref="E283" r:id="rId6" display="MK rīk. Nr.117 19.03.2020 &quot;Par iekārtu iegādi un dāvinājumapieņemšanu attālināta mācību procesa nodrošināšanai ārkārtējāssituācijas laikā&quot;" xr:uid="{00000000-0004-0000-0000-000005000000}"/>
    <hyperlink ref="E391" r:id="rId7" xr:uid="{00000000-0004-0000-0000-000006000000}"/>
    <hyperlink ref="E393" r:id="rId8" display="MK 07.04.2020. rīkojums Nr.160 &quot;Par finanšu līdzekļu piešķiršanu no valsts budžeta programmas &quot;Līdzekļi neparedzētiem gadījumiem&quot;&quot;" xr:uid="{00000000-0004-0000-0000-000007000000}"/>
    <hyperlink ref="E392" r:id="rId9" display="MK 19.03.2020. rīkojums Nr.116 &quot;GrozījumiMinistru kabineta 2020. gada 10. marta rīkojumā Nr. 100 &quot;Parfinanšu līdzekļu piešķiršanu no valsts budžeta programmas&quot;Līdzekļi neparedzētiem gadījumiem&quot;&quot;&quot;" xr:uid="{00000000-0004-0000-0000-000008000000}"/>
    <hyperlink ref="E48" r:id="rId10" display="Pieņemts Saeimā 20.03.2020. Grozījums likumā &quot;Par maternitātes un slimības apdrošināšanu&quot;." xr:uid="{00000000-0004-0000-0000-000009000000}"/>
    <hyperlink ref="E31" r:id="rId11" display="MK noteikumi Nr. 165 &quot;Noteikumi par Covid-19 krīzē skartiem uzņēmumiem, kuri kvalificējas dīkstāves pabalstam un nokavēto nodokļu maksājumu samaksas sadalei termiņos vai atlikšanai uz laiku līdz trim gadiem&quot;" xr:uid="{00000000-0004-0000-0000-00000A000000}"/>
    <hyperlink ref="E32" r:id="rId12" display="MK noteikumi Nr. 179 &quot;Noteikumi par dīkstāves pabalstu pašnodarbinātām personām, kuras skārusi Covid-19 izplatība&quot;" xr:uid="{00000000-0004-0000-0000-00000B000000}"/>
    <hyperlink ref="E33" r:id="rId13" display="MK noteikumi Nr.184 &quot;Grozījumi Ministru kabineta 2020.gada 26. marta noteikumos Nr. 165 &quot;Noteikumi par Covid-19 izraisītās krīzes skartiem darba devējiem, kuri kvalificējas dīkstāves pabalstam un nokavēto nodokļu maksājumu samaksas sadalei termiņos vai at" xr:uid="{00000000-0004-0000-0000-00000C000000}"/>
    <hyperlink ref="E67" r:id="rId14" xr:uid="{00000000-0004-0000-0000-00000D000000}"/>
    <hyperlink ref="E394" r:id="rId15" display="MK 07.04.2020. rīkojums Nr.160 &quot;Par finanšu līdzekļu piešķiršanu no valsts budžeta programmas &quot;Līdzekļi neparedzētiem gadījumiem&quot;&quot;" xr:uid="{00000000-0004-0000-0000-00000E000000}"/>
    <hyperlink ref="E34" r:id="rId16" display="MK noteikumi Nr. 205 &quot;Grozījumi Ministru kabineta 2020.gada 26. marta noteikumos Nr. 165 &quot;Noteikumi par Covid-19izraisītās krīzes skartiem darba devējiem, kuri kvalificējasdīkstāves pabalstam un nokavēto nodokļu maksājumu samaksassadalei termiņos vai atli" xr:uid="{00000000-0004-0000-0000-00000F000000}"/>
    <hyperlink ref="E265" r:id="rId17" display="MK rīkojums Nr.120 &quot;Par valsts akciju sabiedrības &quot;Latvijas gaisa satiksme&quot; pamatkapitāla palielināšanu&quot;" xr:uid="{00000000-0004-0000-0000-000010000000}"/>
    <hyperlink ref="E35" r:id="rId18" xr:uid="{00000000-0004-0000-0000-000011000000}"/>
    <hyperlink ref="E405" r:id="rId19" xr:uid="{00000000-0004-0000-0000-000012000000}"/>
    <hyperlink ref="E83" r:id="rId20" display="MK 24.03.2020 not. Nr. 155 &quot;Grozījumi Ministru kabineta 2017.gada 5.septembra noteikumos Nr.537 &quot;Noteikumi par portfeļgarantijām sīko (mikro), mazo un vidējo komersantu kreditēšanas veicināšanai&quot;&quot;" xr:uid="{00000000-0004-0000-0000-000013000000}"/>
    <hyperlink ref="E266" r:id="rId21" xr:uid="{00000000-0004-0000-0000-000014000000}"/>
    <hyperlink ref="E291" r:id="rId22" xr:uid="{00000000-0004-0000-0000-000015000000}"/>
    <hyperlink ref="E415" r:id="rId23" xr:uid="{00000000-0004-0000-0000-000016000000}"/>
    <hyperlink ref="E71" r:id="rId24" xr:uid="{00000000-0004-0000-0000-000017000000}"/>
    <hyperlink ref="E416" r:id="rId25" xr:uid="{00000000-0004-0000-0000-000018000000}"/>
    <hyperlink ref="E493" r:id="rId26" xr:uid="{00000000-0004-0000-0000-000019000000}"/>
    <hyperlink ref="E495" r:id="rId27" xr:uid="{00000000-0004-0000-0000-00001A000000}"/>
    <hyperlink ref="E496" r:id="rId28" xr:uid="{00000000-0004-0000-0000-00001B000000}"/>
    <hyperlink ref="E85" r:id="rId29" xr:uid="{00000000-0004-0000-0000-00001C000000}"/>
    <hyperlink ref="E317" r:id="rId30" xr:uid="{00000000-0004-0000-0000-00001D000000}"/>
    <hyperlink ref="E438" r:id="rId31" xr:uid="{00000000-0004-0000-0000-00001E000000}"/>
    <hyperlink ref="E62" r:id="rId32" xr:uid="{00000000-0004-0000-0000-00001F000000}"/>
    <hyperlink ref="E70" r:id="rId33" xr:uid="{00000000-0004-0000-0000-000020000000}"/>
    <hyperlink ref="E498" r:id="rId34" display="MK noteikumi &quot;Noteikumi par valsts atbalstu īstermiņa aizdevumiem lauksaimniecībā Covid-19 izplatības negatīvās ietekmes mazināšanai&quot;" xr:uid="{00000000-0004-0000-0000-000021000000}"/>
    <hyperlink ref="E318" r:id="rId35" display="http://tap.mk.gov.lv/lv/mk/tap/?pid=40488130&amp;mode=mk&amp;date=2020-06-02" xr:uid="{00000000-0004-0000-0000-000022000000}"/>
    <hyperlink ref="E274" r:id="rId36" display="MK __.07.2020. rīk. Nr.___ &quot;Par finanšu līdzekļu piešķiršanu no valsts budžeta programmas 02.00.00 Līdzekļi neparedzētiem gadījumiem&quot;" xr:uid="{00000000-0004-0000-0000-000023000000}"/>
    <hyperlink ref="E275" r:id="rId37" display="MK __.07.2020. rīk. Nr.___  &quot;Par finanšu līdzekļu piešķiršanu valsts akciju sabiedrībai &quot;Latvijas dzelzceļš&quot;&quot;" xr:uid="{00000000-0004-0000-0000-000024000000}"/>
    <hyperlink ref="E500" r:id="rId38" display="http://tap.mk.gov.lv/lv/mk/tap/?pid=40489541&amp;mode=mk&amp;date=2020-07-14" xr:uid="{00000000-0004-0000-0000-000025000000}"/>
    <hyperlink ref="E91" r:id="rId39" xr:uid="{00000000-0004-0000-0000-000026000000}"/>
    <hyperlink ref="E464" r:id="rId40" display="Rīkojuma projekts &quot;Par finanšu līdzekļu piešķiršanu no valsts budžeta programmas &quot;Līdzekļi neparedzētiem gadījumiem&quot;&quot; " xr:uid="{00000000-0004-0000-0000-000027000000}"/>
    <hyperlink ref="E319" r:id="rId41" xr:uid="{00000000-0004-0000-0000-000028000000}"/>
    <hyperlink ref="E465" r:id="rId42" xr:uid="{00000000-0004-0000-0000-000029000000}"/>
    <hyperlink ref="E60" r:id="rId43" display="MK 01.04.2020. rīk. Nr.141 &quot;Par finanšu līdzekļu piešķiršanuno valsts budžeta programmas &quot;Līdzekļi neparedzētiemgadījumiem&quot;&quot; " xr:uid="{00000000-0004-0000-0000-00002A000000}"/>
    <hyperlink ref="E39" r:id="rId44" xr:uid="{00000000-0004-0000-0000-00002B000000}"/>
    <hyperlink ref="E463" r:id="rId45" xr:uid="{00000000-0004-0000-0000-00002C000000}"/>
    <hyperlink ref="E471" r:id="rId46" xr:uid="{00000000-0004-0000-0000-00002D000000}"/>
    <hyperlink ref="E418" r:id="rId47" xr:uid="{00000000-0004-0000-0000-00002E000000}"/>
    <hyperlink ref="E439" r:id="rId48" xr:uid="{00000000-0004-0000-0000-00002F000000}"/>
    <hyperlink ref="E440" r:id="rId49" xr:uid="{00000000-0004-0000-0000-000030000000}"/>
    <hyperlink ref="E396" r:id="rId50" xr:uid="{00000000-0004-0000-0000-000031000000}"/>
    <hyperlink ref="E112" r:id="rId51" display="MK rīk Nr.118 20.03.2020." xr:uid="{00000000-0004-0000-0000-000032000000}"/>
    <hyperlink ref="E114" r:id="rId52" xr:uid="{00000000-0004-0000-0000-000033000000}"/>
    <hyperlink ref="E110" r:id="rId53" display="MK 09.04.2020. rīkojums Nr.176&quot;Par apropriācijas palielināšanu Veselības ministrijai&quot;" xr:uid="{00000000-0004-0000-0000-000034000000}"/>
    <hyperlink ref="E419" r:id="rId54" xr:uid="{00000000-0004-0000-0000-000035000000}"/>
    <hyperlink ref="E36" r:id="rId55" xr:uid="{00000000-0004-0000-0000-000036000000}"/>
    <hyperlink ref="E37" r:id="rId56" xr:uid="{00000000-0004-0000-0000-000037000000}"/>
    <hyperlink ref="E40" r:id="rId57" xr:uid="{00000000-0004-0000-0000-000038000000}"/>
    <hyperlink ref="E54" r:id="rId58" xr:uid="{00000000-0004-0000-0000-000039000000}"/>
    <hyperlink ref="E276" r:id="rId59" display="MK __.07.2020. rīk. Nr.___ &quot;Par valsts akciju sabiedrības &quot;Latvijas dzelzceļš&quot; pamatkapitāla palielināšanu&quot;" xr:uid="{00000000-0004-0000-0000-00003A000000}"/>
    <hyperlink ref="E49" r:id="rId60" xr:uid="{00000000-0004-0000-0000-00003B000000}"/>
    <hyperlink ref="E68" r:id="rId61" display="Rīkojums &quot;Par finanšu līdzekļu piešķiršanu no valsts budžeta programmas &quot;Līdzekļi neparedzētiem gadījumiem&quot;&quot; " xr:uid="{00000000-0004-0000-0000-00003C000000}"/>
    <hyperlink ref="E63" r:id="rId62" xr:uid="{00000000-0004-0000-0000-00003D000000}"/>
    <hyperlink ref="E320" r:id="rId63" display="Rīkojuma projekts &quot;Par finanšu līdzekļu piešķiršanu no valsts budžeta programmas &quot;Līdzekļi neparedzētiem gadījumiem&quot;&quot;" xr:uid="{00000000-0004-0000-0000-00003E000000}"/>
    <hyperlink ref="E322" r:id="rId64" xr:uid="{00000000-0004-0000-0000-00003F000000}"/>
    <hyperlink ref="E420" r:id="rId65" xr:uid="{00000000-0004-0000-0000-000040000000}"/>
    <hyperlink ref="E74" r:id="rId66" xr:uid="{00000000-0004-0000-0000-000041000000}"/>
    <hyperlink ref="E421" r:id="rId67" xr:uid="{00000000-0004-0000-0000-000042000000}"/>
    <hyperlink ref="E135" r:id="rId68" display="Noteikumi &quot;Grozījumi Ministru kabineta 2018.gada 28.augusta noteikumos Nr.555 &quot;Veselības aprūpes pakalpojumu organizēšanas un samaksas kārtība&quot;&quot;" xr:uid="{00000000-0004-0000-0000-000043000000}"/>
    <hyperlink ref="E92" r:id="rId69" xr:uid="{00000000-0004-0000-0000-000044000000}"/>
    <hyperlink ref="E466" r:id="rId70" xr:uid="{00000000-0004-0000-0000-000045000000}"/>
    <hyperlink ref="E66" r:id="rId71" xr:uid="{00000000-0004-0000-0000-000046000000}"/>
    <hyperlink ref="E462" r:id="rId72" xr:uid="{00000000-0004-0000-0000-000047000000}"/>
    <hyperlink ref="E137" r:id="rId73" xr:uid="{00000000-0004-0000-0000-000048000000}"/>
    <hyperlink ref="E323" r:id="rId74" xr:uid="{00000000-0004-0000-0000-000049000000}"/>
    <hyperlink ref="E138" r:id="rId75" xr:uid="{00000000-0004-0000-0000-00004A000000}"/>
    <hyperlink ref="E22" r:id="rId76" xr:uid="{00000000-0004-0000-0000-00004B000000}"/>
    <hyperlink ref="E11:E20" r:id="rId77" display="&quot;Covid-19 infekcijas izplatības seku pārvarēšanas likums&quot;; Likums &quot;Par valsts apdraudējuma un tā seku novēršanas un pārvarēšanas pasākumiem sakarā ar Covid-19 izplatību&quot; [zaudējis spēku]" xr:uid="{00000000-0004-0000-0000-00004C000000}"/>
    <hyperlink ref="E24" r:id="rId78" xr:uid="{00000000-0004-0000-0000-00004D000000}"/>
    <hyperlink ref="E28" r:id="rId79" display="&quot;Covid-19 infekcijas izplatības seku pārvarēšanas likums&quot;; Likums &quot;Par valsts apdraudējuma un tā seku novēršanas un pārvarēšanas pasākumiem sakarā ar Covid-19 izplatību&quot; [zaudējis spēku]" xr:uid="{00000000-0004-0000-0000-00004E000000}"/>
    <hyperlink ref="E61" r:id="rId80" xr:uid="{00000000-0004-0000-0000-00004F000000}"/>
    <hyperlink ref="E69" r:id="rId81" xr:uid="{00000000-0004-0000-0000-000050000000}"/>
    <hyperlink ref="E57" r:id="rId82" xr:uid="{00000000-0004-0000-0000-000051000000}"/>
    <hyperlink ref="E58" r:id="rId83" xr:uid="{00000000-0004-0000-0000-000052000000}"/>
    <hyperlink ref="E72" r:id="rId84" display="Noteikumi Nr.294 &quot;Grozījums Ministru kabineta 2009.gada 22.decembra noteikumos Nr.1517 &quot;Noteikumi par ģimenes valsts pabalstu un piemaksām pie ģimenes valsts pabalsta&quot;" xr:uid="{00000000-0004-0000-0000-000053000000}"/>
    <hyperlink ref="E73" r:id="rId85" display="MK rīk. Nr.368 &quot;Par finanšu līdzekļu piešķiršanu no valsts budžeta programmas &quot;Līdzekļi neparedzētiem gadījumiem&quot;&quot; " xr:uid="{00000000-0004-0000-0000-000054000000}"/>
    <hyperlink ref="E113" r:id="rId86" xr:uid="{00000000-0004-0000-0000-000055000000}"/>
    <hyperlink ref="E136" r:id="rId87" display="Noteikumi &quot;Grozījumi Ministru kabineta 2018.gada 28.augusta noteikumos Nr.555 &quot;Veselības aprūpes pakalpojumu organizēšanas un samaksas kārtība&quot;&quot;" xr:uid="{00000000-0004-0000-0000-000056000000}"/>
    <hyperlink ref="E134" r:id="rId88" xr:uid="{00000000-0004-0000-0000-000057000000}"/>
    <hyperlink ref="E285" r:id="rId89" xr:uid="{00000000-0004-0000-0000-000058000000}"/>
    <hyperlink ref="E142" r:id="rId90" xr:uid="{00000000-0004-0000-0000-000059000000}"/>
    <hyperlink ref="E53" r:id="rId91" xr:uid="{00000000-0004-0000-0000-00005A000000}"/>
    <hyperlink ref="E64" r:id="rId92" xr:uid="{00000000-0004-0000-0000-00005B000000}"/>
    <hyperlink ref="E143" r:id="rId93" xr:uid="{00000000-0004-0000-0000-00005C000000}"/>
    <hyperlink ref="E41" r:id="rId94" xr:uid="{00000000-0004-0000-0000-00005D000000}"/>
    <hyperlink ref="E282" r:id="rId95" xr:uid="{00000000-0004-0000-0000-00005E000000}"/>
    <hyperlink ref="E292" r:id="rId96" xr:uid="{00000000-0004-0000-0000-00005F000000}"/>
    <hyperlink ref="E293" r:id="rId97" xr:uid="{00000000-0004-0000-0000-000060000000}"/>
    <hyperlink ref="E294" r:id="rId98" xr:uid="{00000000-0004-0000-0000-000061000000}"/>
    <hyperlink ref="E295" r:id="rId99" xr:uid="{00000000-0004-0000-0000-000062000000}"/>
    <hyperlink ref="E297" r:id="rId100" xr:uid="{00000000-0004-0000-0000-000063000000}"/>
    <hyperlink ref="E296" r:id="rId101" xr:uid="{00000000-0004-0000-0000-000064000000}"/>
    <hyperlink ref="E144" r:id="rId102" xr:uid="{00000000-0004-0000-0000-000065000000}"/>
    <hyperlink ref="E324" r:id="rId103" xr:uid="{00000000-0004-0000-0000-000066000000}"/>
    <hyperlink ref="E406" r:id="rId104" xr:uid="{00000000-0004-0000-0000-000067000000}"/>
    <hyperlink ref="E472" r:id="rId105" xr:uid="{00000000-0004-0000-0000-000068000000}"/>
    <hyperlink ref="E146" r:id="rId106" xr:uid="{00000000-0004-0000-0000-000069000000}"/>
    <hyperlink ref="E147" r:id="rId107" xr:uid="{00000000-0004-0000-0000-00006A000000}"/>
    <hyperlink ref="E286" r:id="rId108" xr:uid="{00000000-0004-0000-0000-00006B000000}"/>
    <hyperlink ref="E417" r:id="rId109" xr:uid="{00000000-0004-0000-0000-00006C000000}"/>
    <hyperlink ref="E321" r:id="rId110" xr:uid="{00000000-0004-0000-0000-00006D000000}"/>
    <hyperlink ref="E422" r:id="rId111" xr:uid="{00000000-0004-0000-0000-00006E000000}"/>
    <hyperlink ref="E467" r:id="rId112" xr:uid="{00000000-0004-0000-0000-00006F000000}"/>
    <hyperlink ref="E397" r:id="rId113" xr:uid="{00000000-0004-0000-0000-000070000000}"/>
    <hyperlink ref="E133" r:id="rId114" display="Informatīvais ziņojums “ Veselības nozares kapacitātes celšana un noturības stiprināšana Covid-19 apstākļos Latvijā”" xr:uid="{00000000-0004-0000-0000-000071000000}"/>
    <hyperlink ref="E139" r:id="rId115" display="Informatīvais ziņojums &quot;Par Covid-19 vakcīnu iepirkšanu&quot;" xr:uid="{00000000-0004-0000-0000-000072000000}"/>
    <hyperlink ref="E141" r:id="rId116" display="Informatīvais ziņojums “Par Moderna ražoto vakcīnu pret Covid-19 iegādi" xr:uid="{00000000-0004-0000-0000-000073000000}"/>
    <hyperlink ref="E145" r:id="rId117" display="Informatīvais ziņojums &quot;Par CureVac ražoto vakcīnu pret Covid-19 devu iegādi&quot; " xr:uid="{00000000-0004-0000-0000-000074000000}"/>
    <hyperlink ref="E148" r:id="rId118" display="http://tap.mk.gov.lv/lv/mk/tap/?pid=40497627&amp;mode=mk&amp;date=2021-01-28" xr:uid="{00000000-0004-0000-0000-000075000000}"/>
    <hyperlink ref="E149" r:id="rId119" display="http://tap.mk.gov.lv/lv/mk/tap/?pid=40497627&amp;mode=mk&amp;date=2021-01-28" xr:uid="{00000000-0004-0000-0000-000076000000}"/>
    <hyperlink ref="E150" r:id="rId120" xr:uid="{00000000-0004-0000-0000-000077000000}"/>
    <hyperlink ref="E151" r:id="rId121" display="Informatīvais ziņojums &quot;Par vakcīnām pret Covid-19&quot;" xr:uid="{00000000-0004-0000-0000-000078000000}"/>
    <hyperlink ref="E152" r:id="rId122" xr:uid="{00000000-0004-0000-0000-000079000000}"/>
    <hyperlink ref="E153" r:id="rId123" xr:uid="{00000000-0004-0000-0000-00007A000000}"/>
    <hyperlink ref="E287" r:id="rId124" xr:uid="{00000000-0004-0000-0000-00007B000000}"/>
    <hyperlink ref="E325" r:id="rId125" xr:uid="{00000000-0004-0000-0000-00007C000000}"/>
    <hyperlink ref="E155" r:id="rId126" xr:uid="{00000000-0004-0000-0000-00007D000000}"/>
    <hyperlink ref="E156" r:id="rId127" xr:uid="{00000000-0004-0000-0000-00007E000000}"/>
    <hyperlink ref="E154" r:id="rId128" xr:uid="{00000000-0004-0000-0000-00007F000000}"/>
    <hyperlink ref="E87" r:id="rId129" xr:uid="{00000000-0004-0000-0000-000080000000}"/>
    <hyperlink ref="E140" r:id="rId130" xr:uid="{00000000-0004-0000-0000-000081000000}"/>
    <hyperlink ref="E158" r:id="rId131" xr:uid="{00000000-0004-0000-0000-000082000000}"/>
    <hyperlink ref="E398" r:id="rId132" display="MK rīk. Nr.60 &quot;Par finanšu līdzekļu piešķiršanu no valsts budžeta programmas &quot;Līdzekļi neparedzētiem gadījumiem&quot;&quot;" xr:uid="{00000000-0004-0000-0000-000083000000}"/>
    <hyperlink ref="E327" r:id="rId133" xr:uid="{00000000-0004-0000-0000-000084000000}"/>
    <hyperlink ref="E407" r:id="rId134" xr:uid="{00000000-0004-0000-0000-000085000000}"/>
    <hyperlink ref="E326" r:id="rId135" xr:uid="{00000000-0004-0000-0000-000086000000}"/>
    <hyperlink ref="E424" r:id="rId136" xr:uid="{00000000-0004-0000-0000-000087000000}"/>
    <hyperlink ref="E423" r:id="rId137" xr:uid="{00000000-0004-0000-0000-000088000000}"/>
    <hyperlink ref="E399" r:id="rId138" xr:uid="{00000000-0004-0000-0000-000089000000}"/>
    <hyperlink ref="E473" r:id="rId139" display="Rīkojums &quot;Par finansējuma sadalījumu pašvaldībām Covid-19 izraisītās krīzes pārvarēšanas un seku novēršanas pasākumu īstenošanai&quot;" xr:uid="{00000000-0004-0000-0000-00008A000000}"/>
    <hyperlink ref="E298" r:id="rId140" xr:uid="{00000000-0004-0000-0000-00008B000000}"/>
    <hyperlink ref="E132" r:id="rId141" xr:uid="{00000000-0004-0000-0000-00008C000000}"/>
    <hyperlink ref="E159" r:id="rId142" xr:uid="{00000000-0004-0000-0000-00008D000000}"/>
    <hyperlink ref="E299" r:id="rId143" xr:uid="{00000000-0004-0000-0000-00008E000000}"/>
    <hyperlink ref="E160" r:id="rId144" xr:uid="{00000000-0004-0000-0000-000090000000}"/>
    <hyperlink ref="E267" r:id="rId145" xr:uid="{00000000-0004-0000-0000-000091000000}"/>
    <hyperlink ref="E161" r:id="rId146" xr:uid="{00000000-0004-0000-0000-000092000000}"/>
    <hyperlink ref="E65" r:id="rId147" xr:uid="{00000000-0004-0000-0000-000093000000}"/>
    <hyperlink ref="E408" r:id="rId148" xr:uid="{00000000-0004-0000-0000-000094000000}"/>
    <hyperlink ref="E400" r:id="rId149" xr:uid="{00000000-0004-0000-0000-000095000000}"/>
    <hyperlink ref="E414" r:id="rId150" display="Rīkojums &quot;Par finanšu līdzekļu piešķiršanu no valsts budžeta programmas &quot;Līdzekļi neparedzētiem gadījumiem&quot; reliģisko savienību (baznīcu) garīgā un kalpojošā personāla atbalstam saistībā ar Covid-19&quot; " xr:uid="{00000000-0004-0000-0000-000096000000}"/>
    <hyperlink ref="E272" r:id="rId151" xr:uid="{00000000-0004-0000-0000-000097000000}"/>
    <hyperlink ref="E288" r:id="rId152" xr:uid="{00000000-0004-0000-0000-000098000000}"/>
    <hyperlink ref="E352" r:id="rId153" xr:uid="{00000000-0004-0000-0000-000099000000}"/>
    <hyperlink ref="E441" r:id="rId154" xr:uid="{00000000-0004-0000-0000-00009A000000}"/>
    <hyperlink ref="E164" r:id="rId155" display="MK rīk. Nr.226 &quot;Par finanšu līdzekļu piešķiršanu no valsts budžeta programmas &quot;Līdzekļi neparedzētiem gadījumiem&quot;&quot;" xr:uid="{00000000-0004-0000-0000-00009B000000}"/>
    <hyperlink ref="E44" r:id="rId156" xr:uid="{00000000-0004-0000-0000-00009C000000}"/>
    <hyperlink ref="E271" r:id="rId157" xr:uid="{00000000-0004-0000-0000-00009D000000}"/>
    <hyperlink ref="E162:E163" r:id="rId158" display="Rīkojums Nr.247 &quot;Par finanšu līdzekļu piešķiršanu no valsts budžeta programmas &quot;Līdzekļi neparedzētiem gadījumiem&quot;&quot;" xr:uid="{00000000-0004-0000-0000-00009E000000}"/>
    <hyperlink ref="E328" r:id="rId159" xr:uid="{00000000-0004-0000-0000-00009F000000}"/>
    <hyperlink ref="E329" r:id="rId160" xr:uid="{00000000-0004-0000-0000-0000A0000000}"/>
    <hyperlink ref="E425" r:id="rId161" xr:uid="{00000000-0004-0000-0000-0000A1000000}"/>
    <hyperlink ref="E305" r:id="rId162" xr:uid="{00000000-0004-0000-0000-0000A2000000}"/>
    <hyperlink ref="E96" r:id="rId163" xr:uid="{00000000-0004-0000-0000-0000A3000000}"/>
    <hyperlink ref="E111" r:id="rId164" xr:uid="{00000000-0004-0000-0000-0000A4000000}"/>
    <hyperlink ref="E409" r:id="rId165" xr:uid="{00000000-0004-0000-0000-0000A5000000}"/>
    <hyperlink ref="E168" r:id="rId166" display="Informatīvais ziņojums &quot;Par pieteikumu Janssen vakcīnai&quot;" xr:uid="{00000000-0004-0000-0000-0000A6000000}"/>
    <hyperlink ref="E167" r:id="rId167" xr:uid="{00000000-0004-0000-0000-0000A7000000}"/>
    <hyperlink ref="E300" r:id="rId168" display="Rīkojuma projekts &quot;Par finanšu līdzekļu piešķiršanu no valsts budžeta programmas &quot;Līdzekļi neparedzētiem gadījumiem&quot;&quot;" xr:uid="{00000000-0004-0000-0000-0000A8000000}"/>
    <hyperlink ref="E277" r:id="rId169" display="Rīkojums &quot;Par finanšu līdzekļu piešķiršanu no valsts budžeta programmas 02.00.00 &quot;Līdzekļi neparedzētiem gadījumiem&quot;&quot;" xr:uid="{00000000-0004-0000-0000-0000A9000000}"/>
    <hyperlink ref="E353" r:id="rId170" xr:uid="{00000000-0004-0000-0000-0000AA000000}"/>
    <hyperlink ref="E97" r:id="rId171" xr:uid="{00000000-0004-0000-0000-0000AB000000}"/>
    <hyperlink ref="E98" r:id="rId172" xr:uid="{00000000-0004-0000-0000-0000AC000000}"/>
    <hyperlink ref="E410" r:id="rId173" xr:uid="{00000000-0004-0000-0000-0000AD000000}"/>
    <hyperlink ref="E166" r:id="rId174" xr:uid="{00000000-0004-0000-0000-0000AE000000}"/>
    <hyperlink ref="E169" r:id="rId175" xr:uid="{00000000-0004-0000-0000-0000AF000000}"/>
    <hyperlink ref="E170" r:id="rId176" xr:uid="{00000000-0004-0000-0000-0000B0000000}"/>
    <hyperlink ref="E301" r:id="rId177" xr:uid="{00000000-0004-0000-0000-0000B1000000}"/>
    <hyperlink ref="E354" r:id="rId178" xr:uid="{00000000-0004-0000-0000-0000B2000000}"/>
    <hyperlink ref="E426" r:id="rId179" xr:uid="{00000000-0004-0000-0000-0000B3000000}"/>
    <hyperlink ref="E411" r:id="rId180" xr:uid="{00000000-0004-0000-0000-0000B4000000}"/>
    <hyperlink ref="E330" r:id="rId181" xr:uid="{00000000-0004-0000-0000-0000B5000000}"/>
    <hyperlink ref="E427" r:id="rId182" xr:uid="{00000000-0004-0000-0000-0000B6000000}"/>
    <hyperlink ref="E302" r:id="rId183" xr:uid="{00000000-0004-0000-0000-0000B7000000}"/>
    <hyperlink ref="E428" r:id="rId184" display="Rīkojuma projekts &quot;Par finanšu līdzekļu piešķiršanu no valsts budžeta programmas &quot;Līdzekļi neparedzētiem gadījumiem&quot;&quot;" xr:uid="{00000000-0004-0000-0000-0000B8000000}"/>
    <hyperlink ref="E355" r:id="rId185" xr:uid="{00000000-0004-0000-0000-0000B9000000}"/>
    <hyperlink ref="E171" r:id="rId186" xr:uid="{00000000-0004-0000-0000-0000BA000000}"/>
    <hyperlink ref="E131" r:id="rId187" xr:uid="{00000000-0004-0000-0000-0000BB000000}"/>
    <hyperlink ref="E130" r:id="rId188" xr:uid="{00000000-0004-0000-0000-0000BC000000}"/>
    <hyperlink ref="E125" r:id="rId189" display="MK rīkojums Nr. 614 &quot;Par finanšu līdzekļu piešķiršanu no valsts budžeta programmas &quot;Līdzekļi neparedzētiem gadījumiem&quot;&quot; " xr:uid="{00000000-0004-0000-0000-0000BD000000}"/>
    <hyperlink ref="E123" r:id="rId190" xr:uid="{00000000-0004-0000-0000-0000BE000000}"/>
    <hyperlink ref="E122" r:id="rId191" xr:uid="{00000000-0004-0000-0000-0000BF000000}"/>
    <hyperlink ref="E120" r:id="rId192" display="Noteikumu projekts &quot;Grozījumi Ministru kabineta 2018.gada 28.augusta noteikumos Nr.555 &quot;Veselības aprūpes pakalpojumu organizēšanas un samaksas kārtība&quot;&quot;" xr:uid="{00000000-0004-0000-0000-0000C0000000}"/>
    <hyperlink ref="E129" r:id="rId193" xr:uid="{00000000-0004-0000-0000-0000C1000000}"/>
    <hyperlink ref="E119" r:id="rId194" xr:uid="{00000000-0004-0000-0000-0000C2000000}"/>
    <hyperlink ref="E128" r:id="rId195" xr:uid="{00000000-0004-0000-0000-0000C3000000}"/>
    <hyperlink ref="E127" r:id="rId196" xr:uid="{00000000-0004-0000-0000-0000C4000000}"/>
    <hyperlink ref="E124" r:id="rId197" xr:uid="{00000000-0004-0000-0000-0000C5000000}"/>
    <hyperlink ref="E121" r:id="rId198" xr:uid="{00000000-0004-0000-0000-0000C6000000}"/>
    <hyperlink ref="E118" r:id="rId199" xr:uid="{00000000-0004-0000-0000-0000C7000000}"/>
    <hyperlink ref="E117" r:id="rId200" xr:uid="{00000000-0004-0000-0000-0000C8000000}"/>
    <hyperlink ref="E331" r:id="rId201" xr:uid="{00000000-0004-0000-0000-0000C9000000}"/>
    <hyperlink ref="E356" r:id="rId202" display="Rīkojuma projekts &quot;Par finanšu līdzekļu piešķiršanu no valsts budžeta programmas &quot;Līdzekļi neparedzētiem gadījumiem&quot;&quot;" xr:uid="{00000000-0004-0000-0000-0000CA000000}"/>
    <hyperlink ref="E332" r:id="rId203" xr:uid="{00000000-0004-0000-0000-0000CB000000}"/>
    <hyperlink ref="E477" r:id="rId204" xr:uid="{00000000-0004-0000-0000-0000CC000000}"/>
    <hyperlink ref="E357" r:id="rId205" xr:uid="{00000000-0004-0000-0000-0000CD000000}"/>
    <hyperlink ref="E358" r:id="rId206" xr:uid="{00000000-0004-0000-0000-0000CE000000}"/>
    <hyperlink ref="E359" r:id="rId207" xr:uid="{00000000-0004-0000-0000-0000CF000000}"/>
    <hyperlink ref="E360" r:id="rId208" xr:uid="{00000000-0004-0000-0000-0000D0000000}"/>
    <hyperlink ref="E361" r:id="rId209" xr:uid="{00000000-0004-0000-0000-0000D1000000}"/>
    <hyperlink ref="E362" r:id="rId210" xr:uid="{00000000-0004-0000-0000-0000D2000000}"/>
    <hyperlink ref="E363" r:id="rId211" xr:uid="{00000000-0004-0000-0000-0000D3000000}"/>
    <hyperlink ref="E333" r:id="rId212" xr:uid="{00000000-0004-0000-0000-0000D4000000}"/>
    <hyperlink ref="E172" r:id="rId213" display="http://tap.mk.gov.lv/mk/mksedes/saraksts/protokols/?protokols=2021-06-08" xr:uid="{00000000-0004-0000-0000-0000D5000000}"/>
    <hyperlink ref="E442" r:id="rId214" xr:uid="{00000000-0004-0000-0000-0000D6000000}"/>
    <hyperlink ref="E476" r:id="rId215" xr:uid="{00000000-0004-0000-0000-0000D7000000}"/>
    <hyperlink ref="E334" r:id="rId216" xr:uid="{00000000-0004-0000-0000-0000D8000000}"/>
    <hyperlink ref="E173" r:id="rId217" xr:uid="{00000000-0004-0000-0000-0000D9000000}"/>
    <hyperlink ref="E468" r:id="rId218" xr:uid="{00000000-0004-0000-0000-0000DA000000}"/>
    <hyperlink ref="E174" r:id="rId219" xr:uid="{00000000-0004-0000-0000-0000DB000000}"/>
    <hyperlink ref="E303" r:id="rId220" xr:uid="{00000000-0004-0000-0000-0000DC000000}"/>
    <hyperlink ref="E175" r:id="rId221" display="http://tap.mk.gov.lv/lv/mk/tap/?pid=40505400&amp;mode=mk&amp;date=2021-07-14" xr:uid="{00000000-0004-0000-0000-0000DD000000}"/>
    <hyperlink ref="E177" r:id="rId222" xr:uid="{00000000-0004-0000-0000-0000DE000000}"/>
    <hyperlink ref="E89" r:id="rId223" xr:uid="{00000000-0004-0000-0000-0000DF000000}"/>
    <hyperlink ref="E178" r:id="rId224" xr:uid="{00000000-0004-0000-0000-0000E0000000}"/>
    <hyperlink ref="E99" r:id="rId225" xr:uid="{00000000-0004-0000-0000-0000E1000000}"/>
    <hyperlink ref="E412" r:id="rId226" xr:uid="{00000000-0004-0000-0000-0000E2000000}"/>
    <hyperlink ref="E180" r:id="rId227" xr:uid="{00000000-0004-0000-0000-0000E3000000}"/>
    <hyperlink ref="E335" r:id="rId228" xr:uid="{00000000-0004-0000-0000-0000E4000000}"/>
    <hyperlink ref="E478" r:id="rId229" xr:uid="{00000000-0004-0000-0000-0000E5000000}"/>
    <hyperlink ref="E304" r:id="rId230" display="http://tap.mk.gov.lv/lv/mk/tap/?pid=40504828&amp;mode=mk&amp;date=2021-07-14" xr:uid="{00000000-0004-0000-0000-0000E6000000}"/>
    <hyperlink ref="E366" r:id="rId231" xr:uid="{00000000-0004-0000-0000-0000E7000000}"/>
    <hyperlink ref="E367" r:id="rId232" display="https://likumi.lv/ta/id/325314-par-apropriacijas-palielinasanu-izglitibas-un-zinatnes-ministrijai" xr:uid="{00000000-0004-0000-0000-0000E8000000}"/>
    <hyperlink ref="E100" r:id="rId233" xr:uid="{00000000-0004-0000-0000-0000E9000000}"/>
    <hyperlink ref="E401" r:id="rId234" xr:uid="{00000000-0004-0000-0000-0000EA000000}"/>
    <hyperlink ref="E268" r:id="rId235" xr:uid="{00000000-0004-0000-0000-0000EB000000}"/>
    <hyperlink ref="E269" r:id="rId236" xr:uid="{00000000-0004-0000-0000-0000EC000000}"/>
    <hyperlink ref="E368" r:id="rId237" display="https://www.vestnesis.lv/op/2021/154.36" xr:uid="{00000000-0004-0000-0000-0000ED000000}"/>
    <hyperlink ref="E101" r:id="rId238" xr:uid="{00000000-0004-0000-0000-0000EE000000}"/>
    <hyperlink ref="E184" r:id="rId239" display="https://likumi.lv/ta/id/325325-par-finansu-lidzeklu-pieskirsanu-no-valsts-budzeta-programmas-lidzekli-neparedzetiem-gadijumiem" xr:uid="{00000000-0004-0000-0000-0000EF000000}"/>
    <hyperlink ref="E435" r:id="rId240" display="http://tap.mk.gov.lv/lv/mk/tap/?pid=40507007&amp;mode=mk&amp;date=2021-09-07" xr:uid="{00000000-0004-0000-0000-0000F0000000}"/>
    <hyperlink ref="E443" r:id="rId241" xr:uid="{00000000-0004-0000-0000-0000F1000000}"/>
    <hyperlink ref="E370" r:id="rId242" display="https://likumi.lv/ta/id/325670-par-apropriacijas-palielinasanu-veselibas-ministrijai" xr:uid="{00000000-0004-0000-0000-0000F2000000}"/>
    <hyperlink ref="E404" r:id="rId243" display="MK 02.04.2020. noteikumu Nr.180 &quot;Noteikumi par publiskas personas un publiskas personas kontrolētas kapitālsabiedrības mantas nomas maksas atbrīvojuma vai samazinājuma piemērošanu sakarā ar Covid-19 izplatību&quot;" xr:uid="{00000000-0004-0000-0000-0000F3000000}"/>
    <hyperlink ref="E365" r:id="rId244" xr:uid="{00000000-0004-0000-0000-0000F4000000}"/>
    <hyperlink ref="E378" r:id="rId245" xr:uid="{00000000-0004-0000-0000-0000F5000000}"/>
    <hyperlink ref="E369" r:id="rId246" display="https://likumi.lv/ta/id/325671-par-finansu-lidzeklu-pieskirsanu-no-valsts-budzeta-programmas-lidzekli-neparedzetiem-gadijumiem" xr:uid="{00000000-0004-0000-0000-0000F6000000}"/>
    <hyperlink ref="E379" r:id="rId247" display="https://likumi.lv/ta/id/325494-par-finansu-lidzeklu-pieskirsanu-no-valsts-budzeta-programmas-lidzekli-neparedzetiem-gadijumiem" xr:uid="{00000000-0004-0000-0000-0000F7000000}"/>
    <hyperlink ref="E380" r:id="rId248" display="https://likumi.lv/ta/id/325935-par-finansu-lidzeklu-pieskirsanu-no-valsts-budzeta-programmas-lidzekli-neparedzetiem-gadijumiem" xr:uid="{00000000-0004-0000-0000-0000F8000000}"/>
    <hyperlink ref="E336" r:id="rId249" display="MK rīkojums Nr. 521 Par finanšu līdzekļu piešķiršanu no valsts budžeta programmas &quot;Līdzekļi neparedzētiem gadījumiem&quot;" xr:uid="{00000000-0004-0000-0000-0000F9000000}"/>
    <hyperlink ref="E372" r:id="rId250" xr:uid="{00000000-0004-0000-0000-0000FA000000}"/>
    <hyperlink ref="E413" r:id="rId251" xr:uid="{00000000-0004-0000-0000-0000FB000000}"/>
    <hyperlink ref="E186" r:id="rId252" xr:uid="{00000000-0004-0000-0000-0000FC000000}"/>
    <hyperlink ref="E185" r:id="rId253" xr:uid="{00000000-0004-0000-0000-0000FD000000}"/>
    <hyperlink ref="E183" r:id="rId254" xr:uid="{00000000-0004-0000-0000-0000FE000000}"/>
    <hyperlink ref="E187" r:id="rId255" xr:uid="{00000000-0004-0000-0000-0000FF000000}"/>
    <hyperlink ref="E188" r:id="rId256" xr:uid="{00000000-0004-0000-0000-000000010000}"/>
    <hyperlink ref="E189" r:id="rId257" xr:uid="{00000000-0004-0000-0000-000001010000}"/>
    <hyperlink ref="E190" r:id="rId258" xr:uid="{00000000-0004-0000-0000-000002010000}"/>
    <hyperlink ref="E402" r:id="rId259" display="https://likumi.lv/ta/id/325497-par-finansu-lidzeklu-pieskirsanu-no-valsts-budzeta-programmas-lidzekli-neparedzetiem-gadijumiem" xr:uid="{00000000-0004-0000-0000-000003010000}"/>
    <hyperlink ref="E403" r:id="rId260" display="https://tapportals.mk.gov.lv/structuralizer/data/nodes/bbfa6f6c-e8d2-460c-95c5-b228928846d2/preview" xr:uid="{00000000-0004-0000-0000-000004010000}"/>
    <hyperlink ref="E479" r:id="rId261" display="https://likumi.lv/ta/id/325321-par-finansu-lidzeklu-pieskirsanu-no-valsts-budzeta-programmas-lidzekli-neparedzetiem-gadijumiem" xr:uid="{00000000-0004-0000-0000-000005010000}"/>
    <hyperlink ref="E487" r:id="rId262" display="Rīkojuma projekts &quot;Par finanšu līdzekļu piešķiršanu no valsts budžeta programmas &quot;Līdzekļi neparedzētiem gadījumiem&quot;&quot;" xr:uid="{00000000-0004-0000-0000-000006010000}"/>
    <hyperlink ref="E191" r:id="rId263" xr:uid="{00000000-0004-0000-0000-000007010000}"/>
    <hyperlink ref="E46" r:id="rId264" xr:uid="{00000000-0004-0000-0000-000008010000}"/>
    <hyperlink ref="E444" r:id="rId265" display="https://likumi.lv/ta/id/325936-par-finansu-lidzeklu-pieskirsanu-no-valsts-budzeta-programmas-lidzekli-neparedzetiem-gadijumiem" xr:uid="{00000000-0004-0000-0000-000009010000}"/>
    <hyperlink ref="E387" r:id="rId266" xr:uid="{00000000-0004-0000-0000-00000A010000}"/>
    <hyperlink ref="E51" r:id="rId267" display="https://likumi.lv/ta/id/315287-covid-19-infekcijas-izplatibas-seku-parvaresanas-likums" xr:uid="{00000000-0004-0000-0000-00000B010000}"/>
    <hyperlink ref="E42" r:id="rId268" xr:uid="{00000000-0004-0000-0000-00000C010000}"/>
    <hyperlink ref="E194" r:id="rId269" display="https://likumi.lv/ta/id/327007-par-finansu-lidzeklu-pieskirsanu-no-valsts-budzeta-programmas-lidzekli-neparedzetiem-gadijumiem" xr:uid="{00000000-0004-0000-0000-00000D010000}"/>
    <hyperlink ref="E195" r:id="rId270" display="https://likumi.lv/ta/id/327238-par-finansu-lidzeklu-pieskirsanu-no-valsts-budzeta-programmas-lidzekli-neparedzetiem-gadijumiem" xr:uid="{00000000-0004-0000-0000-00000E010000}"/>
    <hyperlink ref="E289" r:id="rId271" xr:uid="{00000000-0004-0000-0000-00000F010000}"/>
    <hyperlink ref="E278" r:id="rId272" xr:uid="{00000000-0004-0000-0000-000010010000}"/>
    <hyperlink ref="E26" r:id="rId273" xr:uid="{00000000-0004-0000-0000-000012010000}"/>
    <hyperlink ref="F28" r:id="rId274" display="https://tapportals.mk.gov.lv/annotation/d8638392-7c02-40cb-911a-f2466af8203e" xr:uid="{00000000-0004-0000-0000-000013010000}"/>
    <hyperlink ref="E445" r:id="rId275" display="https://likumi.lv/ta/id/327010-par-finansu-lidzeklu-pieskirsanu-no-valsts-budzeta-programmaslidzekli-neparedzetiem-gadijumiem" xr:uid="{00000000-0004-0000-0000-000014010000}"/>
    <hyperlink ref="E306" r:id="rId276" xr:uid="{00000000-0004-0000-0000-000015010000}"/>
    <hyperlink ref="E307" r:id="rId277" display="https://likumi.lv/ta/id/327584-par-finansu-lidzeklu-pieskirsanu-no-valsts-budzeta-programmas-lidzekli-neparedzetiem-gadijumiem" xr:uid="{00000000-0004-0000-0000-000016010000}"/>
    <hyperlink ref="E481" r:id="rId278" display="https://likumi.lv/ta/id/327247-par-finansu-lidzeklu-pieskirsanu-no-valsts-budzeta-programmas-lidzekli-neparedzetiem-gadijumiem" xr:uid="{00000000-0004-0000-0000-000017010000}"/>
    <hyperlink ref="E337" r:id="rId279" xr:uid="{00000000-0004-0000-0000-000018010000}"/>
    <hyperlink ref="E264" r:id="rId280" display="Informatīvais ziņojums &quot;Par COVID-19 pandēmijas ietekmi uz airBaltic darbību&quot; (IP) un MK __.05.2020. rīk.___ &quot;Par akciju sabiedrības &quot;Air Baltic Corporation&quot; pamatkapitāla palielināšanu&quot;" xr:uid="{00000000-0004-0000-0000-000019010000}"/>
    <hyperlink ref="E446" r:id="rId281" display="https://likumi.lv/ta/id/327591-par-finansu-lidzeklu-pieskirsanu-no-valsts-budzeta-programmas-lidzekli-neparedzetiem-gadijumiem" xr:uid="{00000000-0004-0000-0000-00001A010000}"/>
    <hyperlink ref="E429" r:id="rId282" xr:uid="{00000000-0004-0000-0000-00001B010000}"/>
    <hyperlink ref="E436" r:id="rId283" xr:uid="{00000000-0004-0000-0000-00001C010000}"/>
    <hyperlink ref="E437" r:id="rId284" display="https://likumi.lv/ta/id/327539-par-apropriacijas-pardali" xr:uid="{00000000-0004-0000-0000-00001D010000}"/>
    <hyperlink ref="E290" r:id="rId285" display="https://likumi.lv/ta/id/327383-par-finansu-lidzeklu-pieskirsanu-no-valsts-budzeta-programmas-lidzekli-neparedzetiem-gadijumiem" xr:uid="{00000000-0004-0000-0000-00001E010000}"/>
    <hyperlink ref="E196" r:id="rId286" display="Ministru kabineta  rīkojums Nr.799 02.11.2021 (prot. Nr.73 39.§)" xr:uid="{00000000-0004-0000-0000-00001F010000}"/>
    <hyperlink ref="E197" r:id="rId287" display="https://likumi.lv/ta/id/327384-par-finansu-lidzeklu-pieskirsanu-no-valsts-budzeta-programmas-lidzekli-neparedzetiem-gadijumiem" xr:uid="{00000000-0004-0000-0000-000020010000}"/>
    <hyperlink ref="E200" r:id="rId288" display="https://likumi.lv/ta/id/327738-par-finansu-lidzeklu-pieskirsanu-no-valsts-budzeta-programmas-lidzekli-neparedzetiem-gadijumiem" xr:uid="{00000000-0004-0000-0000-000021010000}"/>
    <hyperlink ref="E198" r:id="rId289" display="https://likumi.lv/ta/id/327387-par-finansu-lidzeklu-pieskirsanu-no-valsts-budzeta-programmas-lidzekli-neparedzetiem-gadijumiem" xr:uid="{00000000-0004-0000-0000-000022010000}"/>
    <hyperlink ref="E199" r:id="rId290" display="https://likumi.lv/ta/id/327453-par-apropriacijas-palielinasanu-veselibas-ministrijai" xr:uid="{00000000-0004-0000-0000-000023010000}"/>
    <hyperlink ref="E201" r:id="rId291" display="https://likumi.lv/ta/id/327761-par-finansu-lidzeklu-pieskirsanu-no-valsts-budzeta-programmas-lidzekli-neparedzetiem-gadijumiem" xr:uid="{00000000-0004-0000-0000-000024010000}"/>
    <hyperlink ref="E202" r:id="rId292" display="https://likumi.lv/ta/id/328033-par-apropriacijas-palielinasanu-veselibas-ministrijai" xr:uid="{00000000-0004-0000-0000-000025010000}"/>
    <hyperlink ref="E206" r:id="rId293" display="https://likumi.lv/ta/id/328040-par-apropriacijas-palielinasanu-veselibas-ministrijai" xr:uid="{00000000-0004-0000-0000-000026010000}"/>
    <hyperlink ref="E203" r:id="rId294" display="https://likumi.lv/ta/id/328027-par-finansu-lidzeklu-pieskirsanu-no-valsts-budzeta-programmas-lidzekli-neparedzetiem-gadijumiem" xr:uid="{00000000-0004-0000-0000-000027010000}"/>
    <hyperlink ref="E103" r:id="rId295" display="https://likumi.lv/ta/id/326629-par-atbalstitajiem-pasvaldibu-investiciju-projektiem-valsts-aizdevumu-pieskirsanai-covid-19-izraisitas-krizes-seku-mazinasanai" xr:uid="{00000000-0004-0000-0000-000028010000}"/>
    <hyperlink ref="E104" r:id="rId296" display="https://likumi.lv/ta/id/327218-par-atbalstitajiem-pasvaldibu-investiciju-projektiem-valsts-aizdevumu-pieskirsanai-covid-19-izraisitas-krizes-seku-mazinasanai" xr:uid="{00000000-0004-0000-0000-000029010000}"/>
    <hyperlink ref="E447" r:id="rId297" display="https://likumi.lv/ta/id/328024-par-finansu-lidzeklu-pieskirsanu-no-valsts-budzeta-programmaslidzekli-neparedzetiem-gadijumiem" xr:uid="{00000000-0004-0000-0000-00002A010000}"/>
    <hyperlink ref="E461" r:id="rId298" xr:uid="{00000000-0004-0000-0000-00002B010000}"/>
    <hyperlink ref="E460" r:id="rId299" xr:uid="{00000000-0004-0000-0000-00002C010000}"/>
    <hyperlink ref="E459" r:id="rId300" xr:uid="{00000000-0004-0000-0000-00002D010000}"/>
    <hyperlink ref="E482" r:id="rId301" display="https://likumi.lv/ta/id/327744-par-finansu-lidzeklu-pieskirsanu-no-valsts-budzeta-programmas-lidzekli-neparedzetiem-gadijumiem" xr:uid="{00000000-0004-0000-0000-00002E010000}"/>
    <hyperlink ref="E389" r:id="rId302" display="https://likumi.lv/ta/id/327589-par-finansu-lidzeklu-pieskirsanu-no-valsts-budzeta-programmas-lidzekli-neparedzetiem-gadijumiem" xr:uid="{00000000-0004-0000-0000-00002F010000}"/>
    <hyperlink ref="E388" r:id="rId303" display="https://likumi.lv/ta/id/327589-par-finansu-lidzeklu-pieskirsanu-no-valsts-budzeta-programmas-lidzekli-neparedzetiem-gadijumiem" xr:uid="{00000000-0004-0000-0000-000030010000}"/>
    <hyperlink ref="E448" r:id="rId304" display="https://likumi.lv/ta/id/328023-par-finansu-lidzeklu-pieskirsanu-no-valsts-budzeta-programmas-lidzekli-neparedzetiem-gadijumiem" xr:uid="{00000000-0004-0000-0000-000031010000}"/>
    <hyperlink ref="E381" r:id="rId305" display="https://likumi.lv/ta/id/326215-par-finansu-lidzeklu-pieskirsanu-no-valsts-budzeta-programmas-lidzekli-neparedzetiem-gadijumiem" xr:uid="{00000000-0004-0000-0000-000032010000}"/>
    <hyperlink ref="E490" r:id="rId306" display="https://likumi.lv/ta/id/327527-par-finansu-lidzeklu-pieskirsanu-no-valsts-budzeta-programmas-lidzekli-neparedzetiem-gadijumiem" xr:uid="{00000000-0004-0000-0000-000033010000}"/>
    <hyperlink ref="E208" r:id="rId307" display="https://likumi.lv/ta/id/328039-par-finansu-lidzeklu-pieskirsanu-no-valsts-budzeta-programmas-lidzekli-neparedzetiem-gadijumiem" xr:uid="{00000000-0004-0000-0000-000034010000}"/>
    <hyperlink ref="E209" r:id="rId308" display="https://likumi.lv/ta/id/326813-par-finansu-lidzeklu-pieskirsanu-no-valsts-budzeta-programmas-lidzekli-neparedzetiem-gadijumiem" xr:uid="{00000000-0004-0000-0000-000035010000}"/>
    <hyperlink ref="E210" r:id="rId309" display="https://tapportals.mk.gov.lv/meetings/protocols/a4e0d281-9a87-4959-b3ed-b8a0fbed0a55" xr:uid="{00000000-0004-0000-0000-000036010000}"/>
    <hyperlink ref="E434" r:id="rId310" xr:uid="{00000000-0004-0000-0000-000037010000}"/>
    <hyperlink ref="E433" r:id="rId311" xr:uid="{00000000-0004-0000-0000-000038010000}"/>
    <hyperlink ref="E432" r:id="rId312" xr:uid="{00000000-0004-0000-0000-000039010000}"/>
    <hyperlink ref="E430" r:id="rId313" display="https://likumi.lv/ta/id/328015-par-finansu-lidzeklu-pieskirsanu-no-valsts-budzeta-programmas-lidzekli-neparedzetiem-gadijumiem" xr:uid="{00000000-0004-0000-0000-00003A010000}"/>
    <hyperlink ref="E338" r:id="rId314" xr:uid="{00000000-0004-0000-0000-00003B010000}"/>
    <hyperlink ref="E474" r:id="rId315" xr:uid="{00000000-0004-0000-0000-00003C010000}"/>
    <hyperlink ref="E475" r:id="rId316" display="https://likumi.lv/ta/id/327899-noteikumi-par-atbalstu-covid-19-krizes-skartajiem-tirdzniecibas-un-sporta-centriem-un-kulturas-atputas-un-izklaides-vietam" xr:uid="{00000000-0004-0000-0000-00003D010000}"/>
    <hyperlink ref="E339" r:id="rId317" display="https://likumi.lv/ta/id/328443-par-finansu-lidzeklu-pieskirsanu-no-valsts-budzeta-programmas-lidzekli-neparedzetiem-gadijumiem" xr:uid="{00000000-0004-0000-0000-00003E010000}"/>
    <hyperlink ref="E204" r:id="rId318" display="https://likumi.lv/ta/id/328030-par-finansu-lidzeklu-pieskirsanu-no-valsts-budzeta-programmas-lidzekli-neparedzetiem-gadijumiem" xr:uid="{00000000-0004-0000-0000-00003F010000}"/>
    <hyperlink ref="E220" r:id="rId319" display="https://tapportals.mk.gov.lv/legal_acts/f788829b-9593-4706-ba5b-f4f645572a14" xr:uid="{00000000-0004-0000-0000-000040010000}"/>
    <hyperlink ref="E157" r:id="rId320" display="MK rīk. Nr.100 &quot;Par finanšu līdzekļu piešķiršanu no valsts budžeta programmas &quot;Līdzekļi neparedzētiem gadījumiem&quot;&quot;" xr:uid="{00000000-0004-0000-0000-000041010000}"/>
    <hyperlink ref="E449" r:id="rId321" display="https://likumi.lv/ta/id/328254-par-finansu-lidzeklu-pieskirsanu-no-valsts-budzeta-programmaslidzekli-neparedzetiem-gadijumiem" xr:uid="{00000000-0004-0000-0000-000042010000}"/>
    <hyperlink ref="E75" r:id="rId322" display="https://likumi.lv/ta/id/329092-par-finansu-lidzeklu-pieskirsanu-no-valsts-budzeta-programmas-lidzekli-neparedzetiem-gadijumiem" xr:uid="{00000000-0004-0000-0000-000043010000}"/>
    <hyperlink ref="E450" r:id="rId323" display="https://likumi.lv/ta/id/329143-par-finansu-lidzeklu-pieskirsanu-no-valsts-budzeta-programmas-lidzekli-neparedzetiem-gadijumiem" xr:uid="{00000000-0004-0000-0000-000044010000}"/>
    <hyperlink ref="E221" r:id="rId324" display="https://tapportals.mk.gov.lv/meetings/protocols/d5a852c0-a7fc-44d2-9aa0-a9c70df6890c" xr:uid="{00000000-0004-0000-0000-000045010000}"/>
    <hyperlink ref="E93" r:id="rId325" xr:uid="{00000000-0004-0000-0000-000046010000}"/>
    <hyperlink ref="E94" r:id="rId326" xr:uid="{00000000-0004-0000-0000-000047010000}"/>
    <hyperlink ref="E382" r:id="rId327" display="https://likumi.lv/ta/id/326819-par-finansu-lidzeklu-pieskirsanu-no-valsts-budzeta-programmas-lidzekli-neparedzetiem-gadijumiem" xr:uid="{00000000-0004-0000-0000-000048010000}"/>
    <hyperlink ref="E451" r:id="rId328" display="https://m.likumi.lv/ta/id/329090-par-finansu-lidzeklu-pieskirsanu-no-valsts-budzeta-programmaslidzekli-neparedzetiem-gadijumiem" xr:uid="{00000000-0004-0000-0000-00004A010000}"/>
    <hyperlink ref="E222" r:id="rId329" display="https://likumi.lv/ta/id/329448-par-finansu-lidzeklu-pieskirsanu-no-valsts-budzeta-programmas-lidzekli-neparedzetiem-gadijumiem" xr:uid="{00000000-0004-0000-0000-00004B010000}"/>
    <hyperlink ref="E223" r:id="rId330" display="https://likumi.lv/ta/id/329599-par-finansu-lidzeklu-pieskirsanu-no-valsts-budzeta-programmas-lidzekli-neparedzetiem-gadijumiem" xr:uid="{00000000-0004-0000-0000-00004C010000}"/>
    <hyperlink ref="E224" r:id="rId331" display="https://www.vestnesis.lv/op/2022/24.16" xr:uid="{00000000-0004-0000-0000-00004D010000}"/>
    <hyperlink ref="E483" r:id="rId332" display="https://likumi.lv/ta/id/328231-par-finansu-lidzeklu-pieskirsanu-no-valsts-budzeta-programmas-lidzekli-neparedzetiem-gadijumiem" xr:uid="{00000000-0004-0000-0000-00004E010000}"/>
    <hyperlink ref="E225" r:id="rId333" display="https://tapportals.mk.gov.lv/structuralizer/data/nodes/f89b42f5-b5c8-43a3-969d-229a120e977e/preview" xr:uid="{00000000-0004-0000-0000-00004F010000}"/>
    <hyperlink ref="E182" r:id="rId334" display="https://www.vestnesis.lv/op/2022/30.17" xr:uid="{00000000-0004-0000-0000-000050010000}"/>
    <hyperlink ref="E347" r:id="rId335" display="MK 14.04.2020 TA-602" xr:uid="{00000000-0004-0000-0000-000051010000}"/>
    <hyperlink ref="E226" r:id="rId336" display="https://tapportals.mk.gov.lv/structuralizer/data/nodes/a56b2b25-048b-40fc-b546-5617559d18d6/preview" xr:uid="{00000000-0004-0000-0000-000053010000}"/>
    <hyperlink ref="E227" r:id="rId337" display="https://likumi.lv/ta/id/329606-par-finansu-lidzeklu-pieskirsanu-no-valsts-budzeta-programmas-lidzekli-neparedzetiem-gadijumiem" xr:uid="{00000000-0004-0000-0000-000054010000}"/>
    <hyperlink ref="E489" r:id="rId338" display="https://likumi.lv/ta/id/329597-par-finansu-lidzeklu-pieskirsanu-no-valsts-budzeta-programmas-lidzekli-neparedzetiem-gadijumiem" xr:uid="{00000000-0004-0000-0000-000055010000}"/>
    <hyperlink ref="E348" r:id="rId339" display="MK 14.04.2020 TA-602" xr:uid="{00000000-0004-0000-0000-000056010000}"/>
    <hyperlink ref="E452" r:id="rId340" display="https://likumi.lv/ta/id/329607-par-finansu-lidzeklu-pieskirsanu-no-valsts-budzeta-programmas-lidzekli-neparedzetiem-gadijumiem" xr:uid="{00000000-0004-0000-0000-000057010000}"/>
    <hyperlink ref="E312" r:id="rId341" display="https://likumi.lv/ta/id/327584-par-finansu-lidzeklu-pieskirsanu-no-valsts-budzeta-programmas-lidzekli-neparedzetiem-gadijumiem" xr:uid="{00000000-0004-0000-0000-000058010000}"/>
    <hyperlink ref="E469" r:id="rId342" xr:uid="{00000000-0004-0000-0000-000059010000}"/>
    <hyperlink ref="E470" r:id="rId343" xr:uid="{00000000-0004-0000-0000-00005A010000}"/>
    <hyperlink ref="E453" r:id="rId344" display="https://m.likumi.lv/ta/id/330233-par-finansu-lidzeklu-pieskirsanu-no-valsts-budzeta-programmaslidzekli-neparedzetiem-gadijumiem" xr:uid="{00000000-0004-0000-0000-00005B010000}"/>
    <hyperlink ref="E313" r:id="rId345" xr:uid="{00000000-0004-0000-0000-00005C010000}"/>
    <hyperlink ref="E315" r:id="rId346" display="https://likumi.lv/ta/id/331406-par-finansu-lidzeklu-pieskirsanu-no-valsts-budzeta-programmas-lidzekli-neparedzetiem-gadijumiem" xr:uid="{00000000-0004-0000-0000-00005D010000}"/>
    <hyperlink ref="E454" r:id="rId347" display="https://tapportals.mk.gov.lv/structuralizer/data/nodes/450f5105-7692-4330-82b7-6e6a0f24294e/preview" xr:uid="{00000000-0004-0000-0000-00005E010000}"/>
    <hyperlink ref="E455" r:id="rId348" display="https://likumi.lv/ta/id/330821-par-finansu-lidzeklu-pieskirsanu-no-valsts-budzeta-programmaslidzekli-neparedzetiem-gadijumiem" xr:uid="{00000000-0004-0000-0000-00005F010000}"/>
    <hyperlink ref="E229" r:id="rId349" display="https://www.vestnesis.lv/op/2022/39.26" xr:uid="{00000000-0004-0000-0000-000060010000}"/>
    <hyperlink ref="E230" r:id="rId350" display="https://tapportals.mk.gov.lv/annotation/47dc02aa-cabf-4bf5-9fea-add392e72793" xr:uid="{00000000-0004-0000-0000-000061010000}"/>
    <hyperlink ref="E231" r:id="rId351" display="https://tapportals.mk.gov.lv/structuralizer/data/nodes/5fde73da-d851-4c13-801d-8a4bedcce5f5/preview" xr:uid="{00000000-0004-0000-0000-000062010000}"/>
    <hyperlink ref="E233" r:id="rId352" display="https://likumi.lv/ta/id/330811" xr:uid="{00000000-0004-0000-0000-000063010000}"/>
    <hyperlink ref="E234" r:id="rId353" display="https://likumi.lv/ta/id/330812" xr:uid="{00000000-0004-0000-0000-000064010000}"/>
    <hyperlink ref="E235" r:id="rId354" xr:uid="{00000000-0004-0000-0000-000065010000}"/>
    <hyperlink ref="E238" r:id="rId355" display="https://likumi.lv/ta/id/331014-par-finansu-lidzeklu-pieskirsanu-no-valsts-budzeta-programmas-lidzekli-neparedzetiem-gadijumiem" xr:uid="{00000000-0004-0000-0000-000066010000}"/>
    <hyperlink ref="E239" r:id="rId356" display="https://likumi.lv/ta/id/331016-par-finansu-lidzeklu-pieskirsanu-no-valsts-budzeta-programmas-lidzekli-neparedzetiem-gadijumiem" xr:uid="{00000000-0004-0000-0000-000067010000}"/>
    <hyperlink ref="E240" r:id="rId357" display="https://likumi.lv/ta/id/331017-par-finansu-lidzeklu-pieskirsanu-no-valsts-budzeta-programmas-lidzekli-neparedzetiem-gadijumiem" xr:uid="{00000000-0004-0000-0000-000068010000}"/>
    <hyperlink ref="E241" r:id="rId358" display="https://likumi.lv/ta/id/331210-par-finansu-lidzeklu-pieskirsanu-no-valsts-budzeta-programmas-lidzekli-neparedzetiem-gadijumiem" xr:uid="{00000000-0004-0000-0000-000069010000}"/>
    <hyperlink ref="E484" r:id="rId359" display="https://likumi.lv/ta/id/329961-par-finansu-lidzeklu-pieskirsanu-no-valsts-budzeta-programmas-lidzekli-neparedzetiem-gadijumiem" xr:uid="{00000000-0004-0000-0000-00006A010000}"/>
    <hyperlink ref="E314" r:id="rId360" display="https://tapportals.mk.gov.lv/structuralizer/data/nodes/b9d30727-0210-474b-92ff-031949118671/preview" xr:uid="{00000000-0004-0000-0000-00006C010000}"/>
    <hyperlink ref="E341" r:id="rId361" display="https://m.likumi.lv/ta/id/330054-par-finansu-lidzeklu-pieskirsanu-no-valsts-budzeta-programmas-lidzekli-neparedzetiem-gadijumiem" xr:uid="{00000000-0004-0000-0000-00006D010000}"/>
    <hyperlink ref="E456" r:id="rId362" display="https://likumi.lv/ta/id/331223-par-finansu-lidzeklu-pieskirsanu-no-valsts-budzeta-programmaslidzekli-neparedzetiem-gadijumiem" xr:uid="{00000000-0004-0000-0000-00006E010000}"/>
    <hyperlink ref="E242" r:id="rId363" display="https://likumi.lv/ta/id/331664-par-finansu-lidzeklu-pieskirsanu-no-valsts-budzeta-programmas-lidzekli-neparedzetiem-gadijumiem" xr:uid="{00000000-0004-0000-0000-000070010000}"/>
    <hyperlink ref="E237" r:id="rId364" xr:uid="{00000000-0004-0000-0000-000071010000}"/>
    <hyperlink ref="E218" r:id="rId365" xr:uid="{00000000-0004-0000-0000-000072010000}"/>
    <hyperlink ref="E243" r:id="rId366" display="https://likumi.lv/ta/id/331764-par-finansu-lidzeklu-pieskirsanu-no-valsts-budzeta-programmas-lidzekli-neparedzetiem-gadijumiem" xr:uid="{00000000-0004-0000-0000-000073010000}"/>
    <hyperlink ref="E431" r:id="rId367" xr:uid="{00000000-0004-0000-0000-000075010000}"/>
    <hyperlink ref="E105" r:id="rId368" display="https://likumi.lv/ta/id/328010-par-atbalstitajiem-pasvaldibu-investiciju-projektiem-valsts-aizdevumu-pieskirsanai-covid-19-izraisitas-krizes-seku-mazinasanai" xr:uid="{00000000-0004-0000-0000-000076010000}"/>
    <hyperlink ref="E383" r:id="rId369" display="https://likumi.lv/ta/id/329513-par-finansu-lidzeklu-pieskirsanu-no-valsts-budzeta-programmas-lidzekli-neparedzetiem-gadijumiem" xr:uid="{EF275E56-9DE1-4826-895B-BC67384EAACA}"/>
    <hyperlink ref="E385" r:id="rId370" display="https://www.vestnesis.lv/op/2022/116.7" xr:uid="{141B816A-637D-462F-9B6D-75332AECF10D}"/>
    <hyperlink ref="E342" r:id="rId371" display="https://likumi.lv/ta/id/331651-par-finansu-lidzeklu-pieskirsanu-no-valsts-budzeta-programmas-lidzekli-neparedzetiem-gadijumiem" xr:uid="{454AF5F8-F3C7-4FF3-B0FA-9AA4F30221EC}"/>
    <hyperlink ref="E245" r:id="rId372" display="https://likumi.lv/ta/id/332071-par-finansu-lidzeklu-pieskirsanu-no-valsts-budzeta-programmas-lidzekli-neparedzetiem-gadijumiem" xr:uid="{EA5760CA-82E8-4432-A332-72E43EB803D8}"/>
    <hyperlink ref="E279" r:id="rId373" display="https://likumi.lv/ta/id/327375-par-finansu-lidzeklu-pieskirsanu-no-valsts-budzeta-programmas-02-00-00-lidzekli-neparedzetiem-gadijumiem" xr:uid="{B03A4B94-ED96-491B-B8F1-52BCB72FE967}"/>
    <hyperlink ref="E246" r:id="rId374" display="https://likumi.lv/ta/id/331199-par-finansu-lidzeklu-pieskirsanu-no-valsts-budzeta-programmas-lidzekli-neparedzetiem-gadijumiem" xr:uid="{219E1659-3BE0-44CD-9CB8-40FED51E939F}"/>
    <hyperlink ref="E485" r:id="rId375" display="https://likumi.lv/ta/id/331430-par-finansu-lidzeklu-pieskirsanu-no-valsts-budzeta-programmas-lidzekli-neparedzetiem-gadijumiem" xr:uid="{77353743-4B5E-4B37-827D-423BAF8F2D88}"/>
    <hyperlink ref="E486" r:id="rId376" display="https://likumi.lv/ta/id/332677-par-finansu-lidzeklu-pieskirsanu-no-valsts-budzeta-programmas-lidzekli-neparedzetiem-gadijumiem" xr:uid="{03094F92-3BDB-413D-9492-24594ECB1DEA}"/>
    <hyperlink ref="E106" r:id="rId377" display="https://tapportals.mk.gov.lv/structuralizer/data/nodes/aa2056a0-d1b7-4244-9b27-1fbb0c6409b5/preview" xr:uid="{121BE54C-77ED-48AF-8281-42306D85E7C7}"/>
    <hyperlink ref="E457" r:id="rId378" display="https://likumi.lv/ta/id/331673-par-finansu-lidzeklu-pieskirsanu-no-valsts-budzeta-programmaslidzekli-neparedzetiem-gadijumiem" xr:uid="{5846C8A1-B649-4CEC-A909-FDAE09794DAB}"/>
    <hyperlink ref="E458" r:id="rId379" display="https://m.likumi.lv/ta/id/332669-par-finansu-lidzeklu-pieskirsanu-no-valsts-budzeta-programmaslidzekli-neparedzetiem-gadijumiem" xr:uid="{C91AC26D-5F34-4E34-B601-EDDCEBCAB231}"/>
    <hyperlink ref="E270" r:id="rId380" xr:uid="{89575E32-D8F5-4CBB-8E68-F375DC08AF7B}"/>
    <hyperlink ref="E384" r:id="rId381" display="MK 18.03.2022 sēdes prot. Nr. 28., https://tap.mk.gov.lv/mk/mksedes/saraksts/protokols/?protokols=2021-03-18" xr:uid="{3802A114-A7C5-424D-80F3-6B96E591414D}"/>
    <hyperlink ref="E244" r:id="rId382" display="https://likumi.lv/ta/id/331944-par-finansu-lidzeklu-pieskirsanu-no-valsts-budzeta-programmas-lidzekli-neparedzetiem-gadijumiem" xr:uid="{D90B9E87-E493-4208-9D72-17FDC32D0F2C}"/>
    <hyperlink ref="E247" r:id="rId383" display="https://likumi.lv/ta/id/332495-par-finansu-lidzeklu-pieskirsanu-no-valsts-budzeta-programmas-lidzekli-neparedzetiem-gadijumiem" xr:uid="{BD9295AF-7DEE-4F46-A2FD-4D24CF813A13}"/>
    <hyperlink ref="E248" r:id="rId384" display="https://likumi.lv/ta/id/332880-par-finansu-lidzeklu-pieskirsanu-no-valsts-budzeta-programmas-lidzekli-neparedzetiem-gadijumiem" xr:uid="{24D8B706-387A-4B0A-BE3F-C3564E81AD3D}"/>
    <hyperlink ref="E249" r:id="rId385" display="https://likumi.lv/ta/id/334045-par-finansu-lidzeklu-pieskirsanu-no-valsts-budzeta-programmas-lidzekli-neparedzetiem-gadijumiem" xr:uid="{19D78568-DBB9-4497-87CC-762153CBE6D2}"/>
    <hyperlink ref="E343" r:id="rId386" display="https://likumi.lv/ta/id/329604-par-finansu-lidzeklu-pieskirsanu-no-valsts-budzeta-programmas-lidzekli-neparedzetiem-gadijumiem" xr:uid="{168A5647-5D03-44E4-B23F-A5FD75D1570C}"/>
    <hyperlink ref="E345" r:id="rId387" display="https://tapportals.mk.gov.lv/structuralizer/data/nodes/d7f85dd9-6254-49a5-b03b-80dd6354a4ae/preview" xr:uid="{A43B73DF-6427-4C2A-853C-C409111DA2E1}"/>
    <hyperlink ref="E350" r:id="rId388" display="https://likumi.lv/ta/id/334699-par-finansu-lidzeklu-pieskirsanu-no-valsts-budzeta-programmas-lidzekli-neparedzetiem-gadijumiem" xr:uid="{791449BD-1D03-432A-A5C3-4CFE0B342342}"/>
    <hyperlink ref="E250" r:id="rId389" display="https://likumi.lv/ta/id/334045-par-finansu-lidzeklu-pieskirsanu-no-valsts-budzeta-programmas-lidzekli-neparedzetiem-gadijumiem" xr:uid="{857C7C23-DD98-4C0C-992D-CE2239D1DEFC}"/>
    <hyperlink ref="E207" r:id="rId390" xr:uid="{D7BF0266-6FD7-470F-967A-2F818355DD8C}"/>
    <hyperlink ref="E251" r:id="rId391" display="https://www.vestnesis.lv/op/2022/130.23" xr:uid="{2FD1E7E8-4E26-42B0-A4CB-67858E935CA9}"/>
    <hyperlink ref="E252" r:id="rId392" display="https://likumi.lv/ta/id/335324-par-finansu-lidzeklu-pieskirsanu-no-valsts-budzeta-programmas-lidzekli-neparedzetiem-gadijumiem" xr:uid="{C176D0E1-A759-4FEA-8C43-279A14AFD08D}"/>
    <hyperlink ref="E253" r:id="rId393" display="https://tapportals.mk.gov.lv/structuralizer/data/nodes/d8aac442-7340-417d-a7a5-f5d1b58e6533/preview" xr:uid="{E865B597-9578-4F71-9709-E83247312A09}"/>
    <hyperlink ref="E344" r:id="rId394" display="https://tapportals.mk.gov.lv/structuralizer/data/nodes/83d65707-3bf9-4a4e-a3a4-972bdf97a3f4/preview" xr:uid="{82C466EC-8120-4632-872C-6C8A7015D5DA}"/>
    <hyperlink ref="E254" r:id="rId395" display="https://tapportals.mk.gov.lv/structuralizer/data/nodes/874cb006-dcd1-47bf-b872-074b8a8d7ccc/preview" xr:uid="{921C1101-3D1B-4967-A37D-376425194AD0}"/>
    <hyperlink ref="E255" r:id="rId396" display="https://www.vestnesis.lv/op/2022/190.7" xr:uid="{A4A2923F-F8CD-401B-B28C-2B8426F1893A}"/>
    <hyperlink ref="E256" r:id="rId397" display="https://tapportals.mk.gov.lv/structuralizer/data/nodes/87b021a5-ccf0-485f-97c1-3385e798a528/preview" xr:uid="{E996255F-D78F-4AB9-8D27-35241A60E072}"/>
    <hyperlink ref="E257" r:id="rId398" display="https://tapportals.mk.gov.lv/structuralizer/data/nodes/5bf7ff40-83f8-40ef-b3f1-8252ce7d1502/preview" xr:uid="{9644950C-F4F6-4419-B942-8CEC2FDDF11B}"/>
    <hyperlink ref="F106" r:id="rId399" xr:uid="{A73A5F4D-193F-4E26-93BD-830EA890AA65}"/>
    <hyperlink ref="E258" r:id="rId400" display="https://tapportals.mk.gov.lv/structuralizer/data/nodes/5bf7ff40-83f8-40ef-b3f1-8252ce7d1502/preview" xr:uid="{2ABB6DAB-D2A1-4070-98F0-272DCFEDAC62}"/>
    <hyperlink ref="E259" r:id="rId401" display="https://likumi.lv/ta/id/337979-par-finansu-lidzeklu-pieskirsanu-no-valsts-budzeta-programmas-lidzekli-neparedzetiem-gadijumiem" xr:uid="{2F8F81B3-26BD-4B2B-BE8A-041B5E3D5D92}"/>
    <hyperlink ref="E260" r:id="rId402" display="https://likumi.lv/ta/id/337985-par-finansu-lidzeklu-pieskirsanu-no-valsts-budzeta-programmas-lidzekli-neparedzetiem-gadijumiem" xr:uid="{8D8B1767-740D-475A-A398-DE34373224C7}"/>
    <hyperlink ref="E261" r:id="rId403" display="https://likumi.lv/ta/id/338252-par-finansu-lidzeklu-pieskirsanu-no-valsts-budzeta-programmas-lidzekli-neparedzetiem-gadijumiem" xr:uid="{54D61F12-D04B-49B4-9299-1F800BF27E4D}"/>
    <hyperlink ref="E262" r:id="rId404" display="https://likumi.lv/ta/id/337369-par-finansu-lidzeklu-pieskirsanu-no-valsts-budzeta-programmas-lidzekli-neparedzetiem-gadijumiem" xr:uid="{8856B107-06CC-4986-AA2F-C5D65ADDEF58}"/>
  </hyperlinks>
  <pageMargins left="0.7" right="0.7" top="0.75" bottom="0.75" header="0.3" footer="0.3"/>
  <pageSetup scale="40" orientation="landscape" r:id="rId405"/>
  <ignoredErrors>
    <ignoredError sqref="BI13 AY38:AZ38 BW38 BB79:BC79 BE79:BG79 BB81:BC81 BE81:BH81 BV81 BW43:BW45 AY47:AZ47 BW47 BW50:BW52 AQ51:AQ52 BC51 BH51 AS83 BB83:BC83 BE83:BG83 AT85:AU85 AS87 AY87:AZ88 AY263:AZ263 BW263 AY281:AZ281 BW281 BC311 AY316:AZ316 BW316 AY346:AZ346 BW346 AY351:AZ351 BW351 AY386:AZ386 BW386 J497 AN497 AY43:AZ45 BC44 AS51:AS52 AY390:AZ390 BW390 J50:N50 T21:Z21 AP50:AU50 AN43:AN45 J51:K51 AP22:AP27 AP79:AP88 AN79:AN88 AA50:AB51 T497:AB497 AN390 AN386 AN351 AN346 AN316 AN281 AN263 AN90 AN47 BH176:BK176 AN494 AN21:AN25 R23:Z23 AN38 AP43:AU45 R50:Z50 AC50 AN50:AN52 N60 N62:N63 BB87:BC87 BG87:BH87 BI179 BC211 BH383 AP52 AR52 AN56 AY56:AZ56 BW56 AN95 AU95 BW95 AP95 AY50:AZ52 AP56:AU56 AT52:AU52 AP390:AU390 AP386:AU386 AP351:AU351 AP346:AU346 AQ316:AU316 AP281:AU281 AP263:AU263 AP47:AU47 AP38:AU38 J95:N95 J56:N56 J52:N52 J38:N38 J22:N27 J494:N494 J47:N47 J90:N90 J263:N263 J281:N281 J316:N316 J346:N346 J351:N351 J386:N386 J390:N390 J79:N88 J43:N45 R95:AC95 R56:AC56 R52:AC52 R38:AC38 AA21:AC25 R494:AC494 R47:AC47 R90:AC90 R263:AC263 R281:AC281 R316:AC316 R346:AC346 R351:AC351 R386:AC386 R390:AC390 R80:AC80 R43:AC43 AE95 AE56 AE50 AE38 AE21 AE494 AE47 AE90 AE263 AE281 AE316 AE346 AE351 AE386 AE390 AE80 AE43 AE497 S22:Z22 R25:Z25 S24:Z24 S26:T26 R45:AC45 S44:AC44 S51:Y51 S79:AC79 R82:AC82 S81:AC81 R84:AC84 S83:AC83 R86:AC86 S85:AC85 R88:AC88 S87:AC87 AE23 AE25 AE27 AE45 AE52 AE82 AE84 AE86 AE88 V26:Y26 R27:AC27 AB26:AC26 AN27 AW56 AW52 AW390 AW50 AW43:AW45 AW386 AW351 AW346 AW316 AW281 AW263 AW47 AW38" formula="1"/>
  </ignoredErrors>
  <legacyDrawing r:id="rId40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50"/>
  <sheetViews>
    <sheetView topLeftCell="A17" zoomScale="70" zoomScaleNormal="70" workbookViewId="0">
      <selection activeCell="B20" sqref="B20"/>
    </sheetView>
  </sheetViews>
  <sheetFormatPr defaultColWidth="9.140625" defaultRowHeight="15" outlineLevelRow="1" outlineLevelCol="1" x14ac:dyDescent="0.25"/>
  <cols>
    <col min="1" max="1" width="6.5703125" customWidth="1"/>
    <col min="2" max="2" width="18.140625" customWidth="1"/>
    <col min="3" max="3" width="11.140625" customWidth="1"/>
    <col min="4" max="4" width="31.85546875" customWidth="1"/>
    <col min="5" max="5" width="49" customWidth="1"/>
    <col min="6" max="6" width="13.140625" style="2" hidden="1" customWidth="1" outlineLevel="1"/>
    <col min="7" max="7" width="12.85546875" style="2" customWidth="1" collapsed="1"/>
    <col min="8" max="9" width="12.140625" style="2" customWidth="1"/>
    <col min="10" max="10" width="9.140625" style="2" customWidth="1" collapsed="1"/>
    <col min="11" max="11" width="13.5703125" style="2" hidden="1" customWidth="1" outlineLevel="1"/>
    <col min="12" max="12" width="9.140625" style="2" customWidth="1" collapsed="1"/>
    <col min="13" max="14" width="9.140625" style="2" customWidth="1"/>
    <col min="15" max="15" width="10.85546875" customWidth="1"/>
    <col min="16" max="16" width="12.85546875" customWidth="1"/>
    <col min="17" max="17" width="13.5703125" hidden="1" customWidth="1" outlineLevel="1"/>
    <col min="18" max="18" width="9" customWidth="1" collapsed="1"/>
    <col min="19" max="19" width="9" customWidth="1"/>
    <col min="20" max="20" width="13.85546875" customWidth="1"/>
    <col min="21" max="21" width="9" customWidth="1"/>
    <col min="22" max="22" width="9" hidden="1" customWidth="1" outlineLevel="1"/>
    <col min="23" max="23" width="13.5703125" hidden="1" customWidth="1" outlineLevel="1"/>
    <col min="24" max="24" width="10.140625" customWidth="1" collapsed="1"/>
    <col min="25" max="25" width="10.85546875" customWidth="1"/>
    <col min="26" max="26" width="14.85546875" customWidth="1"/>
    <col min="27" max="27" width="9.140625" customWidth="1"/>
    <col min="28" max="28" width="9.140625" hidden="1" customWidth="1" outlineLevel="1"/>
    <col min="29" max="29" width="17.5703125" style="4" customWidth="1" collapsed="1"/>
    <col min="30" max="30" width="15" style="4" customWidth="1"/>
    <col min="31" max="31" width="88.140625" customWidth="1"/>
  </cols>
  <sheetData>
    <row r="1" spans="1:31" ht="18.75" x14ac:dyDescent="0.3">
      <c r="A1" s="30" t="s">
        <v>1409</v>
      </c>
      <c r="B1" s="30"/>
      <c r="C1" s="30"/>
      <c r="D1" s="30"/>
      <c r="E1" s="1329"/>
      <c r="F1" s="1329"/>
      <c r="G1" s="1329"/>
      <c r="H1" s="1329"/>
      <c r="I1" s="1329"/>
      <c r="J1" s="1329"/>
      <c r="K1" s="1329"/>
      <c r="L1" s="1329"/>
      <c r="M1" s="1329"/>
      <c r="N1" s="1329"/>
      <c r="O1" s="1329"/>
      <c r="P1" s="1329"/>
      <c r="Q1" s="1329"/>
      <c r="R1" s="1329"/>
      <c r="S1" s="1329"/>
      <c r="T1" s="1329"/>
      <c r="U1" s="1329"/>
      <c r="V1" s="1329"/>
      <c r="W1" s="1329"/>
      <c r="X1" s="1329"/>
      <c r="Y1" s="1329"/>
      <c r="Z1" s="1329"/>
      <c r="AA1" s="1329"/>
      <c r="AB1" s="1329"/>
      <c r="AC1" s="1329"/>
      <c r="AD1" s="196"/>
      <c r="AE1" s="31"/>
    </row>
    <row r="2" spans="1:31" ht="21.75" thickBot="1" x14ac:dyDescent="0.3">
      <c r="A2" s="1330" t="s">
        <v>731</v>
      </c>
      <c r="B2" s="1330"/>
      <c r="C2" s="1330"/>
      <c r="D2" s="1330"/>
      <c r="E2" s="1330"/>
      <c r="F2" s="1330"/>
      <c r="G2" s="1330"/>
      <c r="H2" s="1330"/>
      <c r="I2" s="1330"/>
      <c r="J2" s="1330"/>
      <c r="K2" s="1330"/>
      <c r="L2" s="1330"/>
      <c r="M2" s="1330"/>
      <c r="N2" s="1330"/>
      <c r="O2" s="1330"/>
      <c r="P2" s="1330"/>
      <c r="Q2" s="1330"/>
      <c r="R2" s="1330"/>
      <c r="S2" s="1330"/>
      <c r="T2" s="1330"/>
      <c r="U2" s="1330"/>
      <c r="V2" s="1330"/>
      <c r="W2" s="1330"/>
      <c r="X2" s="1330"/>
      <c r="Y2" s="1330"/>
      <c r="Z2" s="1330"/>
      <c r="AA2" s="1330"/>
      <c r="AB2" s="1330"/>
      <c r="AC2" s="1330"/>
      <c r="AD2" s="1330"/>
      <c r="AE2" s="1330"/>
    </row>
    <row r="3" spans="1:31" ht="15.75" customHeight="1" x14ac:dyDescent="0.25">
      <c r="A3" s="1331" t="s">
        <v>372</v>
      </c>
      <c r="B3" s="1190" t="s">
        <v>15</v>
      </c>
      <c r="C3" s="1190" t="s">
        <v>732</v>
      </c>
      <c r="D3" s="1190" t="s">
        <v>81</v>
      </c>
      <c r="E3" s="1190" t="s">
        <v>14</v>
      </c>
      <c r="F3" s="1518" t="s">
        <v>733</v>
      </c>
      <c r="G3" s="1519"/>
      <c r="H3" s="1519"/>
      <c r="I3" s="1520"/>
      <c r="J3" s="1518" t="s">
        <v>734</v>
      </c>
      <c r="K3" s="1519"/>
      <c r="L3" s="1519"/>
      <c r="M3" s="1519"/>
      <c r="N3" s="1520"/>
      <c r="O3" s="1190" t="s">
        <v>735</v>
      </c>
      <c r="P3" s="1509" t="s">
        <v>370</v>
      </c>
      <c r="Q3" s="1510"/>
      <c r="R3" s="1510"/>
      <c r="S3" s="1510"/>
      <c r="T3" s="1510"/>
      <c r="U3" s="1510"/>
      <c r="V3" s="1510"/>
      <c r="W3" s="1510"/>
      <c r="X3" s="1510"/>
      <c r="Y3" s="1510"/>
      <c r="Z3" s="1510"/>
      <c r="AA3" s="1510"/>
      <c r="AB3" s="1510"/>
      <c r="AC3" s="1511"/>
      <c r="AD3" s="1190" t="s">
        <v>1411</v>
      </c>
      <c r="AE3" s="1188" t="s">
        <v>174</v>
      </c>
    </row>
    <row r="4" spans="1:31" ht="16.5" customHeight="1" x14ac:dyDescent="0.25">
      <c r="A4" s="1332"/>
      <c r="B4" s="1191"/>
      <c r="C4" s="1191"/>
      <c r="D4" s="1191"/>
      <c r="E4" s="1191"/>
      <c r="F4" s="1521"/>
      <c r="G4" s="1522"/>
      <c r="H4" s="1522"/>
      <c r="I4" s="1523"/>
      <c r="J4" s="1524"/>
      <c r="K4" s="1525"/>
      <c r="L4" s="1525"/>
      <c r="M4" s="1525"/>
      <c r="N4" s="1526"/>
      <c r="O4" s="1191"/>
      <c r="P4" s="1512" t="s">
        <v>736</v>
      </c>
      <c r="Q4" s="1374" t="s">
        <v>307</v>
      </c>
      <c r="R4" s="1375"/>
      <c r="S4" s="1375"/>
      <c r="T4" s="1375"/>
      <c r="U4" s="1375"/>
      <c r="V4" s="1376"/>
      <c r="W4" s="1352" t="s">
        <v>737</v>
      </c>
      <c r="X4" s="1377"/>
      <c r="Y4" s="1377"/>
      <c r="Z4" s="1377"/>
      <c r="AA4" s="1377"/>
      <c r="AB4" s="1353"/>
      <c r="AC4" s="1513" t="s">
        <v>1410</v>
      </c>
      <c r="AD4" s="1191"/>
      <c r="AE4" s="1189"/>
    </row>
    <row r="5" spans="1:31" ht="13.5" customHeight="1" x14ac:dyDescent="0.25">
      <c r="A5" s="1332"/>
      <c r="B5" s="1191"/>
      <c r="C5" s="1191"/>
      <c r="D5" s="1191"/>
      <c r="E5" s="1191"/>
      <c r="F5" s="1349">
        <v>2020</v>
      </c>
      <c r="G5" s="1349"/>
      <c r="H5" s="197">
        <v>2021</v>
      </c>
      <c r="I5" s="197">
        <v>2022</v>
      </c>
      <c r="J5" s="1527" t="s">
        <v>738</v>
      </c>
      <c r="K5" s="1352">
        <v>2020</v>
      </c>
      <c r="L5" s="1353"/>
      <c r="M5" s="197">
        <v>2021</v>
      </c>
      <c r="N5" s="197">
        <v>2022</v>
      </c>
      <c r="O5" s="1191"/>
      <c r="P5" s="1191"/>
      <c r="Q5" s="1355">
        <v>2020</v>
      </c>
      <c r="R5" s="1355"/>
      <c r="S5" s="1374">
        <v>2021</v>
      </c>
      <c r="T5" s="1376"/>
      <c r="U5" s="198">
        <v>2022</v>
      </c>
      <c r="V5" s="198">
        <v>2023</v>
      </c>
      <c r="W5" s="1355">
        <v>2020</v>
      </c>
      <c r="X5" s="1355"/>
      <c r="Y5" s="1374">
        <v>2021</v>
      </c>
      <c r="Z5" s="1376"/>
      <c r="AA5" s="198">
        <v>2022</v>
      </c>
      <c r="AB5" s="198">
        <v>2023</v>
      </c>
      <c r="AC5" s="1514"/>
      <c r="AD5" s="1191"/>
      <c r="AE5" s="1189"/>
    </row>
    <row r="6" spans="1:31" ht="29.25" customHeight="1" thickBot="1" x14ac:dyDescent="0.3">
      <c r="A6" s="1335"/>
      <c r="B6" s="1192"/>
      <c r="C6" s="1192"/>
      <c r="D6" s="1192"/>
      <c r="E6" s="1192"/>
      <c r="F6" s="159" t="s">
        <v>739</v>
      </c>
      <c r="G6" s="46" t="s">
        <v>1241</v>
      </c>
      <c r="H6" s="46" t="s">
        <v>740</v>
      </c>
      <c r="I6" s="46" t="s">
        <v>740</v>
      </c>
      <c r="J6" s="1528"/>
      <c r="K6" s="159" t="s">
        <v>739</v>
      </c>
      <c r="L6" s="46" t="s">
        <v>1241</v>
      </c>
      <c r="M6" s="46" t="s">
        <v>740</v>
      </c>
      <c r="N6" s="46" t="s">
        <v>740</v>
      </c>
      <c r="O6" s="1192"/>
      <c r="P6" s="1192"/>
      <c r="Q6" s="159" t="s">
        <v>739</v>
      </c>
      <c r="R6" s="46" t="s">
        <v>1241</v>
      </c>
      <c r="S6" s="46" t="s">
        <v>740</v>
      </c>
      <c r="T6" s="139" t="s">
        <v>1242</v>
      </c>
      <c r="U6" s="46" t="s">
        <v>740</v>
      </c>
      <c r="V6" s="46" t="s">
        <v>740</v>
      </c>
      <c r="W6" s="159" t="s">
        <v>739</v>
      </c>
      <c r="X6" s="46" t="s">
        <v>1241</v>
      </c>
      <c r="Y6" s="46" t="s">
        <v>740</v>
      </c>
      <c r="Z6" s="139" t="s">
        <v>1242</v>
      </c>
      <c r="AA6" s="46" t="s">
        <v>740</v>
      </c>
      <c r="AB6" s="46" t="s">
        <v>740</v>
      </c>
      <c r="AC6" s="1515"/>
      <c r="AD6" s="1192"/>
      <c r="AE6" s="1373"/>
    </row>
    <row r="7" spans="1:31" ht="17.25" customHeight="1" x14ac:dyDescent="0.25">
      <c r="A7" s="1516" t="s">
        <v>306</v>
      </c>
      <c r="B7" s="1517"/>
      <c r="C7" s="1517"/>
      <c r="D7" s="1517"/>
      <c r="E7" s="140"/>
      <c r="F7" s="160">
        <f t="shared" ref="F7:N7" si="0">F9+F23+F57+F68+F235</f>
        <v>9.4697049478612474E-2</v>
      </c>
      <c r="G7" s="141">
        <f t="shared" si="0"/>
        <v>4.3827658668417716E-2</v>
      </c>
      <c r="H7" s="141">
        <f t="shared" si="0"/>
        <v>0.11119052608936003</v>
      </c>
      <c r="I7" s="141">
        <f t="shared" si="0"/>
        <v>9.3976913372966434E-3</v>
      </c>
      <c r="J7" s="142">
        <f t="shared" si="0"/>
        <v>4999.6946382099995</v>
      </c>
      <c r="K7" s="162">
        <f t="shared" si="0"/>
        <v>2676.1755859999994</v>
      </c>
      <c r="L7" s="142">
        <f t="shared" si="0"/>
        <v>1285.6407146900003</v>
      </c>
      <c r="M7" s="142">
        <f t="shared" si="0"/>
        <v>3405.6433085199997</v>
      </c>
      <c r="N7" s="142">
        <f t="shared" si="0"/>
        <v>308.41061500000001</v>
      </c>
      <c r="O7" s="235"/>
      <c r="P7" s="235"/>
      <c r="Q7" s="164">
        <f t="shared" ref="Q7:AD7" si="1">Q9+Q23+Q57+Q68+Q235</f>
        <v>-4.2898155068454278</v>
      </c>
      <c r="R7" s="143">
        <f t="shared" si="1"/>
        <v>-3.3265331332129082</v>
      </c>
      <c r="S7" s="143">
        <f t="shared" si="1"/>
        <v>-8.0662493296568059</v>
      </c>
      <c r="T7" s="144">
        <f t="shared" si="1"/>
        <v>-6.1819879904322548</v>
      </c>
      <c r="U7" s="143">
        <f t="shared" si="1"/>
        <v>-0.2284366515630285</v>
      </c>
      <c r="V7" s="143">
        <f t="shared" si="1"/>
        <v>-5.037618807666247E-4</v>
      </c>
      <c r="W7" s="164">
        <f t="shared" si="1"/>
        <v>-1209.4705839999997</v>
      </c>
      <c r="X7" s="143">
        <f t="shared" si="1"/>
        <v>-975.80536235800014</v>
      </c>
      <c r="Y7" s="143">
        <f t="shared" si="1"/>
        <v>-2470.3002025119995</v>
      </c>
      <c r="Z7" s="144">
        <f t="shared" si="1"/>
        <v>-1893.1717144000002</v>
      </c>
      <c r="AA7" s="143">
        <f t="shared" si="1"/>
        <v>-74.967654999999993</v>
      </c>
      <c r="AB7" s="142">
        <f t="shared" si="1"/>
        <v>-0.17395199999999988</v>
      </c>
      <c r="AC7" s="145">
        <f t="shared" si="1"/>
        <v>-970.83672875999991</v>
      </c>
      <c r="AD7" s="145">
        <f t="shared" si="1"/>
        <v>1050.0967617599997</v>
      </c>
      <c r="AE7" s="1500" t="s">
        <v>1182</v>
      </c>
    </row>
    <row r="8" spans="1:31" s="3" customFormat="1" ht="25.5" customHeight="1" thickBot="1" x14ac:dyDescent="0.3">
      <c r="A8" s="37" t="s">
        <v>371</v>
      </c>
      <c r="B8" s="38"/>
      <c r="C8" s="39"/>
      <c r="D8" s="39"/>
      <c r="E8" s="40"/>
      <c r="F8" s="41"/>
      <c r="G8" s="41"/>
      <c r="H8" s="41"/>
      <c r="I8" s="41"/>
      <c r="J8" s="42"/>
      <c r="K8" s="42"/>
      <c r="L8" s="42"/>
      <c r="M8" s="42"/>
      <c r="N8" s="42"/>
      <c r="O8" s="39"/>
      <c r="P8" s="39"/>
      <c r="Q8" s="43">
        <v>28194</v>
      </c>
      <c r="R8" s="106">
        <v>29334.004000000004</v>
      </c>
      <c r="S8" s="43">
        <v>30628.898237094418</v>
      </c>
      <c r="T8" s="146">
        <v>30628.898237094418</v>
      </c>
      <c r="U8" s="43">
        <v>32817.699999999997</v>
      </c>
      <c r="V8" s="43">
        <v>34530.6</v>
      </c>
      <c r="W8" s="43"/>
      <c r="X8" s="43"/>
      <c r="Y8" s="43"/>
      <c r="Z8" s="146"/>
      <c r="AA8" s="43"/>
      <c r="AB8" s="44"/>
      <c r="AC8" s="45"/>
      <c r="AD8" s="102"/>
      <c r="AE8" s="1501"/>
    </row>
    <row r="9" spans="1:31" ht="18.75" x14ac:dyDescent="0.25">
      <c r="A9" s="5" t="s">
        <v>82</v>
      </c>
      <c r="B9" s="6"/>
      <c r="C9" s="6"/>
      <c r="D9" s="7"/>
      <c r="E9" s="8"/>
      <c r="F9" s="161">
        <f t="shared" ref="F9:H9" si="2">SUM(F10:F22)</f>
        <v>8.3063772433851161E-3</v>
      </c>
      <c r="G9" s="33">
        <f>SUM(G10:G22)</f>
        <v>8.7609246934035982E-3</v>
      </c>
      <c r="H9" s="33">
        <f t="shared" si="2"/>
        <v>3.591379590232203E-3</v>
      </c>
      <c r="I9" s="33">
        <f>SUM(I10:I22)</f>
        <v>0</v>
      </c>
      <c r="J9" s="34">
        <f>SUM(J10:J22)</f>
        <v>366.99299999999999</v>
      </c>
      <c r="K9" s="163">
        <f t="shared" ref="K9:M9" si="3">SUM(K10:K22)</f>
        <v>234.19</v>
      </c>
      <c r="L9" s="34">
        <f t="shared" si="3"/>
        <v>256.99299999999999</v>
      </c>
      <c r="M9" s="34">
        <f t="shared" si="3"/>
        <v>110</v>
      </c>
      <c r="N9" s="34">
        <f>SUM(N10:N22)</f>
        <v>0</v>
      </c>
      <c r="O9" s="35"/>
      <c r="P9" s="36"/>
      <c r="Q9" s="163">
        <f t="shared" ref="Q9:AD9" si="4">SUM(Q10:Q22)</f>
        <v>-0.49631127190182311</v>
      </c>
      <c r="R9" s="34">
        <f t="shared" si="4"/>
        <v>-0.48483234678770748</v>
      </c>
      <c r="S9" s="34">
        <f t="shared" si="4"/>
        <v>-7.8460543418749265E-2</v>
      </c>
      <c r="T9" s="147">
        <f>SUM(T10:T22)</f>
        <v>-7.8461549005034534E-2</v>
      </c>
      <c r="U9" s="34">
        <f t="shared" si="4"/>
        <v>0.11110601900803531</v>
      </c>
      <c r="V9" s="34">
        <f t="shared" si="4"/>
        <v>8.4668323168436109E-3</v>
      </c>
      <c r="W9" s="163">
        <f t="shared" si="4"/>
        <v>-139.93</v>
      </c>
      <c r="X9" s="34">
        <f t="shared" si="4"/>
        <v>-142.22074000000001</v>
      </c>
      <c r="Y9" s="34">
        <f t="shared" si="4"/>
        <v>-24.031599999999997</v>
      </c>
      <c r="Z9" s="147">
        <f>SUM(Z10:Z22)</f>
        <v>-24.031907999999998</v>
      </c>
      <c r="AA9" s="34">
        <f t="shared" si="4"/>
        <v>36.462440000000001</v>
      </c>
      <c r="AB9" s="34">
        <f t="shared" si="4"/>
        <v>2.923648</v>
      </c>
      <c r="AC9" s="34">
        <f>SUM(AC10:AC22)</f>
        <v>-16.160999999999998</v>
      </c>
      <c r="AD9" s="34">
        <f t="shared" si="4"/>
        <v>53.87</v>
      </c>
      <c r="AE9" s="61"/>
    </row>
    <row r="10" spans="1:31" ht="19.5" customHeight="1" outlineLevel="1" x14ac:dyDescent="0.25">
      <c r="A10" s="1471">
        <v>1</v>
      </c>
      <c r="B10" s="1490" t="s">
        <v>741</v>
      </c>
      <c r="C10" s="1493" t="s">
        <v>420</v>
      </c>
      <c r="D10" s="1496" t="s">
        <v>742</v>
      </c>
      <c r="E10" s="1425" t="s">
        <v>83</v>
      </c>
      <c r="F10" s="1201">
        <f>K10/$Q$8</f>
        <v>4.9368659998581255E-3</v>
      </c>
      <c r="G10" s="1201">
        <f>L10/$R$8</f>
        <v>5.5223623750784235E-3</v>
      </c>
      <c r="H10" s="1201">
        <f>M10/$S$8</f>
        <v>0</v>
      </c>
      <c r="I10" s="1201">
        <f>N10/$S$8</f>
        <v>0</v>
      </c>
      <c r="J10" s="1447">
        <f>L10+M10+N10</f>
        <v>161.99299999999999</v>
      </c>
      <c r="K10" s="1447">
        <v>139.19</v>
      </c>
      <c r="L10" s="1447">
        <v>161.99299999999999</v>
      </c>
      <c r="M10" s="1447">
        <v>0</v>
      </c>
      <c r="N10" s="1447">
        <v>0</v>
      </c>
      <c r="O10" s="1502" t="s">
        <v>450</v>
      </c>
      <c r="P10" s="54" t="s">
        <v>123</v>
      </c>
      <c r="Q10" s="56">
        <f t="shared" ref="Q10:V22" si="5">W10/Q$8*100</f>
        <v>-1.7521458466340355E-2</v>
      </c>
      <c r="R10" s="56">
        <f t="shared" si="5"/>
        <v>-2.4780115254637584E-2</v>
      </c>
      <c r="S10" s="56">
        <f>Y10/S$8*100</f>
        <v>0</v>
      </c>
      <c r="T10" s="135">
        <f>Z10/T$8*100</f>
        <v>0</v>
      </c>
      <c r="U10" s="56">
        <f>AA10/U$8*100</f>
        <v>0</v>
      </c>
      <c r="V10" s="56">
        <f>AB10/V$8*100</f>
        <v>0</v>
      </c>
      <c r="W10" s="57">
        <f>-16.45+11.51</f>
        <v>-4.9399999999999995</v>
      </c>
      <c r="X10" s="57">
        <f>-24.23*30%</f>
        <v>-7.2690000000000001</v>
      </c>
      <c r="Y10" s="57">
        <f>1.64-1.64</f>
        <v>0</v>
      </c>
      <c r="Z10" s="129">
        <f>1.64-1.64</f>
        <v>0</v>
      </c>
      <c r="AA10" s="57">
        <f>3.29-3.29</f>
        <v>0</v>
      </c>
      <c r="AB10" s="57">
        <f>6.58-6.58</f>
        <v>0</v>
      </c>
      <c r="AC10" s="1169">
        <v>0</v>
      </c>
      <c r="AD10" s="1169">
        <f>-AC10</f>
        <v>0</v>
      </c>
      <c r="AE10" s="1425" t="s">
        <v>743</v>
      </c>
    </row>
    <row r="11" spans="1:31" ht="19.5" customHeight="1" outlineLevel="1" x14ac:dyDescent="0.25">
      <c r="A11" s="1478"/>
      <c r="B11" s="1491"/>
      <c r="C11" s="1494"/>
      <c r="D11" s="1497"/>
      <c r="E11" s="1499"/>
      <c r="F11" s="1228"/>
      <c r="G11" s="1228"/>
      <c r="H11" s="1228"/>
      <c r="I11" s="1228"/>
      <c r="J11" s="1443"/>
      <c r="K11" s="1443"/>
      <c r="L11" s="1443"/>
      <c r="M11" s="1443"/>
      <c r="N11" s="1485"/>
      <c r="O11" s="1432"/>
      <c r="P11" s="54" t="s">
        <v>124</v>
      </c>
      <c r="Q11" s="56">
        <f t="shared" si="5"/>
        <v>-5.8842306873802951E-2</v>
      </c>
      <c r="R11" s="56">
        <f t="shared" si="5"/>
        <v>-5.3988538352964015E-2</v>
      </c>
      <c r="S11" s="56">
        <f t="shared" si="5"/>
        <v>0</v>
      </c>
      <c r="T11" s="135">
        <f t="shared" si="5"/>
        <v>0</v>
      </c>
      <c r="U11" s="56">
        <f t="shared" si="5"/>
        <v>0</v>
      </c>
      <c r="V11" s="56">
        <f t="shared" si="5"/>
        <v>0</v>
      </c>
      <c r="W11" s="57">
        <f>-55.32+38.73</f>
        <v>-16.590000000000003</v>
      </c>
      <c r="X11" s="57">
        <f>-52.79*30%</f>
        <v>-15.837</v>
      </c>
      <c r="Y11" s="57">
        <f>5.53-5.53</f>
        <v>0</v>
      </c>
      <c r="Z11" s="129">
        <f>5.53-5.53</f>
        <v>0</v>
      </c>
      <c r="AA11" s="57">
        <f>11.07-11.07</f>
        <v>0</v>
      </c>
      <c r="AB11" s="57">
        <f>22.13-22.13</f>
        <v>0</v>
      </c>
      <c r="AC11" s="1182"/>
      <c r="AD11" s="1182"/>
      <c r="AE11" s="1499"/>
    </row>
    <row r="12" spans="1:31" ht="19.5" customHeight="1" outlineLevel="1" x14ac:dyDescent="0.25">
      <c r="A12" s="1478"/>
      <c r="B12" s="1491"/>
      <c r="C12" s="1494"/>
      <c r="D12" s="1497"/>
      <c r="E12" s="1499"/>
      <c r="F12" s="1228"/>
      <c r="G12" s="1228"/>
      <c r="H12" s="1228"/>
      <c r="I12" s="1228"/>
      <c r="J12" s="1443"/>
      <c r="K12" s="1443"/>
      <c r="L12" s="1443"/>
      <c r="M12" s="1443"/>
      <c r="N12" s="1485"/>
      <c r="O12" s="1432"/>
      <c r="P12" s="55" t="s">
        <v>125</v>
      </c>
      <c r="Q12" s="56">
        <f t="shared" si="5"/>
        <v>-6.1254167553380159E-2</v>
      </c>
      <c r="R12" s="56">
        <f t="shared" si="5"/>
        <v>-6.2830631645103732E-2</v>
      </c>
      <c r="S12" s="56">
        <f t="shared" si="5"/>
        <v>6.7100030307683863E-4</v>
      </c>
      <c r="T12" s="135">
        <f t="shared" si="5"/>
        <v>6.6999471679157362E-4</v>
      </c>
      <c r="U12" s="56">
        <f t="shared" si="5"/>
        <v>1.252494842722068E-3</v>
      </c>
      <c r="V12" s="56">
        <f t="shared" si="5"/>
        <v>2.3771611266528822E-3</v>
      </c>
      <c r="W12" s="57">
        <f>-53.96+36.69</f>
        <v>-17.270000000000003</v>
      </c>
      <c r="X12" s="57">
        <f>-73.4*30%*83.7%</f>
        <v>-18.43074</v>
      </c>
      <c r="Y12" s="57">
        <f>73.4*10%*0.028</f>
        <v>0.20552000000000004</v>
      </c>
      <c r="Z12" s="129">
        <f>73.29*10%*0.028</f>
        <v>0.20521200000000003</v>
      </c>
      <c r="AA12" s="57">
        <f>73.4*20%*0.028</f>
        <v>0.41104000000000007</v>
      </c>
      <c r="AB12" s="57">
        <f>73.29*40%*0.028</f>
        <v>0.82084800000000013</v>
      </c>
      <c r="AC12" s="1182"/>
      <c r="AD12" s="1182"/>
      <c r="AE12" s="1499"/>
    </row>
    <row r="13" spans="1:31" ht="35.25" customHeight="1" outlineLevel="1" x14ac:dyDescent="0.25">
      <c r="A13" s="1478"/>
      <c r="B13" s="1491"/>
      <c r="C13" s="1494"/>
      <c r="D13" s="1497"/>
      <c r="E13" s="1499"/>
      <c r="F13" s="1228"/>
      <c r="G13" s="1228"/>
      <c r="H13" s="1228"/>
      <c r="I13" s="1228"/>
      <c r="J13" s="1443"/>
      <c r="K13" s="1443"/>
      <c r="L13" s="1443"/>
      <c r="M13" s="1443"/>
      <c r="N13" s="1485"/>
      <c r="O13" s="1432"/>
      <c r="P13" s="55" t="s">
        <v>124</v>
      </c>
      <c r="Q13" s="56">
        <f t="shared" si="5"/>
        <v>-1.0605093282258638E-2</v>
      </c>
      <c r="R13" s="56">
        <f t="shared" si="5"/>
        <v>-1.274970849530122E-2</v>
      </c>
      <c r="S13" s="56">
        <f t="shared" si="5"/>
        <v>1.2210690606789493E-3</v>
      </c>
      <c r="T13" s="135">
        <f t="shared" si="5"/>
        <v>1.2210690606789493E-3</v>
      </c>
      <c r="U13" s="56">
        <f t="shared" si="5"/>
        <v>2.2792578395195284E-3</v>
      </c>
      <c r="V13" s="56">
        <f t="shared" si="5"/>
        <v>4.3323892431640348E-3</v>
      </c>
      <c r="W13" s="57">
        <f>-2.99</f>
        <v>-2.99</v>
      </c>
      <c r="X13" s="57">
        <f>-3.74</f>
        <v>-3.74</v>
      </c>
      <c r="Y13" s="57">
        <f>3.74*10%</f>
        <v>0.37400000000000005</v>
      </c>
      <c r="Z13" s="129">
        <f>3.74*10%</f>
        <v>0.37400000000000005</v>
      </c>
      <c r="AA13" s="57">
        <f>3.74*20%</f>
        <v>0.74800000000000011</v>
      </c>
      <c r="AB13" s="57">
        <f>3.74*40%</f>
        <v>1.4960000000000002</v>
      </c>
      <c r="AC13" s="1182"/>
      <c r="AD13" s="1182"/>
      <c r="AE13" s="1499"/>
    </row>
    <row r="14" spans="1:31" ht="29.25" customHeight="1" outlineLevel="1" x14ac:dyDescent="0.25">
      <c r="A14" s="1478"/>
      <c r="B14" s="1491"/>
      <c r="C14" s="1494"/>
      <c r="D14" s="1497"/>
      <c r="E14" s="1499"/>
      <c r="F14" s="1202"/>
      <c r="G14" s="1202"/>
      <c r="H14" s="1202"/>
      <c r="I14" s="1202"/>
      <c r="J14" s="1440"/>
      <c r="K14" s="1440"/>
      <c r="L14" s="1440"/>
      <c r="M14" s="1440"/>
      <c r="N14" s="1448"/>
      <c r="O14" s="1432"/>
      <c r="P14" s="54" t="s">
        <v>124</v>
      </c>
      <c r="Q14" s="56">
        <f t="shared" si="5"/>
        <v>-1.1137121373341849E-2</v>
      </c>
      <c r="R14" s="56">
        <f t="shared" si="5"/>
        <v>-6.6271212071833075E-3</v>
      </c>
      <c r="S14" s="56">
        <f t="shared" si="5"/>
        <v>0</v>
      </c>
      <c r="T14" s="135">
        <f t="shared" si="5"/>
        <v>0</v>
      </c>
      <c r="U14" s="56">
        <f t="shared" si="5"/>
        <v>0</v>
      </c>
      <c r="V14" s="56">
        <f t="shared" si="5"/>
        <v>0</v>
      </c>
      <c r="W14" s="57">
        <f>-10.47+7.33</f>
        <v>-3.1400000000000006</v>
      </c>
      <c r="X14" s="57">
        <f>-6.48*30%</f>
        <v>-1.944</v>
      </c>
      <c r="Y14" s="57">
        <f>1.05-1.05</f>
        <v>0</v>
      </c>
      <c r="Z14" s="129">
        <f>1.05-1.05</f>
        <v>0</v>
      </c>
      <c r="AA14" s="57">
        <f>2.09-2.09</f>
        <v>0</v>
      </c>
      <c r="AB14" s="57">
        <f>4.19-4.19</f>
        <v>0</v>
      </c>
      <c r="AC14" s="1182"/>
      <c r="AD14" s="1182"/>
      <c r="AE14" s="1499"/>
    </row>
    <row r="15" spans="1:31" ht="15" customHeight="1" outlineLevel="1" x14ac:dyDescent="0.25">
      <c r="A15" s="1478"/>
      <c r="B15" s="1491"/>
      <c r="C15" s="1494"/>
      <c r="D15" s="1497"/>
      <c r="E15" s="1499"/>
      <c r="F15" s="1201">
        <f>K15/$Q$8</f>
        <v>0</v>
      </c>
      <c r="G15" s="1201">
        <f>L15/$R$8</f>
        <v>0</v>
      </c>
      <c r="H15" s="1201">
        <f>M15/$S$8</f>
        <v>2.4486679024310477E-3</v>
      </c>
      <c r="I15" s="1201">
        <f>N15/$S$8</f>
        <v>0</v>
      </c>
      <c r="J15" s="1447">
        <f>L15+M15+N15</f>
        <v>75</v>
      </c>
      <c r="K15" s="1447">
        <v>0</v>
      </c>
      <c r="L15" s="1447">
        <v>0</v>
      </c>
      <c r="M15" s="1447">
        <v>75</v>
      </c>
      <c r="N15" s="1447">
        <v>0</v>
      </c>
      <c r="O15" s="1432"/>
      <c r="P15" s="54" t="s">
        <v>123</v>
      </c>
      <c r="Q15" s="56">
        <f t="shared" si="5"/>
        <v>0</v>
      </c>
      <c r="R15" s="56">
        <f t="shared" si="5"/>
        <v>0</v>
      </c>
      <c r="S15" s="56">
        <f t="shared" si="5"/>
        <v>-1.1525063594108795E-2</v>
      </c>
      <c r="T15" s="135">
        <f t="shared" si="5"/>
        <v>-1.1525063594108795E-2</v>
      </c>
      <c r="U15" s="56">
        <f t="shared" si="5"/>
        <v>0</v>
      </c>
      <c r="V15" s="56">
        <f t="shared" si="5"/>
        <v>0</v>
      </c>
      <c r="W15" s="57">
        <v>0</v>
      </c>
      <c r="X15" s="57">
        <v>0</v>
      </c>
      <c r="Y15" s="57">
        <f>-11.76+8.23</f>
        <v>-3.5299999999999994</v>
      </c>
      <c r="Z15" s="129">
        <f>-11.76+8.23</f>
        <v>-3.5299999999999994</v>
      </c>
      <c r="AA15" s="57">
        <f>1.18-1.18</f>
        <v>0</v>
      </c>
      <c r="AB15" s="57">
        <f>2.35-2.35</f>
        <v>0</v>
      </c>
      <c r="AC15" s="1171">
        <f>-AD15*0.3</f>
        <v>-16.160999999999998</v>
      </c>
      <c r="AD15" s="1171">
        <v>53.87</v>
      </c>
      <c r="AE15" s="1425" t="s">
        <v>448</v>
      </c>
    </row>
    <row r="16" spans="1:31" ht="15" customHeight="1" outlineLevel="1" x14ac:dyDescent="0.25">
      <c r="A16" s="1478"/>
      <c r="B16" s="1491"/>
      <c r="C16" s="1494"/>
      <c r="D16" s="1497"/>
      <c r="E16" s="1499"/>
      <c r="F16" s="1228"/>
      <c r="G16" s="1228"/>
      <c r="H16" s="1228"/>
      <c r="I16" s="1228"/>
      <c r="J16" s="1485"/>
      <c r="K16" s="1485"/>
      <c r="L16" s="1485"/>
      <c r="M16" s="1485"/>
      <c r="N16" s="1485"/>
      <c r="O16" s="1432"/>
      <c r="P16" s="54" t="s">
        <v>124</v>
      </c>
      <c r="Q16" s="56">
        <f t="shared" si="5"/>
        <v>0</v>
      </c>
      <c r="R16" s="56">
        <f t="shared" si="5"/>
        <v>0</v>
      </c>
      <c r="S16" s="56">
        <f t="shared" si="5"/>
        <v>-2.3866349822361275E-2</v>
      </c>
      <c r="T16" s="135">
        <f t="shared" si="5"/>
        <v>-2.3866349822361275E-2</v>
      </c>
      <c r="U16" s="56">
        <f t="shared" si="5"/>
        <v>0</v>
      </c>
      <c r="V16" s="56">
        <f t="shared" si="5"/>
        <v>0</v>
      </c>
      <c r="W16" s="57">
        <v>0</v>
      </c>
      <c r="X16" s="57">
        <v>0</v>
      </c>
      <c r="Y16" s="57">
        <f>-24.38+17.07</f>
        <v>-7.3099999999999987</v>
      </c>
      <c r="Z16" s="129">
        <f>-24.38+17.07</f>
        <v>-7.3099999999999987</v>
      </c>
      <c r="AA16" s="57">
        <f>2.44-2.44</f>
        <v>0</v>
      </c>
      <c r="AB16" s="57">
        <f>4.88-4.88</f>
        <v>0</v>
      </c>
      <c r="AC16" s="1171"/>
      <c r="AD16" s="1171"/>
      <c r="AE16" s="1499"/>
    </row>
    <row r="17" spans="1:33" ht="15" customHeight="1" outlineLevel="1" x14ac:dyDescent="0.25">
      <c r="A17" s="1478"/>
      <c r="B17" s="1491"/>
      <c r="C17" s="1494"/>
      <c r="D17" s="1497"/>
      <c r="E17" s="1499"/>
      <c r="F17" s="1228"/>
      <c r="G17" s="1228"/>
      <c r="H17" s="1228"/>
      <c r="I17" s="1228"/>
      <c r="J17" s="1485"/>
      <c r="K17" s="1485"/>
      <c r="L17" s="1485"/>
      <c r="M17" s="1485"/>
      <c r="N17" s="1485"/>
      <c r="O17" s="1432"/>
      <c r="P17" s="55" t="s">
        <v>125</v>
      </c>
      <c r="Q17" s="56">
        <f t="shared" si="5"/>
        <v>0</v>
      </c>
      <c r="R17" s="56">
        <f t="shared" si="5"/>
        <v>0</v>
      </c>
      <c r="S17" s="56">
        <f t="shared" si="5"/>
        <v>-3.5884803674357243E-2</v>
      </c>
      <c r="T17" s="135">
        <f t="shared" si="5"/>
        <v>-3.5884803674357243E-2</v>
      </c>
      <c r="U17" s="56">
        <f t="shared" si="5"/>
        <v>3.4554523930683747E-4</v>
      </c>
      <c r="V17" s="56">
        <f t="shared" si="5"/>
        <v>6.5680874354919979E-4</v>
      </c>
      <c r="W17" s="57">
        <v>0</v>
      </c>
      <c r="X17" s="57">
        <v>0</v>
      </c>
      <c r="Y17" s="57">
        <f>-34.0032+23.01208</f>
        <v>-10.991119999999999</v>
      </c>
      <c r="Z17" s="129">
        <f>-34.0032+23.01208</f>
        <v>-10.991119999999999</v>
      </c>
      <c r="AA17" s="57">
        <v>0.1134</v>
      </c>
      <c r="AB17" s="57">
        <v>0.2268</v>
      </c>
      <c r="AC17" s="1171"/>
      <c r="AD17" s="1171"/>
      <c r="AE17" s="1499"/>
    </row>
    <row r="18" spans="1:33" ht="15" customHeight="1" outlineLevel="1" x14ac:dyDescent="0.25">
      <c r="A18" s="1478"/>
      <c r="B18" s="1491"/>
      <c r="C18" s="1494"/>
      <c r="D18" s="1497"/>
      <c r="E18" s="1499"/>
      <c r="F18" s="1228"/>
      <c r="G18" s="1228"/>
      <c r="H18" s="1228"/>
      <c r="I18" s="1228"/>
      <c r="J18" s="1485"/>
      <c r="K18" s="1485"/>
      <c r="L18" s="1485"/>
      <c r="M18" s="1485"/>
      <c r="N18" s="1485"/>
      <c r="O18" s="1432"/>
      <c r="P18" s="55" t="s">
        <v>124</v>
      </c>
      <c r="Q18" s="56">
        <f t="shared" si="5"/>
        <v>0</v>
      </c>
      <c r="R18" s="56">
        <f t="shared" si="5"/>
        <v>0</v>
      </c>
      <c r="S18" s="56">
        <f t="shared" si="5"/>
        <v>-6.1706431141262405E-3</v>
      </c>
      <c r="T18" s="135">
        <f t="shared" si="5"/>
        <v>-6.1706431141262405E-3</v>
      </c>
      <c r="U18" s="56">
        <f t="shared" si="5"/>
        <v>5.7895586832715283E-4</v>
      </c>
      <c r="V18" s="56">
        <f t="shared" si="5"/>
        <v>1.1004732034774953E-3</v>
      </c>
      <c r="W18" s="57">
        <v>0</v>
      </c>
      <c r="X18" s="57">
        <v>0</v>
      </c>
      <c r="Y18" s="57">
        <v>-1.89</v>
      </c>
      <c r="Z18" s="129">
        <v>-1.89</v>
      </c>
      <c r="AA18" s="57">
        <v>0.19</v>
      </c>
      <c r="AB18" s="57">
        <v>0.38</v>
      </c>
      <c r="AC18" s="1171"/>
      <c r="AD18" s="1171"/>
      <c r="AE18" s="1499"/>
    </row>
    <row r="19" spans="1:33" ht="15" customHeight="1" outlineLevel="1" x14ac:dyDescent="0.25">
      <c r="A19" s="1472"/>
      <c r="B19" s="1492"/>
      <c r="C19" s="1495"/>
      <c r="D19" s="1498"/>
      <c r="E19" s="1426"/>
      <c r="F19" s="1202"/>
      <c r="G19" s="1202"/>
      <c r="H19" s="1202"/>
      <c r="I19" s="1202"/>
      <c r="J19" s="1448"/>
      <c r="K19" s="1448"/>
      <c r="L19" s="1448"/>
      <c r="M19" s="1448"/>
      <c r="N19" s="1448"/>
      <c r="O19" s="1432"/>
      <c r="P19" s="54" t="s">
        <v>124</v>
      </c>
      <c r="Q19" s="56">
        <f t="shared" si="5"/>
        <v>0</v>
      </c>
      <c r="R19" s="56">
        <f t="shared" si="5"/>
        <v>0</v>
      </c>
      <c r="S19" s="56">
        <f t="shared" si="5"/>
        <v>-2.9057525775515103E-3</v>
      </c>
      <c r="T19" s="135">
        <f t="shared" si="5"/>
        <v>-2.9057525775515103E-3</v>
      </c>
      <c r="U19" s="56">
        <f t="shared" si="5"/>
        <v>0</v>
      </c>
      <c r="V19" s="56">
        <f t="shared" si="5"/>
        <v>0</v>
      </c>
      <c r="W19" s="58">
        <v>0</v>
      </c>
      <c r="X19" s="58">
        <v>0</v>
      </c>
      <c r="Y19" s="57">
        <f>-2.97+2.08</f>
        <v>-0.89000000000000012</v>
      </c>
      <c r="Z19" s="129">
        <f>-2.97+2.08</f>
        <v>-0.89000000000000012</v>
      </c>
      <c r="AA19" s="57">
        <f>0.3-0.3</f>
        <v>0</v>
      </c>
      <c r="AB19" s="57">
        <f>0.59-0.59</f>
        <v>0</v>
      </c>
      <c r="AC19" s="1171"/>
      <c r="AD19" s="1171"/>
      <c r="AE19" s="1426"/>
    </row>
    <row r="20" spans="1:33" ht="105.75" customHeight="1" outlineLevel="1" x14ac:dyDescent="0.25">
      <c r="A20" s="210">
        <v>2</v>
      </c>
      <c r="B20" s="47" t="s">
        <v>744</v>
      </c>
      <c r="C20" s="243" t="s">
        <v>420</v>
      </c>
      <c r="D20" s="48" t="s">
        <v>745</v>
      </c>
      <c r="E20" s="49" t="s">
        <v>446</v>
      </c>
      <c r="F20" s="52">
        <f>K20/$Q$8</f>
        <v>1.2413988791941549E-3</v>
      </c>
      <c r="G20" s="52">
        <f>L20/$R$8</f>
        <v>1.1931545383303279E-3</v>
      </c>
      <c r="H20" s="52">
        <f>M20/$S$8</f>
        <v>1.1427116878011555E-3</v>
      </c>
      <c r="I20" s="52">
        <f>N20/$U$8</f>
        <v>0</v>
      </c>
      <c r="J20" s="53">
        <f>L20+M20+N20</f>
        <v>70</v>
      </c>
      <c r="K20" s="53">
        <v>35</v>
      </c>
      <c r="L20" s="53">
        <v>35</v>
      </c>
      <c r="M20" s="53">
        <v>35</v>
      </c>
      <c r="N20" s="53">
        <v>0</v>
      </c>
      <c r="O20" s="209" t="s">
        <v>450</v>
      </c>
      <c r="P20" s="54" t="s">
        <v>123</v>
      </c>
      <c r="Q20" s="56">
        <f t="shared" si="5"/>
        <v>-0.12413988791941549</v>
      </c>
      <c r="R20" s="56">
        <f t="shared" si="5"/>
        <v>-0.11931545383303278</v>
      </c>
      <c r="S20" s="56">
        <f t="shared" si="5"/>
        <v>0</v>
      </c>
      <c r="T20" s="135">
        <f t="shared" si="5"/>
        <v>0</v>
      </c>
      <c r="U20" s="56">
        <f t="shared" si="5"/>
        <v>0.10664976521815972</v>
      </c>
      <c r="V20" s="56">
        <f t="shared" si="5"/>
        <v>0</v>
      </c>
      <c r="W20" s="59">
        <v>-35</v>
      </c>
      <c r="X20" s="59">
        <v>-35</v>
      </c>
      <c r="Y20" s="59">
        <v>0</v>
      </c>
      <c r="Z20" s="130">
        <v>0</v>
      </c>
      <c r="AA20" s="59">
        <v>35</v>
      </c>
      <c r="AB20" s="59">
        <v>0</v>
      </c>
      <c r="AC20" s="60">
        <v>0</v>
      </c>
      <c r="AD20" s="60">
        <v>0</v>
      </c>
      <c r="AE20" s="208" t="s">
        <v>449</v>
      </c>
    </row>
    <row r="21" spans="1:33" ht="111" customHeight="1" outlineLevel="1" x14ac:dyDescent="0.25">
      <c r="A21" s="206">
        <v>3</v>
      </c>
      <c r="B21" s="47" t="s">
        <v>746</v>
      </c>
      <c r="C21" s="243" t="s">
        <v>324</v>
      </c>
      <c r="D21" s="48" t="s">
        <v>745</v>
      </c>
      <c r="E21" s="49" t="s">
        <v>13</v>
      </c>
      <c r="F21" s="52">
        <f>K21/$Q$8</f>
        <v>2.1281123643328366E-3</v>
      </c>
      <c r="G21" s="52">
        <f>L21/$R$8</f>
        <v>2.0454077799948482E-3</v>
      </c>
      <c r="H21" s="52">
        <f>M21/$S$8</f>
        <v>0</v>
      </c>
      <c r="I21" s="52">
        <f t="shared" ref="I21:I22" si="6">N21/$U$8</f>
        <v>0</v>
      </c>
      <c r="J21" s="53">
        <f>L21+M21+N21</f>
        <v>60</v>
      </c>
      <c r="K21" s="53">
        <v>60</v>
      </c>
      <c r="L21" s="53">
        <v>60</v>
      </c>
      <c r="M21" s="53">
        <v>0</v>
      </c>
      <c r="N21" s="53">
        <v>0</v>
      </c>
      <c r="O21" s="209" t="s">
        <v>450</v>
      </c>
      <c r="P21" s="54" t="s">
        <v>124</v>
      </c>
      <c r="Q21" s="56">
        <f t="shared" si="5"/>
        <v>-0.21281123643328367</v>
      </c>
      <c r="R21" s="56">
        <f t="shared" si="5"/>
        <v>-0.20454077799948481</v>
      </c>
      <c r="S21" s="56">
        <f t="shared" si="5"/>
        <v>0</v>
      </c>
      <c r="T21" s="135">
        <f t="shared" si="5"/>
        <v>0</v>
      </c>
      <c r="U21" s="56">
        <f t="shared" si="5"/>
        <v>0</v>
      </c>
      <c r="V21" s="56">
        <f t="shared" si="5"/>
        <v>0</v>
      </c>
      <c r="W21" s="59">
        <v>-60</v>
      </c>
      <c r="X21" s="59">
        <v>-60</v>
      </c>
      <c r="Y21" s="59">
        <v>0</v>
      </c>
      <c r="Z21" s="130">
        <v>0</v>
      </c>
      <c r="AA21" s="59">
        <v>0</v>
      </c>
      <c r="AB21" s="59">
        <v>0</v>
      </c>
      <c r="AC21" s="207">
        <v>0</v>
      </c>
      <c r="AD21" s="207">
        <v>0</v>
      </c>
      <c r="AE21" s="51" t="s">
        <v>747</v>
      </c>
    </row>
    <row r="22" spans="1:33" ht="109.5" customHeight="1" outlineLevel="1" x14ac:dyDescent="0.25">
      <c r="A22" s="206">
        <v>4</v>
      </c>
      <c r="B22" s="171" t="s">
        <v>84</v>
      </c>
      <c r="C22" s="243" t="s">
        <v>420</v>
      </c>
      <c r="D22" s="48" t="s">
        <v>745</v>
      </c>
      <c r="E22" s="51" t="s">
        <v>447</v>
      </c>
      <c r="F22" s="52">
        <f>K22/$Q$8</f>
        <v>0</v>
      </c>
      <c r="G22" s="52">
        <f>L22/$R$8</f>
        <v>0</v>
      </c>
      <c r="H22" s="52">
        <f>M22/$S$8</f>
        <v>0</v>
      </c>
      <c r="I22" s="52">
        <f t="shared" si="6"/>
        <v>0</v>
      </c>
      <c r="J22" s="53">
        <f>L22+M22+N22</f>
        <v>0</v>
      </c>
      <c r="K22" s="53">
        <v>0</v>
      </c>
      <c r="L22" s="53">
        <v>0</v>
      </c>
      <c r="M22" s="53">
        <v>0</v>
      </c>
      <c r="N22" s="53">
        <v>0</v>
      </c>
      <c r="O22" s="209" t="s">
        <v>451</v>
      </c>
      <c r="P22" s="54" t="s">
        <v>123</v>
      </c>
      <c r="Q22" s="56">
        <f>W22/Q$8*100</f>
        <v>0</v>
      </c>
      <c r="R22" s="56">
        <v>0</v>
      </c>
      <c r="S22" s="56">
        <f t="shared" si="5"/>
        <v>0</v>
      </c>
      <c r="T22" s="135">
        <f>Z22/T$8*100</f>
        <v>0</v>
      </c>
      <c r="U22" s="56">
        <f t="shared" si="5"/>
        <v>0</v>
      </c>
      <c r="V22" s="56">
        <f t="shared" si="5"/>
        <v>0</v>
      </c>
      <c r="W22" s="59">
        <v>0</v>
      </c>
      <c r="X22" s="59">
        <v>0</v>
      </c>
      <c r="Y22" s="59">
        <v>0</v>
      </c>
      <c r="Z22" s="130">
        <v>0</v>
      </c>
      <c r="AA22" s="59">
        <v>0</v>
      </c>
      <c r="AB22" s="59">
        <v>0</v>
      </c>
      <c r="AC22" s="60">
        <v>0</v>
      </c>
      <c r="AD22" s="60">
        <v>0</v>
      </c>
      <c r="AE22" s="51" t="s">
        <v>118</v>
      </c>
    </row>
    <row r="23" spans="1:33" ht="18.75" x14ac:dyDescent="0.25">
      <c r="A23" s="5" t="s">
        <v>85</v>
      </c>
      <c r="B23" s="6"/>
      <c r="C23" s="6"/>
      <c r="D23" s="7"/>
      <c r="E23" s="8"/>
      <c r="F23" s="111">
        <f>SUM(F24:F56)</f>
        <v>7.2541205575654402E-3</v>
      </c>
      <c r="G23" s="26">
        <f t="shared" ref="G23" si="7">SUM(G24:G56)</f>
        <v>4.4176642915846054E-3</v>
      </c>
      <c r="H23" s="26">
        <f>SUM(H24:H56)</f>
        <v>1.853928099549778E-2</v>
      </c>
      <c r="I23" s="26">
        <f>SUM(I24:I56)</f>
        <v>0</v>
      </c>
      <c r="J23" s="9">
        <f>SUM(J24:J56)</f>
        <v>697.42553300000009</v>
      </c>
      <c r="K23" s="112">
        <f t="shared" ref="K23:L23" si="8">SUM(K24:K56)</f>
        <v>204.52267500000002</v>
      </c>
      <c r="L23" s="9">
        <f t="shared" si="8"/>
        <v>129.58778200000003</v>
      </c>
      <c r="M23" s="9">
        <f>SUM(M24:M56)</f>
        <v>567.83775100000003</v>
      </c>
      <c r="N23" s="9">
        <f>SUM(N24:N56)</f>
        <v>0</v>
      </c>
      <c r="O23" s="25"/>
      <c r="P23" s="18"/>
      <c r="Q23" s="112">
        <f>SUM(Q24:Q56)</f>
        <v>-0.72541205575654388</v>
      </c>
      <c r="R23" s="9">
        <f t="shared" ref="R23:U23" si="9">SUM(R24:R56)</f>
        <v>-0.44176642915846048</v>
      </c>
      <c r="S23" s="9">
        <f t="shared" si="9"/>
        <v>-1.853928099549778</v>
      </c>
      <c r="T23" s="148">
        <f>SUM(T24:T56)</f>
        <v>-1.4886056673361185</v>
      </c>
      <c r="U23" s="9">
        <f t="shared" si="9"/>
        <v>0</v>
      </c>
      <c r="V23" s="9">
        <f>SUM(V24:V56)</f>
        <v>0</v>
      </c>
      <c r="W23" s="112">
        <f>SUM(W24:W56)</f>
        <v>-204.52267500000002</v>
      </c>
      <c r="X23" s="9">
        <f t="shared" ref="X23:AB23" si="10">SUM(X24:X56)</f>
        <v>-129.58778200000003</v>
      </c>
      <c r="Y23" s="9">
        <f t="shared" si="10"/>
        <v>-567.83775100000003</v>
      </c>
      <c r="Z23" s="148">
        <f>SUM(Z24:Z56)</f>
        <v>-455.94351499999999</v>
      </c>
      <c r="AA23" s="9">
        <f t="shared" si="10"/>
        <v>0</v>
      </c>
      <c r="AB23" s="9">
        <f t="shared" si="10"/>
        <v>0</v>
      </c>
      <c r="AC23" s="9">
        <f>SUM(AC24:AC56)</f>
        <v>-465.32086199999998</v>
      </c>
      <c r="AD23" s="9">
        <f>SUM(AD24:AD56)</f>
        <v>465.32086199999998</v>
      </c>
      <c r="AE23" s="61"/>
    </row>
    <row r="24" spans="1:33" ht="77.25" hidden="1" customHeight="1" outlineLevel="1" x14ac:dyDescent="0.25">
      <c r="A24" s="1471">
        <v>1</v>
      </c>
      <c r="B24" s="1473" t="s">
        <v>314</v>
      </c>
      <c r="C24" s="1304" t="s">
        <v>712</v>
      </c>
      <c r="D24" s="48" t="s">
        <v>748</v>
      </c>
      <c r="E24" s="1425" t="s">
        <v>749</v>
      </c>
      <c r="F24" s="1201">
        <f>K24/$Q$8</f>
        <v>2.1031318720295096E-5</v>
      </c>
      <c r="G24" s="1201">
        <f>L24/$R$8</f>
        <v>1.1757515271355385E-5</v>
      </c>
      <c r="H24" s="1201">
        <f>M24/$S$8</f>
        <v>3.9736329742543729E-5</v>
      </c>
      <c r="I24" s="1201">
        <f>N24/$U$8</f>
        <v>0</v>
      </c>
      <c r="J24" s="1447">
        <f>L24+M24</f>
        <v>1.5619750000000001</v>
      </c>
      <c r="K24" s="1465">
        <f>-W24</f>
        <v>0.59295699999999996</v>
      </c>
      <c r="L24" s="1465">
        <f t="shared" ref="L24:M24" si="11">-X24</f>
        <v>0.34489500000000001</v>
      </c>
      <c r="M24" s="1465">
        <f t="shared" si="11"/>
        <v>1.2170800000000002</v>
      </c>
      <c r="N24" s="1465">
        <f>-AA24</f>
        <v>0</v>
      </c>
      <c r="O24" s="1483" t="s">
        <v>454</v>
      </c>
      <c r="P24" s="1304" t="s">
        <v>127</v>
      </c>
      <c r="Q24" s="1416">
        <f t="shared" ref="Q24:V24" si="12">W24/Q$8*100</f>
        <v>-2.1031318720295096E-3</v>
      </c>
      <c r="R24" s="1416">
        <f t="shared" si="12"/>
        <v>-1.1757515271355384E-3</v>
      </c>
      <c r="S24" s="1416">
        <f t="shared" si="12"/>
        <v>-3.9736329742543729E-3</v>
      </c>
      <c r="T24" s="1419">
        <f t="shared" si="12"/>
        <v>-3.9736329742543729E-3</v>
      </c>
      <c r="U24" s="1416">
        <f t="shared" si="12"/>
        <v>0</v>
      </c>
      <c r="V24" s="1416">
        <f t="shared" si="12"/>
        <v>0</v>
      </c>
      <c r="W24" s="1430">
        <v>-0.59295699999999996</v>
      </c>
      <c r="X24" s="1430">
        <f>-0.342956-0.001939</f>
        <v>-0.34489500000000001</v>
      </c>
      <c r="Y24" s="1430">
        <f>-0.375-0.84208</f>
        <v>-1.2170800000000002</v>
      </c>
      <c r="Z24" s="1435">
        <f>-0.375-0.84208</f>
        <v>-1.2170800000000002</v>
      </c>
      <c r="AA24" s="1430">
        <v>0</v>
      </c>
      <c r="AB24" s="1430">
        <v>0</v>
      </c>
      <c r="AC24" s="1169">
        <f>-0.123334</f>
        <v>-0.123334</v>
      </c>
      <c r="AD24" s="1169">
        <f>-AC24</f>
        <v>0.123334</v>
      </c>
      <c r="AE24" s="51" t="s">
        <v>750</v>
      </c>
    </row>
    <row r="25" spans="1:33" ht="57.75" hidden="1" customHeight="1" outlineLevel="1" x14ac:dyDescent="0.25">
      <c r="A25" s="1472"/>
      <c r="B25" s="1474"/>
      <c r="C25" s="1305"/>
      <c r="D25" s="48" t="s">
        <v>751</v>
      </c>
      <c r="E25" s="1426"/>
      <c r="F25" s="1202"/>
      <c r="G25" s="1202"/>
      <c r="H25" s="1202"/>
      <c r="I25" s="1202"/>
      <c r="J25" s="1448"/>
      <c r="K25" s="1466"/>
      <c r="L25" s="1466"/>
      <c r="M25" s="1466"/>
      <c r="N25" s="1466"/>
      <c r="O25" s="1484"/>
      <c r="P25" s="1305"/>
      <c r="Q25" s="1418"/>
      <c r="R25" s="1418"/>
      <c r="S25" s="1418"/>
      <c r="T25" s="1421"/>
      <c r="U25" s="1418"/>
      <c r="V25" s="1418"/>
      <c r="W25" s="1431"/>
      <c r="X25" s="1431"/>
      <c r="Y25" s="1431"/>
      <c r="Z25" s="1437"/>
      <c r="AA25" s="1431"/>
      <c r="AB25" s="1431"/>
      <c r="AC25" s="1170"/>
      <c r="AD25" s="1170"/>
      <c r="AE25" s="51" t="s">
        <v>752</v>
      </c>
    </row>
    <row r="26" spans="1:33" ht="119.25" hidden="1" customHeight="1" outlineLevel="1" x14ac:dyDescent="0.25">
      <c r="A26" s="1471">
        <v>2</v>
      </c>
      <c r="B26" s="1473" t="s">
        <v>753</v>
      </c>
      <c r="C26" s="62" t="s">
        <v>191</v>
      </c>
      <c r="D26" s="48" t="s">
        <v>86</v>
      </c>
      <c r="E26" s="51" t="s">
        <v>209</v>
      </c>
      <c r="F26" s="52">
        <f>K26/$Q$8</f>
        <v>1.0048286869546711E-4</v>
      </c>
      <c r="G26" s="52">
        <f>L26/$R$8</f>
        <v>9.657781460723874E-5</v>
      </c>
      <c r="H26" s="52">
        <f>M26/$S$8</f>
        <v>0</v>
      </c>
      <c r="I26" s="52">
        <f>N26/$U$8</f>
        <v>0</v>
      </c>
      <c r="J26" s="53">
        <f>L26+M26</f>
        <v>2.8330139999999999</v>
      </c>
      <c r="K26" s="69">
        <f t="shared" ref="K26:M27" si="13">-W26</f>
        <v>2.8330139999999999</v>
      </c>
      <c r="L26" s="69">
        <f t="shared" si="13"/>
        <v>2.8330139999999999</v>
      </c>
      <c r="M26" s="69">
        <f t="shared" si="13"/>
        <v>0</v>
      </c>
      <c r="N26" s="69">
        <f>-AA26</f>
        <v>0</v>
      </c>
      <c r="O26" s="241" t="s">
        <v>454</v>
      </c>
      <c r="P26" s="70" t="s">
        <v>126</v>
      </c>
      <c r="Q26" s="74">
        <f t="shared" ref="Q26:V28" si="14">W26/Q$8*100</f>
        <v>-1.0048286869546711E-2</v>
      </c>
      <c r="R26" s="74">
        <f t="shared" si="14"/>
        <v>-9.6577814607238747E-3</v>
      </c>
      <c r="S26" s="74">
        <f t="shared" si="14"/>
        <v>0</v>
      </c>
      <c r="T26" s="136">
        <f t="shared" si="14"/>
        <v>0</v>
      </c>
      <c r="U26" s="74">
        <f t="shared" si="14"/>
        <v>0</v>
      </c>
      <c r="V26" s="74">
        <f t="shared" si="14"/>
        <v>0</v>
      </c>
      <c r="W26" s="76">
        <v>-2.8330139999999999</v>
      </c>
      <c r="X26" s="76">
        <v>-2.8330139999999999</v>
      </c>
      <c r="Y26" s="76">
        <v>0</v>
      </c>
      <c r="Z26" s="131">
        <v>0</v>
      </c>
      <c r="AA26" s="76">
        <v>0</v>
      </c>
      <c r="AB26" s="76">
        <v>0</v>
      </c>
      <c r="AC26" s="207">
        <v>0</v>
      </c>
      <c r="AD26" s="207">
        <f>-AC26</f>
        <v>0</v>
      </c>
      <c r="AE26" s="51" t="s">
        <v>754</v>
      </c>
    </row>
    <row r="27" spans="1:33" ht="183" hidden="1" customHeight="1" outlineLevel="1" x14ac:dyDescent="0.25">
      <c r="A27" s="1478"/>
      <c r="B27" s="1474"/>
      <c r="C27" s="63">
        <v>44147</v>
      </c>
      <c r="D27" s="48" t="s">
        <v>86</v>
      </c>
      <c r="E27" s="49" t="s">
        <v>755</v>
      </c>
      <c r="F27" s="52">
        <f>K27/$Q$8</f>
        <v>9.703837695963681E-7</v>
      </c>
      <c r="G27" s="52">
        <f>L27/$R$8</f>
        <v>9.3267185754798411E-7</v>
      </c>
      <c r="H27" s="52">
        <f>M27/$S$8</f>
        <v>7.988645171169294E-4</v>
      </c>
      <c r="I27" s="52">
        <f>N27/$U$8</f>
        <v>0</v>
      </c>
      <c r="J27" s="53">
        <f>L27+M27</f>
        <v>24.495699000000002</v>
      </c>
      <c r="K27" s="69">
        <f t="shared" si="13"/>
        <v>2.7359000000000001E-2</v>
      </c>
      <c r="L27" s="69">
        <f t="shared" si="13"/>
        <v>2.7359000000000001E-2</v>
      </c>
      <c r="M27" s="69">
        <f t="shared" si="13"/>
        <v>24.468340000000001</v>
      </c>
      <c r="N27" s="69">
        <f>-AA27</f>
        <v>0</v>
      </c>
      <c r="O27" s="242" t="s">
        <v>455</v>
      </c>
      <c r="P27" s="72" t="s">
        <v>126</v>
      </c>
      <c r="Q27" s="82">
        <f t="shared" si="14"/>
        <v>-9.7038376959636806E-5</v>
      </c>
      <c r="R27" s="74">
        <f t="shared" si="14"/>
        <v>-9.3267185754798411E-5</v>
      </c>
      <c r="S27" s="75">
        <f t="shared" si="14"/>
        <v>-7.9886451711692938E-2</v>
      </c>
      <c r="T27" s="137">
        <f t="shared" si="14"/>
        <v>-4.3384342124023353E-2</v>
      </c>
      <c r="U27" s="75">
        <f t="shared" si="14"/>
        <v>0</v>
      </c>
      <c r="V27" s="75">
        <f t="shared" si="14"/>
        <v>0</v>
      </c>
      <c r="W27" s="77">
        <v>-2.7359000000000001E-2</v>
      </c>
      <c r="X27" s="77">
        <v>-2.7359000000000001E-2</v>
      </c>
      <c r="Y27" s="207">
        <v>-24.468340000000001</v>
      </c>
      <c r="Z27" s="132">
        <v>-13.288145999999999</v>
      </c>
      <c r="AA27" s="207">
        <v>0</v>
      </c>
      <c r="AB27" s="207">
        <v>0</v>
      </c>
      <c r="AC27" s="207">
        <f>-24.46834</f>
        <v>-24.468340000000001</v>
      </c>
      <c r="AD27" s="77">
        <f>-AC27</f>
        <v>24.468340000000001</v>
      </c>
      <c r="AE27" s="51" t="s">
        <v>1160</v>
      </c>
    </row>
    <row r="28" spans="1:33" ht="60.75" hidden="1" customHeight="1" outlineLevel="1" x14ac:dyDescent="0.25">
      <c r="A28" s="1478"/>
      <c r="B28" s="1445" t="s">
        <v>756</v>
      </c>
      <c r="C28" s="1208" t="s">
        <v>1212</v>
      </c>
      <c r="D28" s="48" t="s">
        <v>757</v>
      </c>
      <c r="E28" s="1469" t="s">
        <v>758</v>
      </c>
      <c r="F28" s="1201">
        <f>K28/$Q$8</f>
        <v>3.7260275235865789E-4</v>
      </c>
      <c r="G28" s="1201">
        <f>L28/$R$8</f>
        <v>2.1200992540943267E-6</v>
      </c>
      <c r="H28" s="1201">
        <f>M28/$S$8</f>
        <v>1.7969918987598983E-3</v>
      </c>
      <c r="I28" s="1201">
        <f>N28/$U$8</f>
        <v>0</v>
      </c>
      <c r="J28" s="1447">
        <f>L28+M28</f>
        <v>55.102072999999997</v>
      </c>
      <c r="K28" s="1465">
        <f>-W28</f>
        <v>10.505162</v>
      </c>
      <c r="L28" s="1465">
        <f>-X28</f>
        <v>6.2191000000000003E-2</v>
      </c>
      <c r="M28" s="1465">
        <f>-Y28</f>
        <v>55.039881999999999</v>
      </c>
      <c r="N28" s="1465">
        <f>-AA28</f>
        <v>0</v>
      </c>
      <c r="O28" s="1459" t="s">
        <v>455</v>
      </c>
      <c r="P28" s="1459" t="s">
        <v>126</v>
      </c>
      <c r="Q28" s="1467">
        <f t="shared" si="14"/>
        <v>-3.7260275235865788E-2</v>
      </c>
      <c r="R28" s="1416">
        <f t="shared" si="14"/>
        <v>-2.1200992540943266E-4</v>
      </c>
      <c r="S28" s="1429">
        <f t="shared" si="14"/>
        <v>-0.17969918987598982</v>
      </c>
      <c r="T28" s="1427">
        <f t="shared" si="14"/>
        <v>-3.68240506488096E-2</v>
      </c>
      <c r="U28" s="1429">
        <f t="shared" si="14"/>
        <v>0</v>
      </c>
      <c r="V28" s="1429">
        <f t="shared" si="14"/>
        <v>0</v>
      </c>
      <c r="W28" s="1409">
        <v>-10.505162</v>
      </c>
      <c r="X28" s="1409">
        <v>-6.2191000000000003E-2</v>
      </c>
      <c r="Y28" s="1169">
        <v>-55.039881999999999</v>
      </c>
      <c r="Z28" s="1177">
        <v>-11.278801</v>
      </c>
      <c r="AA28" s="1169">
        <v>0</v>
      </c>
      <c r="AB28" s="1169">
        <v>0</v>
      </c>
      <c r="AC28" s="1169">
        <f>-2.243266</f>
        <v>-2.2432660000000002</v>
      </c>
      <c r="AD28" s="1409">
        <f>-AC28</f>
        <v>2.2432660000000002</v>
      </c>
      <c r="AE28" s="1425" t="s">
        <v>759</v>
      </c>
    </row>
    <row r="29" spans="1:33" ht="89.25" hidden="1" customHeight="1" outlineLevel="1" x14ac:dyDescent="0.25">
      <c r="A29" s="1472"/>
      <c r="B29" s="1477"/>
      <c r="C29" s="1209"/>
      <c r="D29" s="48" t="s">
        <v>1243</v>
      </c>
      <c r="E29" s="1470"/>
      <c r="F29" s="1202"/>
      <c r="G29" s="1202"/>
      <c r="H29" s="1202"/>
      <c r="I29" s="1202"/>
      <c r="J29" s="1448"/>
      <c r="K29" s="1466"/>
      <c r="L29" s="1466"/>
      <c r="M29" s="1466"/>
      <c r="N29" s="1466"/>
      <c r="O29" s="1460"/>
      <c r="P29" s="1460"/>
      <c r="Q29" s="1468"/>
      <c r="R29" s="1418"/>
      <c r="S29" s="1244"/>
      <c r="T29" s="1428"/>
      <c r="U29" s="1244"/>
      <c r="V29" s="1244"/>
      <c r="W29" s="1411"/>
      <c r="X29" s="1411"/>
      <c r="Y29" s="1170"/>
      <c r="Z29" s="1178"/>
      <c r="AA29" s="1170"/>
      <c r="AB29" s="1170"/>
      <c r="AC29" s="1170"/>
      <c r="AD29" s="1411"/>
      <c r="AE29" s="1426"/>
      <c r="AG29" s="22"/>
    </row>
    <row r="30" spans="1:33" ht="121.5" hidden="1" customHeight="1" outlineLevel="1" x14ac:dyDescent="0.25">
      <c r="A30" s="1471">
        <v>3</v>
      </c>
      <c r="B30" s="1473" t="s">
        <v>760</v>
      </c>
      <c r="C30" s="64">
        <v>43916</v>
      </c>
      <c r="D30" s="48" t="s">
        <v>761</v>
      </c>
      <c r="E30" s="51" t="s">
        <v>90</v>
      </c>
      <c r="F30" s="1201">
        <f>K30/$Q$8</f>
        <v>1.8994684684684685E-3</v>
      </c>
      <c r="G30" s="1201">
        <f>L30/$R$8</f>
        <v>1.8244093441863577E-3</v>
      </c>
      <c r="H30" s="1201">
        <f>M30/$S$8</f>
        <v>0</v>
      </c>
      <c r="I30" s="1201">
        <f>N30/$U$8</f>
        <v>0</v>
      </c>
      <c r="J30" s="1465">
        <f>L30+M30</f>
        <v>53.517231000000002</v>
      </c>
      <c r="K30" s="1465">
        <f>-W30</f>
        <v>53.553614000000003</v>
      </c>
      <c r="L30" s="1465">
        <f t="shared" ref="L30:M30" si="15">-X30</f>
        <v>53.517231000000002</v>
      </c>
      <c r="M30" s="1465">
        <f t="shared" si="15"/>
        <v>0</v>
      </c>
      <c r="N30" s="1465">
        <f>-AA30</f>
        <v>0</v>
      </c>
      <c r="O30" s="73" t="s">
        <v>456</v>
      </c>
      <c r="P30" s="1488" t="s">
        <v>127</v>
      </c>
      <c r="Q30" s="1416">
        <f>W30/Q$8*100</f>
        <v>-0.18994684684684685</v>
      </c>
      <c r="R30" s="1416">
        <f t="shared" ref="R30" si="16">X30/R$8*100</f>
        <v>-0.18244093441863576</v>
      </c>
      <c r="S30" s="1416">
        <f>Y30/S$8*100</f>
        <v>0</v>
      </c>
      <c r="T30" s="1419">
        <f t="shared" ref="T30" si="17">Z30/T$8*100</f>
        <v>0</v>
      </c>
      <c r="U30" s="1416">
        <f>AA30/U$8*100</f>
        <v>0</v>
      </c>
      <c r="V30" s="1416">
        <f>AB30/V$8*100</f>
        <v>0</v>
      </c>
      <c r="W30" s="1430">
        <v>-53.553614000000003</v>
      </c>
      <c r="X30" s="1430">
        <v>-53.517231000000002</v>
      </c>
      <c r="Y30" s="1430">
        <v>0</v>
      </c>
      <c r="Z30" s="1435">
        <v>0</v>
      </c>
      <c r="AA30" s="1430">
        <v>0</v>
      </c>
      <c r="AB30" s="1430">
        <v>0</v>
      </c>
      <c r="AC30" s="1169">
        <v>0</v>
      </c>
      <c r="AD30" s="1169">
        <f>-AC30</f>
        <v>0</v>
      </c>
      <c r="AE30" s="51" t="s">
        <v>472</v>
      </c>
    </row>
    <row r="31" spans="1:33" ht="88.5" hidden="1" customHeight="1" outlineLevel="1" x14ac:dyDescent="0.25">
      <c r="A31" s="1478"/>
      <c r="B31" s="1479"/>
      <c r="C31" s="64">
        <v>43921</v>
      </c>
      <c r="D31" s="65" t="s">
        <v>87</v>
      </c>
      <c r="E31" s="51" t="s">
        <v>91</v>
      </c>
      <c r="F31" s="1228"/>
      <c r="G31" s="1228"/>
      <c r="H31" s="1228"/>
      <c r="I31" s="1228"/>
      <c r="J31" s="1487"/>
      <c r="K31" s="1487"/>
      <c r="L31" s="1487"/>
      <c r="M31" s="1487"/>
      <c r="N31" s="1487"/>
      <c r="O31" s="73" t="s">
        <v>457</v>
      </c>
      <c r="P31" s="1489"/>
      <c r="Q31" s="1417"/>
      <c r="R31" s="1417"/>
      <c r="S31" s="1417"/>
      <c r="T31" s="1420"/>
      <c r="U31" s="1417"/>
      <c r="V31" s="1417"/>
      <c r="W31" s="1438"/>
      <c r="X31" s="1438"/>
      <c r="Y31" s="1438"/>
      <c r="Z31" s="1436"/>
      <c r="AA31" s="1438"/>
      <c r="AB31" s="1438"/>
      <c r="AC31" s="1182"/>
      <c r="AD31" s="1182"/>
      <c r="AE31" s="51" t="s">
        <v>473</v>
      </c>
    </row>
    <row r="32" spans="1:33" ht="132.75" hidden="1" customHeight="1" outlineLevel="1" x14ac:dyDescent="0.25">
      <c r="A32" s="1478"/>
      <c r="B32" s="1479"/>
      <c r="C32" s="64">
        <v>43923</v>
      </c>
      <c r="D32" s="48" t="s">
        <v>88</v>
      </c>
      <c r="E32" s="51" t="s">
        <v>92</v>
      </c>
      <c r="F32" s="1228"/>
      <c r="G32" s="1228"/>
      <c r="H32" s="1228"/>
      <c r="I32" s="1228"/>
      <c r="J32" s="1487"/>
      <c r="K32" s="1487"/>
      <c r="L32" s="1487"/>
      <c r="M32" s="1487"/>
      <c r="N32" s="1487"/>
      <c r="O32" s="73" t="s">
        <v>456</v>
      </c>
      <c r="P32" s="1489"/>
      <c r="Q32" s="1417"/>
      <c r="R32" s="1417"/>
      <c r="S32" s="1417"/>
      <c r="T32" s="1420"/>
      <c r="U32" s="1417"/>
      <c r="V32" s="1417"/>
      <c r="W32" s="1438"/>
      <c r="X32" s="1438"/>
      <c r="Y32" s="1438"/>
      <c r="Z32" s="1436"/>
      <c r="AA32" s="1438"/>
      <c r="AB32" s="1438"/>
      <c r="AC32" s="1182"/>
      <c r="AD32" s="1182"/>
      <c r="AE32" s="51" t="s">
        <v>119</v>
      </c>
    </row>
    <row r="33" spans="1:31" ht="132.75" hidden="1" customHeight="1" outlineLevel="1" x14ac:dyDescent="0.25">
      <c r="A33" s="1478"/>
      <c r="B33" s="1479"/>
      <c r="C33" s="64">
        <v>43930</v>
      </c>
      <c r="D33" s="65" t="s">
        <v>89</v>
      </c>
      <c r="E33" s="51" t="s">
        <v>762</v>
      </c>
      <c r="F33" s="1228"/>
      <c r="G33" s="1228"/>
      <c r="H33" s="1228"/>
      <c r="I33" s="1228"/>
      <c r="J33" s="1487"/>
      <c r="K33" s="1487"/>
      <c r="L33" s="1487"/>
      <c r="M33" s="1487"/>
      <c r="N33" s="1487"/>
      <c r="O33" s="73" t="s">
        <v>456</v>
      </c>
      <c r="P33" s="1489"/>
      <c r="Q33" s="1417"/>
      <c r="R33" s="1417"/>
      <c r="S33" s="1417"/>
      <c r="T33" s="1420"/>
      <c r="U33" s="1417"/>
      <c r="V33" s="1417"/>
      <c r="W33" s="1438"/>
      <c r="X33" s="1438"/>
      <c r="Y33" s="1438"/>
      <c r="Z33" s="1436"/>
      <c r="AA33" s="1438"/>
      <c r="AB33" s="1438"/>
      <c r="AC33" s="1182"/>
      <c r="AD33" s="1182"/>
      <c r="AE33" s="51" t="s">
        <v>136</v>
      </c>
    </row>
    <row r="34" spans="1:31" ht="87.75" hidden="1" customHeight="1" outlineLevel="1" x14ac:dyDescent="0.25">
      <c r="A34" s="1478"/>
      <c r="B34" s="1479"/>
      <c r="C34" s="64">
        <v>43944</v>
      </c>
      <c r="D34" s="48" t="s">
        <v>244</v>
      </c>
      <c r="E34" s="51" t="s">
        <v>172</v>
      </c>
      <c r="F34" s="1228"/>
      <c r="G34" s="1228"/>
      <c r="H34" s="1228"/>
      <c r="I34" s="1228"/>
      <c r="J34" s="1487"/>
      <c r="K34" s="1487"/>
      <c r="L34" s="1487"/>
      <c r="M34" s="1487"/>
      <c r="N34" s="1487"/>
      <c r="O34" s="73" t="s">
        <v>457</v>
      </c>
      <c r="P34" s="1489"/>
      <c r="Q34" s="1417"/>
      <c r="R34" s="1417"/>
      <c r="S34" s="1417"/>
      <c r="T34" s="1420"/>
      <c r="U34" s="1417"/>
      <c r="V34" s="1417"/>
      <c r="W34" s="1438"/>
      <c r="X34" s="1438"/>
      <c r="Y34" s="1438"/>
      <c r="Z34" s="1436"/>
      <c r="AA34" s="1438"/>
      <c r="AB34" s="1438"/>
      <c r="AC34" s="1182"/>
      <c r="AD34" s="1182"/>
      <c r="AE34" s="51" t="s">
        <v>175</v>
      </c>
    </row>
    <row r="35" spans="1:31" ht="87.75" hidden="1" customHeight="1" outlineLevel="1" x14ac:dyDescent="0.25">
      <c r="A35" s="1478"/>
      <c r="B35" s="1479"/>
      <c r="C35" s="64">
        <v>43949</v>
      </c>
      <c r="D35" s="48" t="s">
        <v>763</v>
      </c>
      <c r="E35" s="51" t="s">
        <v>173</v>
      </c>
      <c r="F35" s="1202"/>
      <c r="G35" s="1202"/>
      <c r="H35" s="1202"/>
      <c r="I35" s="1202"/>
      <c r="J35" s="1487"/>
      <c r="K35" s="1487"/>
      <c r="L35" s="1487"/>
      <c r="M35" s="1487"/>
      <c r="N35" s="1487"/>
      <c r="O35" s="73" t="s">
        <v>456</v>
      </c>
      <c r="P35" s="1489"/>
      <c r="Q35" s="1417"/>
      <c r="R35" s="1417"/>
      <c r="S35" s="1417"/>
      <c r="T35" s="1420"/>
      <c r="U35" s="1417"/>
      <c r="V35" s="1417"/>
      <c r="W35" s="1438"/>
      <c r="X35" s="1438"/>
      <c r="Y35" s="1438"/>
      <c r="Z35" s="1436"/>
      <c r="AA35" s="1438"/>
      <c r="AB35" s="1438"/>
      <c r="AC35" s="1182"/>
      <c r="AD35" s="1182"/>
      <c r="AE35" s="51" t="s">
        <v>136</v>
      </c>
    </row>
    <row r="36" spans="1:31" ht="137.25" hidden="1" customHeight="1" outlineLevel="1" x14ac:dyDescent="0.25">
      <c r="A36" s="1478"/>
      <c r="B36" s="1479"/>
      <c r="C36" s="64" t="s">
        <v>532</v>
      </c>
      <c r="D36" s="48" t="s">
        <v>764</v>
      </c>
      <c r="E36" s="51" t="s">
        <v>765</v>
      </c>
      <c r="F36" s="52">
        <f>K36/$Q$8</f>
        <v>7.2016280059587138E-4</v>
      </c>
      <c r="G36" s="52">
        <f>L36/$R$8</f>
        <v>2.3814358926248184E-4</v>
      </c>
      <c r="H36" s="52">
        <f>M36/$S$8</f>
        <v>3.1852148988449841E-3</v>
      </c>
      <c r="I36" s="52">
        <f>N36/$U$8</f>
        <v>0</v>
      </c>
      <c r="J36" s="53">
        <f t="shared" ref="J36:J49" si="18">L36+M36</f>
        <v>104.545328</v>
      </c>
      <c r="K36" s="69">
        <f t="shared" ref="K36:M49" si="19">-W36</f>
        <v>20.304269999999999</v>
      </c>
      <c r="L36" s="69">
        <f t="shared" si="19"/>
        <v>6.9857050000000003</v>
      </c>
      <c r="M36" s="69">
        <f t="shared" si="19"/>
        <v>97.559623000000002</v>
      </c>
      <c r="N36" s="69">
        <f>-AA36</f>
        <v>0</v>
      </c>
      <c r="O36" s="73" t="s">
        <v>456</v>
      </c>
      <c r="P36" s="1489"/>
      <c r="Q36" s="74">
        <f t="shared" ref="Q36:V52" si="20">W36/Q$8*100</f>
        <v>-7.2016280059587143E-2</v>
      </c>
      <c r="R36" s="74">
        <f t="shared" si="20"/>
        <v>-2.3814358926248183E-2</v>
      </c>
      <c r="S36" s="74">
        <f t="shared" si="20"/>
        <v>-0.31852148988449841</v>
      </c>
      <c r="T36" s="136">
        <f t="shared" si="20"/>
        <v>-0.31852148988449841</v>
      </c>
      <c r="U36" s="74">
        <f t="shared" si="20"/>
        <v>0</v>
      </c>
      <c r="V36" s="74">
        <f t="shared" si="20"/>
        <v>0</v>
      </c>
      <c r="W36" s="76">
        <f>-20.30427</f>
        <v>-20.304269999999999</v>
      </c>
      <c r="X36" s="76">
        <v>-6.9857050000000003</v>
      </c>
      <c r="Y36" s="76">
        <f>-97.559623</f>
        <v>-97.559623000000002</v>
      </c>
      <c r="Z36" s="131">
        <f>-97.559623</f>
        <v>-97.559623000000002</v>
      </c>
      <c r="AA36" s="76">
        <v>0</v>
      </c>
      <c r="AB36" s="76">
        <v>0</v>
      </c>
      <c r="AC36" s="207">
        <v>-111.251271</v>
      </c>
      <c r="AD36" s="207">
        <f>-AC36</f>
        <v>111.251271</v>
      </c>
      <c r="AE36" s="51" t="s">
        <v>766</v>
      </c>
    </row>
    <row r="37" spans="1:31" ht="81" hidden="1" customHeight="1" outlineLevel="1" x14ac:dyDescent="0.25">
      <c r="A37" s="67">
        <v>4</v>
      </c>
      <c r="B37" s="68" t="s">
        <v>767</v>
      </c>
      <c r="C37" s="64">
        <v>43951</v>
      </c>
      <c r="D37" s="48" t="s">
        <v>768</v>
      </c>
      <c r="E37" s="51" t="s">
        <v>769</v>
      </c>
      <c r="F37" s="52">
        <f>K37/$Q$8</f>
        <v>5.9207278144286016E-5</v>
      </c>
      <c r="G37" s="52">
        <f>L37/$R$8</f>
        <v>5.6892881040038028E-5</v>
      </c>
      <c r="H37" s="52">
        <f>M37/$S$8</f>
        <v>0</v>
      </c>
      <c r="I37" s="52">
        <f>N37/$U$8</f>
        <v>0</v>
      </c>
      <c r="J37" s="53">
        <f t="shared" si="18"/>
        <v>1.6688959999999999</v>
      </c>
      <c r="K37" s="69">
        <f t="shared" si="19"/>
        <v>1.6692899999999999</v>
      </c>
      <c r="L37" s="69">
        <f t="shared" si="19"/>
        <v>1.6688959999999999</v>
      </c>
      <c r="M37" s="69">
        <f t="shared" si="19"/>
        <v>0</v>
      </c>
      <c r="N37" s="69">
        <f>-AA37</f>
        <v>0</v>
      </c>
      <c r="O37" s="73" t="s">
        <v>455</v>
      </c>
      <c r="P37" s="70" t="s">
        <v>127</v>
      </c>
      <c r="Q37" s="74">
        <f t="shared" si="20"/>
        <v>-5.9207278144286016E-3</v>
      </c>
      <c r="R37" s="74">
        <f t="shared" si="20"/>
        <v>-5.6892881040038028E-3</v>
      </c>
      <c r="S37" s="74">
        <f t="shared" si="20"/>
        <v>0</v>
      </c>
      <c r="T37" s="136">
        <f t="shared" si="20"/>
        <v>0</v>
      </c>
      <c r="U37" s="74">
        <f t="shared" si="20"/>
        <v>0</v>
      </c>
      <c r="V37" s="74">
        <f t="shared" si="20"/>
        <v>0</v>
      </c>
      <c r="W37" s="76">
        <v>-1.6692899999999999</v>
      </c>
      <c r="X37" s="76">
        <v>-1.6688959999999999</v>
      </c>
      <c r="Y37" s="76">
        <v>0</v>
      </c>
      <c r="Z37" s="131">
        <v>0</v>
      </c>
      <c r="AA37" s="76">
        <v>0</v>
      </c>
      <c r="AB37" s="76">
        <v>0</v>
      </c>
      <c r="AC37" s="207">
        <v>0</v>
      </c>
      <c r="AD37" s="207">
        <f>-AC37</f>
        <v>0</v>
      </c>
      <c r="AE37" s="51" t="s">
        <v>452</v>
      </c>
    </row>
    <row r="38" spans="1:31" ht="74.25" hidden="1" customHeight="1" outlineLevel="1" x14ac:dyDescent="0.25">
      <c r="A38" s="1471">
        <v>5</v>
      </c>
      <c r="B38" s="1480" t="s">
        <v>770</v>
      </c>
      <c r="C38" s="64">
        <v>43937</v>
      </c>
      <c r="D38" s="48" t="s">
        <v>771</v>
      </c>
      <c r="E38" s="51" t="s">
        <v>772</v>
      </c>
      <c r="F38" s="52">
        <f>K38/$Q$8</f>
        <v>5.6749663048875653E-5</v>
      </c>
      <c r="G38" s="52">
        <f>L38/$R$8</f>
        <v>5.396116397884175E-5</v>
      </c>
      <c r="H38" s="52">
        <f>M38/$S$8</f>
        <v>0</v>
      </c>
      <c r="I38" s="52">
        <f>N38/$U$8</f>
        <v>0</v>
      </c>
      <c r="J38" s="53">
        <f t="shared" si="18"/>
        <v>1.582897</v>
      </c>
      <c r="K38" s="69">
        <f t="shared" si="19"/>
        <v>1.6</v>
      </c>
      <c r="L38" s="69">
        <f t="shared" si="19"/>
        <v>1.582897</v>
      </c>
      <c r="M38" s="69">
        <f t="shared" si="19"/>
        <v>0</v>
      </c>
      <c r="N38" s="127">
        <f>-AA38</f>
        <v>0</v>
      </c>
      <c r="O38" s="73" t="s">
        <v>458</v>
      </c>
      <c r="P38" s="70" t="s">
        <v>127</v>
      </c>
      <c r="Q38" s="74">
        <f t="shared" si="20"/>
        <v>-5.6749663048875649E-3</v>
      </c>
      <c r="R38" s="74">
        <f t="shared" si="20"/>
        <v>-5.3961163978841747E-3</v>
      </c>
      <c r="S38" s="74">
        <f t="shared" si="20"/>
        <v>0</v>
      </c>
      <c r="T38" s="136">
        <f t="shared" si="20"/>
        <v>0</v>
      </c>
      <c r="U38" s="74">
        <f t="shared" si="20"/>
        <v>0</v>
      </c>
      <c r="V38" s="74">
        <f t="shared" si="20"/>
        <v>0</v>
      </c>
      <c r="W38" s="76">
        <v>-1.6</v>
      </c>
      <c r="X38" s="217">
        <v>-1.582897</v>
      </c>
      <c r="Y38" s="76">
        <v>0</v>
      </c>
      <c r="Z38" s="131">
        <v>0</v>
      </c>
      <c r="AA38" s="76">
        <v>0</v>
      </c>
      <c r="AB38" s="76">
        <v>0</v>
      </c>
      <c r="AC38" s="211">
        <v>0</v>
      </c>
      <c r="AD38" s="211">
        <f>-AC38</f>
        <v>0</v>
      </c>
      <c r="AE38" s="51" t="s">
        <v>773</v>
      </c>
    </row>
    <row r="39" spans="1:31" ht="72" hidden="1" customHeight="1" outlineLevel="1" x14ac:dyDescent="0.25">
      <c r="A39" s="1478"/>
      <c r="B39" s="1481"/>
      <c r="C39" s="1298" t="s">
        <v>1224</v>
      </c>
      <c r="D39" s="48" t="s">
        <v>774</v>
      </c>
      <c r="E39" s="1304" t="s">
        <v>775</v>
      </c>
      <c r="F39" s="1201">
        <f>K39/$Q$8</f>
        <v>1.5960842732496278E-5</v>
      </c>
      <c r="G39" s="1201">
        <f>L39/$R$8</f>
        <v>7.528225604660038E-6</v>
      </c>
      <c r="H39" s="1201">
        <f>M39/$S$8</f>
        <v>1.1463683652021192E-4</v>
      </c>
      <c r="I39" s="1201">
        <f>N39/$U$8</f>
        <v>0</v>
      </c>
      <c r="J39" s="1447">
        <f>L39+M39+N39</f>
        <v>3.7320329999999999</v>
      </c>
      <c r="K39" s="1233">
        <f>-W39</f>
        <v>0.45</v>
      </c>
      <c r="L39" s="1265">
        <f t="shared" si="19"/>
        <v>0.220833</v>
      </c>
      <c r="M39" s="1265">
        <f t="shared" si="19"/>
        <v>3.5112000000000001</v>
      </c>
      <c r="N39" s="1265">
        <f>-AA39</f>
        <v>0</v>
      </c>
      <c r="O39" s="1304" t="s">
        <v>455</v>
      </c>
      <c r="P39" s="1304" t="s">
        <v>127</v>
      </c>
      <c r="Q39" s="1413">
        <f t="shared" si="20"/>
        <v>-1.5960842732496278E-3</v>
      </c>
      <c r="R39" s="1413">
        <f t="shared" si="20"/>
        <v>-7.5282256046600379E-4</v>
      </c>
      <c r="S39" s="1416">
        <f t="shared" si="20"/>
        <v>-1.1463683652021193E-2</v>
      </c>
      <c r="T39" s="1419">
        <f t="shared" si="20"/>
        <v>-4.407602224375886E-3</v>
      </c>
      <c r="U39" s="1416">
        <f t="shared" si="20"/>
        <v>0</v>
      </c>
      <c r="V39" s="1416">
        <f t="shared" si="20"/>
        <v>0</v>
      </c>
      <c r="W39" s="1422">
        <v>-0.45</v>
      </c>
      <c r="X39" s="1422">
        <v>-0.220833</v>
      </c>
      <c r="Y39" s="1430">
        <f>-1.35-2.1612</f>
        <v>-3.5112000000000001</v>
      </c>
      <c r="Z39" s="1435">
        <v>-1.35</v>
      </c>
      <c r="AA39" s="1430">
        <v>0</v>
      </c>
      <c r="AB39" s="1430">
        <v>0</v>
      </c>
      <c r="AC39" s="1169">
        <v>-3.0861130000000001</v>
      </c>
      <c r="AD39" s="1409">
        <f>-AC39</f>
        <v>3.0861130000000001</v>
      </c>
      <c r="AE39" s="1304" t="s">
        <v>1285</v>
      </c>
    </row>
    <row r="40" spans="1:31" ht="67.5" hidden="1" customHeight="1" outlineLevel="1" x14ac:dyDescent="0.25">
      <c r="A40" s="1478"/>
      <c r="B40" s="1481"/>
      <c r="C40" s="1299"/>
      <c r="D40" s="48" t="s">
        <v>776</v>
      </c>
      <c r="E40" s="1412"/>
      <c r="F40" s="1228"/>
      <c r="G40" s="1228"/>
      <c r="H40" s="1228"/>
      <c r="I40" s="1228"/>
      <c r="J40" s="1485"/>
      <c r="K40" s="1486"/>
      <c r="L40" s="1266"/>
      <c r="M40" s="1266"/>
      <c r="N40" s="1266"/>
      <c r="O40" s="1412"/>
      <c r="P40" s="1412"/>
      <c r="Q40" s="1414"/>
      <c r="R40" s="1414"/>
      <c r="S40" s="1417"/>
      <c r="T40" s="1420"/>
      <c r="U40" s="1417"/>
      <c r="V40" s="1417"/>
      <c r="W40" s="1423"/>
      <c r="X40" s="1423"/>
      <c r="Y40" s="1438"/>
      <c r="Z40" s="1436"/>
      <c r="AA40" s="1438"/>
      <c r="AB40" s="1438"/>
      <c r="AC40" s="1182"/>
      <c r="AD40" s="1410"/>
      <c r="AE40" s="1412"/>
    </row>
    <row r="41" spans="1:31" ht="67.5" hidden="1" customHeight="1" outlineLevel="1" x14ac:dyDescent="0.25">
      <c r="A41" s="1472"/>
      <c r="B41" s="1482"/>
      <c r="C41" s="1300"/>
      <c r="D41" s="48" t="s">
        <v>1284</v>
      </c>
      <c r="E41" s="1305"/>
      <c r="F41" s="1202"/>
      <c r="G41" s="1202"/>
      <c r="H41" s="1202"/>
      <c r="I41" s="1202"/>
      <c r="J41" s="1448"/>
      <c r="K41" s="1234"/>
      <c r="L41" s="1267"/>
      <c r="M41" s="1267"/>
      <c r="N41" s="1267"/>
      <c r="O41" s="1305"/>
      <c r="P41" s="1305"/>
      <c r="Q41" s="1415"/>
      <c r="R41" s="1415"/>
      <c r="S41" s="1418"/>
      <c r="T41" s="1421"/>
      <c r="U41" s="1418"/>
      <c r="V41" s="1418"/>
      <c r="W41" s="1424"/>
      <c r="X41" s="1424"/>
      <c r="Y41" s="1431"/>
      <c r="Z41" s="1437"/>
      <c r="AA41" s="1431"/>
      <c r="AB41" s="1431"/>
      <c r="AC41" s="1170"/>
      <c r="AD41" s="1411"/>
      <c r="AE41" s="1305"/>
    </row>
    <row r="42" spans="1:31" ht="149.44999999999999" hidden="1" customHeight="1" outlineLevel="1" x14ac:dyDescent="0.25">
      <c r="A42" s="199">
        <v>6</v>
      </c>
      <c r="B42" s="68" t="s">
        <v>777</v>
      </c>
      <c r="C42" s="62">
        <v>43937</v>
      </c>
      <c r="D42" s="48" t="s">
        <v>778</v>
      </c>
      <c r="E42" s="51" t="s">
        <v>93</v>
      </c>
      <c r="F42" s="52">
        <f>K42/$Q$8</f>
        <v>1.230165638079024E-4</v>
      </c>
      <c r="G42" s="52">
        <f>L42/$R$8</f>
        <v>1.356958293180842E-4</v>
      </c>
      <c r="H42" s="52">
        <f>M42/$S$8</f>
        <v>0</v>
      </c>
      <c r="I42" s="52">
        <f>N42/$U$8</f>
        <v>0</v>
      </c>
      <c r="J42" s="53">
        <f t="shared" si="18"/>
        <v>3.980502</v>
      </c>
      <c r="K42" s="69">
        <f t="shared" si="19"/>
        <v>3.4683290000000002</v>
      </c>
      <c r="L42" s="69">
        <f>-X42</f>
        <v>3.980502</v>
      </c>
      <c r="M42" s="69">
        <f>-Y42</f>
        <v>0</v>
      </c>
      <c r="N42" s="69">
        <f>-AA42</f>
        <v>0</v>
      </c>
      <c r="O42" s="73" t="s">
        <v>454</v>
      </c>
      <c r="P42" s="70" t="s">
        <v>126</v>
      </c>
      <c r="Q42" s="74">
        <f t="shared" ref="Q42:S45" si="21">W42/Q$8*100</f>
        <v>-1.2301656380790241E-2</v>
      </c>
      <c r="R42" s="74">
        <f t="shared" si="20"/>
        <v>-1.3569582931808421E-2</v>
      </c>
      <c r="S42" s="74">
        <f t="shared" si="21"/>
        <v>0</v>
      </c>
      <c r="T42" s="136">
        <f t="shared" si="20"/>
        <v>0</v>
      </c>
      <c r="U42" s="74">
        <f t="shared" si="20"/>
        <v>0</v>
      </c>
      <c r="V42" s="74">
        <f t="shared" si="20"/>
        <v>0</v>
      </c>
      <c r="W42" s="76">
        <v>-3.4683290000000002</v>
      </c>
      <c r="X42" s="76">
        <v>-3.980502</v>
      </c>
      <c r="Y42" s="76">
        <v>0</v>
      </c>
      <c r="Z42" s="131">
        <v>0</v>
      </c>
      <c r="AA42" s="76">
        <v>0</v>
      </c>
      <c r="AB42" s="76">
        <v>0</v>
      </c>
      <c r="AC42" s="207">
        <v>0</v>
      </c>
      <c r="AD42" s="207">
        <f>-AC42</f>
        <v>0</v>
      </c>
      <c r="AE42" s="51" t="s">
        <v>779</v>
      </c>
    </row>
    <row r="43" spans="1:31" ht="121.5" hidden="1" customHeight="1" outlineLevel="1" x14ac:dyDescent="0.25">
      <c r="A43" s="1471">
        <v>7</v>
      </c>
      <c r="B43" s="1473" t="s">
        <v>780</v>
      </c>
      <c r="C43" s="64">
        <v>43930</v>
      </c>
      <c r="D43" s="48" t="s">
        <v>781</v>
      </c>
      <c r="E43" s="51" t="s">
        <v>782</v>
      </c>
      <c r="F43" s="52">
        <f>K43/$Q$8</f>
        <v>2.5328048520961909E-5</v>
      </c>
      <c r="G43" s="52">
        <f>L43/$R$8</f>
        <v>2.4343727504775684E-5</v>
      </c>
      <c r="H43" s="52">
        <f>M43/$S$8</f>
        <v>0</v>
      </c>
      <c r="I43" s="52">
        <f>N43/$U$8</f>
        <v>0</v>
      </c>
      <c r="J43" s="53">
        <f t="shared" si="18"/>
        <v>0.71409900000000004</v>
      </c>
      <c r="K43" s="69">
        <f t="shared" si="19"/>
        <v>0.71409900000000004</v>
      </c>
      <c r="L43" s="69">
        <f t="shared" si="19"/>
        <v>0.71409900000000004</v>
      </c>
      <c r="M43" s="69">
        <f t="shared" si="19"/>
        <v>0</v>
      </c>
      <c r="N43" s="69">
        <f>-AA43</f>
        <v>0</v>
      </c>
      <c r="O43" s="73" t="s">
        <v>454</v>
      </c>
      <c r="P43" s="70" t="s">
        <v>127</v>
      </c>
      <c r="Q43" s="74">
        <f t="shared" si="21"/>
        <v>-2.532804852096191E-3</v>
      </c>
      <c r="R43" s="74">
        <f t="shared" si="20"/>
        <v>-2.4343727504775683E-3</v>
      </c>
      <c r="S43" s="74">
        <f t="shared" si="21"/>
        <v>0</v>
      </c>
      <c r="T43" s="136">
        <f t="shared" si="20"/>
        <v>0</v>
      </c>
      <c r="U43" s="74">
        <f t="shared" si="20"/>
        <v>0</v>
      </c>
      <c r="V43" s="74">
        <f t="shared" si="20"/>
        <v>0</v>
      </c>
      <c r="W43" s="76">
        <v>-0.71409900000000004</v>
      </c>
      <c r="X43" s="76">
        <v>-0.71409900000000004</v>
      </c>
      <c r="Y43" s="76">
        <v>0</v>
      </c>
      <c r="Z43" s="131">
        <v>0</v>
      </c>
      <c r="AA43" s="76">
        <v>0</v>
      </c>
      <c r="AB43" s="76">
        <v>0</v>
      </c>
      <c r="AC43" s="207">
        <v>0</v>
      </c>
      <c r="AD43" s="207">
        <f>-AC43</f>
        <v>0</v>
      </c>
      <c r="AE43" s="51" t="s">
        <v>783</v>
      </c>
    </row>
    <row r="44" spans="1:31" ht="90" hidden="1" customHeight="1" outlineLevel="1" x14ac:dyDescent="0.25">
      <c r="A44" s="1472"/>
      <c r="B44" s="1474"/>
      <c r="C44" s="62" t="s">
        <v>628</v>
      </c>
      <c r="D44" s="48" t="s">
        <v>784</v>
      </c>
      <c r="E44" s="51" t="s">
        <v>785</v>
      </c>
      <c r="F44" s="52">
        <f>K44/$Q$8</f>
        <v>5.4621550684542808E-6</v>
      </c>
      <c r="G44" s="52">
        <f>L44/$R$8</f>
        <v>0</v>
      </c>
      <c r="H44" s="52">
        <f>M44/$S$8</f>
        <v>2.3882674275044151E-5</v>
      </c>
      <c r="I44" s="52">
        <f>N44/$U$8</f>
        <v>0</v>
      </c>
      <c r="J44" s="53">
        <f t="shared" si="18"/>
        <v>0.73150000000000004</v>
      </c>
      <c r="K44" s="69">
        <f t="shared" si="19"/>
        <v>0.154</v>
      </c>
      <c r="L44" s="69">
        <f t="shared" si="19"/>
        <v>0</v>
      </c>
      <c r="M44" s="69">
        <f t="shared" si="19"/>
        <v>0.73150000000000004</v>
      </c>
      <c r="N44" s="69">
        <f>-AA44</f>
        <v>0</v>
      </c>
      <c r="O44" s="73" t="s">
        <v>454</v>
      </c>
      <c r="P44" s="70" t="s">
        <v>127</v>
      </c>
      <c r="Q44" s="74">
        <f t="shared" si="21"/>
        <v>-5.4621550684542811E-4</v>
      </c>
      <c r="R44" s="74">
        <f t="shared" si="20"/>
        <v>0</v>
      </c>
      <c r="S44" s="74">
        <f t="shared" si="21"/>
        <v>-2.388267427504415E-3</v>
      </c>
      <c r="T44" s="136">
        <f t="shared" si="20"/>
        <v>-2.388267427504415E-3</v>
      </c>
      <c r="U44" s="74">
        <f t="shared" si="20"/>
        <v>0</v>
      </c>
      <c r="V44" s="74">
        <f t="shared" si="20"/>
        <v>0</v>
      </c>
      <c r="W44" s="76">
        <f>-0.154</f>
        <v>-0.154</v>
      </c>
      <c r="X44" s="76">
        <v>0</v>
      </c>
      <c r="Y44" s="76">
        <f>-0.7315</f>
        <v>-0.73150000000000004</v>
      </c>
      <c r="Z44" s="131">
        <f>-0.7315</f>
        <v>-0.73150000000000004</v>
      </c>
      <c r="AA44" s="76">
        <v>0</v>
      </c>
      <c r="AB44" s="76">
        <v>0</v>
      </c>
      <c r="AC44" s="207">
        <f>-1.393275</f>
        <v>-1.393275</v>
      </c>
      <c r="AD44" s="207">
        <f>-AC44</f>
        <v>1.393275</v>
      </c>
      <c r="AE44" s="51" t="s">
        <v>453</v>
      </c>
    </row>
    <row r="45" spans="1:31" ht="79.5" hidden="1" customHeight="1" outlineLevel="1" x14ac:dyDescent="0.25">
      <c r="A45" s="1471">
        <v>8</v>
      </c>
      <c r="B45" s="1473" t="s">
        <v>786</v>
      </c>
      <c r="C45" s="1475" t="s">
        <v>629</v>
      </c>
      <c r="D45" s="48" t="s">
        <v>787</v>
      </c>
      <c r="E45" s="1425" t="s">
        <v>176</v>
      </c>
      <c r="F45" s="1201">
        <f>K45/$Q$8</f>
        <v>1.8030336241753564E-4</v>
      </c>
      <c r="G45" s="1201">
        <f>L45/$R$8</f>
        <v>1.7575053852177832E-4</v>
      </c>
      <c r="H45" s="1201">
        <f>M45/$S$8</f>
        <v>4.8418378895651834E-4</v>
      </c>
      <c r="I45" s="1201">
        <f>N45/$U$8</f>
        <v>0</v>
      </c>
      <c r="J45" s="1447">
        <f>L45+M45</f>
        <v>19.985483000000002</v>
      </c>
      <c r="K45" s="1465">
        <f>-W45</f>
        <v>5.0834729999999997</v>
      </c>
      <c r="L45" s="1465">
        <f>-X45</f>
        <v>5.1554669999999998</v>
      </c>
      <c r="M45" s="1465">
        <f>-Y45</f>
        <v>14.830016000000001</v>
      </c>
      <c r="N45" s="1465">
        <f>-AA45</f>
        <v>0</v>
      </c>
      <c r="O45" s="1483" t="s">
        <v>454</v>
      </c>
      <c r="P45" s="1304" t="s">
        <v>127</v>
      </c>
      <c r="Q45" s="1416">
        <f t="shared" si="21"/>
        <v>-1.8030336241753563E-2</v>
      </c>
      <c r="R45" s="1416">
        <f t="shared" si="20"/>
        <v>-1.7575053852177832E-2</v>
      </c>
      <c r="S45" s="1416">
        <f t="shared" si="21"/>
        <v>-4.8418378895651835E-2</v>
      </c>
      <c r="T45" s="1419">
        <f t="shared" si="20"/>
        <v>-3.4942295074258847E-2</v>
      </c>
      <c r="U45" s="1416">
        <f t="shared" si="20"/>
        <v>0</v>
      </c>
      <c r="V45" s="1416">
        <f t="shared" si="20"/>
        <v>0</v>
      </c>
      <c r="W45" s="1430">
        <v>-5.0834729999999997</v>
      </c>
      <c r="X45" s="1430">
        <f>-5.083473-0.071994</f>
        <v>-5.1554669999999998</v>
      </c>
      <c r="Y45" s="1430">
        <f>-10.70244-4.127576</f>
        <v>-14.830016000000001</v>
      </c>
      <c r="Z45" s="1435">
        <v>-10.702439999999999</v>
      </c>
      <c r="AA45" s="1430">
        <v>0</v>
      </c>
      <c r="AB45" s="1430">
        <v>0</v>
      </c>
      <c r="AC45" s="1169">
        <f>-7.593021</f>
        <v>-7.5930210000000002</v>
      </c>
      <c r="AD45" s="1169">
        <f>-AC45</f>
        <v>7.5930210000000002</v>
      </c>
      <c r="AE45" s="1425" t="s">
        <v>788</v>
      </c>
    </row>
    <row r="46" spans="1:31" ht="99.75" hidden="1" customHeight="1" outlineLevel="1" x14ac:dyDescent="0.25">
      <c r="A46" s="1472"/>
      <c r="B46" s="1474"/>
      <c r="C46" s="1476"/>
      <c r="D46" s="48" t="s">
        <v>789</v>
      </c>
      <c r="E46" s="1426"/>
      <c r="F46" s="1202"/>
      <c r="G46" s="1202"/>
      <c r="H46" s="1202"/>
      <c r="I46" s="1202"/>
      <c r="J46" s="1448"/>
      <c r="K46" s="1466"/>
      <c r="L46" s="1466"/>
      <c r="M46" s="1466"/>
      <c r="N46" s="1466"/>
      <c r="O46" s="1484"/>
      <c r="P46" s="1305"/>
      <c r="Q46" s="1418"/>
      <c r="R46" s="1418"/>
      <c r="S46" s="1418"/>
      <c r="T46" s="1421"/>
      <c r="U46" s="1418"/>
      <c r="V46" s="1418"/>
      <c r="W46" s="1431"/>
      <c r="X46" s="1431"/>
      <c r="Y46" s="1431"/>
      <c r="Z46" s="1437"/>
      <c r="AA46" s="1431"/>
      <c r="AB46" s="1431"/>
      <c r="AC46" s="1170"/>
      <c r="AD46" s="1170"/>
      <c r="AE46" s="1426"/>
    </row>
    <row r="47" spans="1:31" ht="162.75" hidden="1" customHeight="1" outlineLevel="1" x14ac:dyDescent="0.25">
      <c r="A47" s="199">
        <v>9</v>
      </c>
      <c r="B47" s="68" t="s">
        <v>790</v>
      </c>
      <c r="C47" s="64">
        <v>43971</v>
      </c>
      <c r="D47" s="48" t="s">
        <v>791</v>
      </c>
      <c r="E47" s="51" t="s">
        <v>792</v>
      </c>
      <c r="F47" s="52">
        <f>K47/$Q$8</f>
        <v>1.2010211392494857E-4</v>
      </c>
      <c r="G47" s="52">
        <f t="shared" ref="G47:G53" si="22">L47/$R$8</f>
        <v>1.1543459938165957E-4</v>
      </c>
      <c r="H47" s="52">
        <f>M47/$S$8</f>
        <v>0</v>
      </c>
      <c r="I47" s="52">
        <f t="shared" ref="I47:I53" si="23">N47/$U$8</f>
        <v>0</v>
      </c>
      <c r="J47" s="53">
        <f t="shared" si="18"/>
        <v>3.3861590000000001</v>
      </c>
      <c r="K47" s="69">
        <f t="shared" si="19"/>
        <v>3.3861590000000001</v>
      </c>
      <c r="L47" s="69">
        <f t="shared" si="19"/>
        <v>3.3861590000000001</v>
      </c>
      <c r="M47" s="69">
        <f t="shared" si="19"/>
        <v>0</v>
      </c>
      <c r="N47" s="69">
        <f t="shared" ref="N47:N53" si="24">-AA47</f>
        <v>0</v>
      </c>
      <c r="O47" s="73" t="s">
        <v>454</v>
      </c>
      <c r="P47" s="70" t="s">
        <v>127</v>
      </c>
      <c r="Q47" s="74">
        <f t="shared" ref="Q47:S49" si="25">W47/Q$8*100</f>
        <v>-1.2010211392494858E-2</v>
      </c>
      <c r="R47" s="74">
        <f t="shared" si="20"/>
        <v>-1.1543459938165957E-2</v>
      </c>
      <c r="S47" s="74">
        <f t="shared" si="25"/>
        <v>0</v>
      </c>
      <c r="T47" s="136">
        <f t="shared" si="20"/>
        <v>0</v>
      </c>
      <c r="U47" s="74">
        <f t="shared" si="20"/>
        <v>0</v>
      </c>
      <c r="V47" s="74">
        <f t="shared" si="20"/>
        <v>0</v>
      </c>
      <c r="W47" s="76">
        <v>-3.3861590000000001</v>
      </c>
      <c r="X47" s="76">
        <f>-3.384779-0.00138</f>
        <v>-3.3861590000000001</v>
      </c>
      <c r="Y47" s="76">
        <v>0</v>
      </c>
      <c r="Z47" s="131">
        <v>0</v>
      </c>
      <c r="AA47" s="76">
        <v>0</v>
      </c>
      <c r="AB47" s="76">
        <v>0</v>
      </c>
      <c r="AC47" s="207">
        <v>0</v>
      </c>
      <c r="AD47" s="207">
        <v>0</v>
      </c>
      <c r="AE47" s="51" t="s">
        <v>793</v>
      </c>
    </row>
    <row r="48" spans="1:31" ht="103.5" hidden="1" customHeight="1" outlineLevel="1" x14ac:dyDescent="0.25">
      <c r="A48" s="199">
        <v>10</v>
      </c>
      <c r="B48" s="68" t="s">
        <v>794</v>
      </c>
      <c r="C48" s="62">
        <v>43956</v>
      </c>
      <c r="D48" s="48" t="s">
        <v>795</v>
      </c>
      <c r="E48" s="51" t="s">
        <v>796</v>
      </c>
      <c r="F48" s="52">
        <f>K48/$Q$8</f>
        <v>1.1998226573029723E-5</v>
      </c>
      <c r="G48" s="52">
        <f t="shared" si="22"/>
        <v>1.1531940883351621E-5</v>
      </c>
      <c r="H48" s="52">
        <f>M48/$S$8</f>
        <v>0</v>
      </c>
      <c r="I48" s="52">
        <f t="shared" si="23"/>
        <v>0</v>
      </c>
      <c r="J48" s="53">
        <f t="shared" si="18"/>
        <v>0.33827800000000002</v>
      </c>
      <c r="K48" s="69">
        <f t="shared" si="19"/>
        <v>0.33827800000000002</v>
      </c>
      <c r="L48" s="69">
        <f t="shared" si="19"/>
        <v>0.33827800000000002</v>
      </c>
      <c r="M48" s="69">
        <f t="shared" si="19"/>
        <v>0</v>
      </c>
      <c r="N48" s="69">
        <f t="shared" si="24"/>
        <v>0</v>
      </c>
      <c r="O48" s="73" t="s">
        <v>454</v>
      </c>
      <c r="P48" s="70" t="s">
        <v>127</v>
      </c>
      <c r="Q48" s="74">
        <f t="shared" si="25"/>
        <v>-1.1998226573029722E-3</v>
      </c>
      <c r="R48" s="74">
        <f t="shared" si="20"/>
        <v>-1.1531940883351621E-3</v>
      </c>
      <c r="S48" s="74">
        <f t="shared" si="25"/>
        <v>0</v>
      </c>
      <c r="T48" s="136">
        <f t="shared" si="20"/>
        <v>0</v>
      </c>
      <c r="U48" s="74">
        <f t="shared" si="20"/>
        <v>0</v>
      </c>
      <c r="V48" s="74">
        <f t="shared" si="20"/>
        <v>0</v>
      </c>
      <c r="W48" s="76">
        <v>-0.33827800000000002</v>
      </c>
      <c r="X48" s="76">
        <v>-0.33827800000000002</v>
      </c>
      <c r="Y48" s="76">
        <v>0</v>
      </c>
      <c r="Z48" s="131">
        <v>0</v>
      </c>
      <c r="AA48" s="76">
        <v>0</v>
      </c>
      <c r="AB48" s="76">
        <v>0</v>
      </c>
      <c r="AC48" s="207">
        <v>0</v>
      </c>
      <c r="AD48" s="207">
        <f t="shared" ref="AD48:AD52" si="26">-AC48</f>
        <v>0</v>
      </c>
      <c r="AE48" s="51" t="s">
        <v>474</v>
      </c>
    </row>
    <row r="49" spans="1:33" ht="135" hidden="1" customHeight="1" outlineLevel="1" x14ac:dyDescent="0.25">
      <c r="A49" s="199">
        <v>11</v>
      </c>
      <c r="B49" s="68" t="s">
        <v>797</v>
      </c>
      <c r="C49" s="62" t="s">
        <v>353</v>
      </c>
      <c r="D49" s="48" t="s">
        <v>798</v>
      </c>
      <c r="E49" s="51" t="s">
        <v>799</v>
      </c>
      <c r="F49" s="52">
        <f>K49/$Q$8</f>
        <v>4.3973717812300492E-5</v>
      </c>
      <c r="G49" s="52">
        <f t="shared" si="22"/>
        <v>4.2264772309978543E-5</v>
      </c>
      <c r="H49" s="52">
        <f>M49/$S$8</f>
        <v>0</v>
      </c>
      <c r="I49" s="52">
        <f t="shared" si="23"/>
        <v>0</v>
      </c>
      <c r="J49" s="53">
        <f t="shared" si="18"/>
        <v>1.239795</v>
      </c>
      <c r="K49" s="69">
        <f t="shared" si="19"/>
        <v>1.239795</v>
      </c>
      <c r="L49" s="69">
        <f>-X49</f>
        <v>1.239795</v>
      </c>
      <c r="M49" s="69">
        <f>-Y49</f>
        <v>0</v>
      </c>
      <c r="N49" s="69">
        <f t="shared" si="24"/>
        <v>0</v>
      </c>
      <c r="O49" s="73" t="s">
        <v>454</v>
      </c>
      <c r="P49" s="70" t="s">
        <v>127</v>
      </c>
      <c r="Q49" s="74">
        <f t="shared" si="25"/>
        <v>-4.3973717812300491E-3</v>
      </c>
      <c r="R49" s="74">
        <f t="shared" si="20"/>
        <v>-4.2264772309978547E-3</v>
      </c>
      <c r="S49" s="74">
        <f t="shared" si="25"/>
        <v>0</v>
      </c>
      <c r="T49" s="136">
        <f t="shared" si="20"/>
        <v>0</v>
      </c>
      <c r="U49" s="74">
        <f t="shared" si="20"/>
        <v>0</v>
      </c>
      <c r="V49" s="74">
        <f t="shared" si="20"/>
        <v>0</v>
      </c>
      <c r="W49" s="76">
        <v>-1.239795</v>
      </c>
      <c r="X49" s="76">
        <f>-1.2162-0.023595</f>
        <v>-1.239795</v>
      </c>
      <c r="Y49" s="76">
        <v>0</v>
      </c>
      <c r="Z49" s="131">
        <v>0</v>
      </c>
      <c r="AA49" s="76">
        <v>0</v>
      </c>
      <c r="AB49" s="76">
        <v>0</v>
      </c>
      <c r="AC49" s="207">
        <v>-2.2499999999999998E-3</v>
      </c>
      <c r="AD49" s="207">
        <f t="shared" si="26"/>
        <v>2.2499999999999998E-3</v>
      </c>
      <c r="AE49" s="51" t="s">
        <v>475</v>
      </c>
    </row>
    <row r="50" spans="1:33" ht="56.25" hidden="1" customHeight="1" outlineLevel="1" x14ac:dyDescent="0.25">
      <c r="A50" s="1471">
        <v>12</v>
      </c>
      <c r="B50" s="1473" t="s">
        <v>800</v>
      </c>
      <c r="C50" s="237" t="s">
        <v>801</v>
      </c>
      <c r="D50" s="48" t="s">
        <v>802</v>
      </c>
      <c r="E50" s="200" t="s">
        <v>803</v>
      </c>
      <c r="F50" s="1201">
        <f>K50/$Q$8</f>
        <v>2.1054124991132864E-3</v>
      </c>
      <c r="G50" s="105">
        <f t="shared" si="22"/>
        <v>4.9771589313207971E-4</v>
      </c>
      <c r="H50" s="202">
        <v>0</v>
      </c>
      <c r="I50" s="105">
        <f t="shared" si="23"/>
        <v>0</v>
      </c>
      <c r="J50" s="212">
        <v>14.6</v>
      </c>
      <c r="K50" s="1465">
        <v>59.36</v>
      </c>
      <c r="L50" s="212">
        <v>14.6</v>
      </c>
      <c r="M50" s="212">
        <v>0</v>
      </c>
      <c r="N50" s="212">
        <f t="shared" si="24"/>
        <v>0</v>
      </c>
      <c r="O50" s="236" t="s">
        <v>459</v>
      </c>
      <c r="P50" s="215" t="s">
        <v>127</v>
      </c>
      <c r="Q50" s="1416">
        <f>W50/Q$8*100</f>
        <v>-0.21054124991132864</v>
      </c>
      <c r="R50" s="74">
        <f t="shared" si="20"/>
        <v>-4.9771589313207971E-2</v>
      </c>
      <c r="S50" s="107">
        <v>0</v>
      </c>
      <c r="T50" s="136">
        <f t="shared" si="20"/>
        <v>0</v>
      </c>
      <c r="U50" s="107">
        <v>0</v>
      </c>
      <c r="V50" s="107">
        <v>0</v>
      </c>
      <c r="W50" s="1430">
        <f>-59.2-0.16</f>
        <v>-59.36</v>
      </c>
      <c r="X50" s="108">
        <v>-14.6</v>
      </c>
      <c r="Y50" s="217">
        <v>0</v>
      </c>
      <c r="Z50" s="216">
        <v>0</v>
      </c>
      <c r="AA50" s="217">
        <v>0</v>
      </c>
      <c r="AB50" s="217">
        <v>0</v>
      </c>
      <c r="AC50" s="211">
        <v>0</v>
      </c>
      <c r="AD50" s="211">
        <f t="shared" si="26"/>
        <v>0</v>
      </c>
      <c r="AE50" s="200" t="s">
        <v>804</v>
      </c>
    </row>
    <row r="51" spans="1:33" ht="117" hidden="1" customHeight="1" outlineLevel="1" x14ac:dyDescent="0.25">
      <c r="A51" s="1478"/>
      <c r="B51" s="1479"/>
      <c r="C51" s="62" t="s">
        <v>665</v>
      </c>
      <c r="D51" s="48" t="s">
        <v>802</v>
      </c>
      <c r="E51" s="51" t="s">
        <v>805</v>
      </c>
      <c r="F51" s="1202"/>
      <c r="G51" s="105">
        <f t="shared" si="22"/>
        <v>1.0359990405673905E-3</v>
      </c>
      <c r="H51" s="203">
        <v>0</v>
      </c>
      <c r="I51" s="105">
        <f t="shared" si="23"/>
        <v>0</v>
      </c>
      <c r="J51" s="213">
        <v>30.39</v>
      </c>
      <c r="K51" s="1466"/>
      <c r="L51" s="213">
        <v>30.39</v>
      </c>
      <c r="M51" s="69">
        <v>0</v>
      </c>
      <c r="N51" s="69">
        <f t="shared" si="24"/>
        <v>0</v>
      </c>
      <c r="O51" s="73" t="s">
        <v>459</v>
      </c>
      <c r="P51" s="70" t="s">
        <v>127</v>
      </c>
      <c r="Q51" s="1418"/>
      <c r="R51" s="74">
        <f>X51/R$8*100</f>
        <v>-0.10359990405673905</v>
      </c>
      <c r="S51" s="109">
        <v>0</v>
      </c>
      <c r="T51" s="136">
        <f t="shared" si="20"/>
        <v>0</v>
      </c>
      <c r="U51" s="109">
        <v>0</v>
      </c>
      <c r="V51" s="109">
        <v>0</v>
      </c>
      <c r="W51" s="1431"/>
      <c r="X51" s="110">
        <v>-30.39</v>
      </c>
      <c r="Y51" s="76">
        <v>0</v>
      </c>
      <c r="Z51" s="131">
        <v>0</v>
      </c>
      <c r="AA51" s="76">
        <v>0</v>
      </c>
      <c r="AB51" s="76">
        <v>0</v>
      </c>
      <c r="AC51" s="207">
        <v>0</v>
      </c>
      <c r="AD51" s="207">
        <f t="shared" si="26"/>
        <v>0</v>
      </c>
      <c r="AE51" s="51" t="s">
        <v>476</v>
      </c>
    </row>
    <row r="52" spans="1:33" ht="134.25" hidden="1" customHeight="1" outlineLevel="1" x14ac:dyDescent="0.25">
      <c r="A52" s="1472"/>
      <c r="B52" s="1474"/>
      <c r="C52" s="62" t="s">
        <v>532</v>
      </c>
      <c r="D52" s="48" t="s">
        <v>806</v>
      </c>
      <c r="E52" s="51" t="s">
        <v>410</v>
      </c>
      <c r="F52" s="52">
        <f>K52/$Q$8</f>
        <v>1.383273036816344E-3</v>
      </c>
      <c r="G52" s="52">
        <f t="shared" si="22"/>
        <v>7.959912325640917E-5</v>
      </c>
      <c r="H52" s="52">
        <f>M52/$S$8</f>
        <v>2.4703528156413967E-3</v>
      </c>
      <c r="I52" s="52">
        <f t="shared" si="23"/>
        <v>0</v>
      </c>
      <c r="J52" s="53">
        <f>L52+M52</f>
        <v>77.999145999999996</v>
      </c>
      <c r="K52" s="69">
        <f>-W52</f>
        <v>39</v>
      </c>
      <c r="L52" s="69">
        <f t="shared" ref="L52:M52" si="27">-X52</f>
        <v>2.3349609999999998</v>
      </c>
      <c r="M52" s="69">
        <f t="shared" si="27"/>
        <v>75.664185000000003</v>
      </c>
      <c r="N52" s="69">
        <f t="shared" si="24"/>
        <v>0</v>
      </c>
      <c r="O52" s="73" t="s">
        <v>460</v>
      </c>
      <c r="P52" s="70" t="s">
        <v>127</v>
      </c>
      <c r="Q52" s="74">
        <f t="shared" ref="Q52:S53" si="28">W52/Q$8*100</f>
        <v>-0.1383273036816344</v>
      </c>
      <c r="R52" s="74">
        <f>X52/R$8*100</f>
        <v>-7.9599123256409166E-3</v>
      </c>
      <c r="S52" s="74">
        <f t="shared" si="28"/>
        <v>-0.24703528156413967</v>
      </c>
      <c r="T52" s="136">
        <f t="shared" si="20"/>
        <v>-8.1622263414368262E-2</v>
      </c>
      <c r="U52" s="74">
        <f>AA52/U$8*100</f>
        <v>0</v>
      </c>
      <c r="V52" s="74">
        <f>AB52/V$8*100</f>
        <v>0</v>
      </c>
      <c r="W52" s="76">
        <v>-39</v>
      </c>
      <c r="X52" s="76">
        <v>-2.3349609999999998</v>
      </c>
      <c r="Y52" s="76">
        <v>-75.664185000000003</v>
      </c>
      <c r="Z52" s="131">
        <v>-25</v>
      </c>
      <c r="AA52" s="76">
        <v>0</v>
      </c>
      <c r="AB52" s="76">
        <v>0</v>
      </c>
      <c r="AC52" s="207">
        <v>-18.082170999999999</v>
      </c>
      <c r="AD52" s="207">
        <f t="shared" si="26"/>
        <v>18.082170999999999</v>
      </c>
      <c r="AE52" s="51" t="s">
        <v>807</v>
      </c>
    </row>
    <row r="53" spans="1:33" ht="55.5" hidden="1" customHeight="1" outlineLevel="1" x14ac:dyDescent="0.25">
      <c r="A53" s="1439">
        <v>13</v>
      </c>
      <c r="B53" s="1445" t="s">
        <v>808</v>
      </c>
      <c r="C53" s="1208" t="s">
        <v>634</v>
      </c>
      <c r="D53" s="48" t="s">
        <v>809</v>
      </c>
      <c r="E53" s="1469" t="s">
        <v>810</v>
      </c>
      <c r="F53" s="1201">
        <f>K53/$Q$8</f>
        <v>8.6144569766617022E-6</v>
      </c>
      <c r="G53" s="1201">
        <f t="shared" si="22"/>
        <v>7.005521646482354E-6</v>
      </c>
      <c r="H53" s="1201">
        <f>M53/$S$8</f>
        <v>7.087424376796424E-6</v>
      </c>
      <c r="I53" s="1201">
        <f t="shared" si="23"/>
        <v>0</v>
      </c>
      <c r="J53" s="1447">
        <f>L53+M53</f>
        <v>0.42257999999999996</v>
      </c>
      <c r="K53" s="1233">
        <f>-W53</f>
        <v>0.24287600000000001</v>
      </c>
      <c r="L53" s="1233">
        <f>-X53</f>
        <v>0.20549999999999999</v>
      </c>
      <c r="M53" s="1233">
        <f>-Y53</f>
        <v>0.21708</v>
      </c>
      <c r="N53" s="1265">
        <f t="shared" si="24"/>
        <v>0</v>
      </c>
      <c r="O53" s="1459" t="s">
        <v>455</v>
      </c>
      <c r="P53" s="1459" t="s">
        <v>127</v>
      </c>
      <c r="Q53" s="1467">
        <f t="shared" si="28"/>
        <v>-8.6144569766617024E-4</v>
      </c>
      <c r="R53" s="1467">
        <f>X53/R$8*100</f>
        <v>-7.0055216464823538E-4</v>
      </c>
      <c r="S53" s="1429">
        <f t="shared" si="28"/>
        <v>-7.0874243767964236E-4</v>
      </c>
      <c r="T53" s="1427">
        <f>Z53/T$8*100</f>
        <v>-7.0874243767964236E-4</v>
      </c>
      <c r="U53" s="1429">
        <f>AA53/U$8*100</f>
        <v>0</v>
      </c>
      <c r="V53" s="1429">
        <f>AB53/V$8*100</f>
        <v>0</v>
      </c>
      <c r="W53" s="1409">
        <v>-0.24287600000000001</v>
      </c>
      <c r="X53" s="1409">
        <v>-0.20549999999999999</v>
      </c>
      <c r="Y53" s="1169">
        <v>-0.21708</v>
      </c>
      <c r="Z53" s="1177">
        <v>-0.21708</v>
      </c>
      <c r="AA53" s="1169">
        <v>0</v>
      </c>
      <c r="AB53" s="1169">
        <v>0</v>
      </c>
      <c r="AC53" s="1169">
        <f>-0.102243</f>
        <v>-0.102243</v>
      </c>
      <c r="AD53" s="1409">
        <f>-AC53</f>
        <v>0.102243</v>
      </c>
      <c r="AE53" s="1425" t="s">
        <v>811</v>
      </c>
    </row>
    <row r="54" spans="1:33" ht="75" hidden="1" customHeight="1" outlineLevel="1" x14ac:dyDescent="0.25">
      <c r="A54" s="1440"/>
      <c r="B54" s="1477"/>
      <c r="C54" s="1209"/>
      <c r="D54" s="48" t="s">
        <v>812</v>
      </c>
      <c r="E54" s="1470"/>
      <c r="F54" s="1202"/>
      <c r="G54" s="1202"/>
      <c r="H54" s="1202"/>
      <c r="I54" s="1202"/>
      <c r="J54" s="1448"/>
      <c r="K54" s="1234"/>
      <c r="L54" s="1234"/>
      <c r="M54" s="1234"/>
      <c r="N54" s="1267"/>
      <c r="O54" s="1460"/>
      <c r="P54" s="1460"/>
      <c r="Q54" s="1468"/>
      <c r="R54" s="1468"/>
      <c r="S54" s="1244"/>
      <c r="T54" s="1428"/>
      <c r="U54" s="1244"/>
      <c r="V54" s="1244"/>
      <c r="W54" s="1411"/>
      <c r="X54" s="1411"/>
      <c r="Y54" s="1170"/>
      <c r="Z54" s="1178"/>
      <c r="AA54" s="1170"/>
      <c r="AB54" s="1170"/>
      <c r="AC54" s="1170"/>
      <c r="AD54" s="1411"/>
      <c r="AE54" s="1426"/>
    </row>
    <row r="55" spans="1:33" ht="75" hidden="1" customHeight="1" outlineLevel="1" x14ac:dyDescent="0.25">
      <c r="A55" s="120">
        <v>14</v>
      </c>
      <c r="B55" s="225" t="s">
        <v>1133</v>
      </c>
      <c r="C55" s="231">
        <v>44243</v>
      </c>
      <c r="D55" s="121" t="s">
        <v>1134</v>
      </c>
      <c r="E55" s="122" t="s">
        <v>1135</v>
      </c>
      <c r="F55" s="202">
        <f>K55/$Q$8</f>
        <v>0</v>
      </c>
      <c r="G55" s="202">
        <f>L55/$R$8</f>
        <v>0</v>
      </c>
      <c r="H55" s="202">
        <f>M55/$S$8</f>
        <v>5.9448397911838575E-3</v>
      </c>
      <c r="I55" s="52">
        <f>N55/$U$8</f>
        <v>0</v>
      </c>
      <c r="J55" s="204">
        <f>L55+M55</f>
        <v>182.08389299999999</v>
      </c>
      <c r="K55" s="229">
        <f t="shared" ref="K55:M56" si="29">-W55</f>
        <v>0</v>
      </c>
      <c r="L55" s="229">
        <f t="shared" si="29"/>
        <v>0</v>
      </c>
      <c r="M55" s="229">
        <f t="shared" si="29"/>
        <v>182.08389299999999</v>
      </c>
      <c r="N55" s="69">
        <f>-AA55</f>
        <v>0</v>
      </c>
      <c r="O55" s="219" t="s">
        <v>1136</v>
      </c>
      <c r="P55" s="123" t="s">
        <v>127</v>
      </c>
      <c r="Q55" s="228">
        <f t="shared" ref="Q55:T56" si="30">W55/Q$8*100</f>
        <v>0</v>
      </c>
      <c r="R55" s="74">
        <f>X55/R$8*100</f>
        <v>0</v>
      </c>
      <c r="S55" s="223">
        <f t="shared" si="30"/>
        <v>-0.5944839791183858</v>
      </c>
      <c r="T55" s="136">
        <f t="shared" si="30"/>
        <v>-0.5944839791183858</v>
      </c>
      <c r="U55" s="223">
        <f>AA55/U$8*100</f>
        <v>0</v>
      </c>
      <c r="V55" s="223">
        <f>AB55/V$8*100</f>
        <v>0</v>
      </c>
      <c r="W55" s="220">
        <v>0</v>
      </c>
      <c r="X55" s="220">
        <v>0</v>
      </c>
      <c r="Y55" s="76">
        <v>-182.08389299999999</v>
      </c>
      <c r="Z55" s="131">
        <v>-182.08389299999999</v>
      </c>
      <c r="AA55" s="214">
        <v>0</v>
      </c>
      <c r="AB55" s="214">
        <v>0</v>
      </c>
      <c r="AC55" s="207">
        <v>-187.359026</v>
      </c>
      <c r="AD55" s="207">
        <f>-AC55</f>
        <v>187.359026</v>
      </c>
      <c r="AE55" s="201" t="s">
        <v>1137</v>
      </c>
    </row>
    <row r="56" spans="1:33" ht="75" hidden="1" customHeight="1" outlineLevel="1" x14ac:dyDescent="0.25">
      <c r="A56" s="120">
        <v>15</v>
      </c>
      <c r="B56" s="225" t="s">
        <v>1173</v>
      </c>
      <c r="C56" s="231"/>
      <c r="D56" s="121"/>
      <c r="E56" s="122" t="s">
        <v>1174</v>
      </c>
      <c r="F56" s="202">
        <f>K56/$Q$8</f>
        <v>0</v>
      </c>
      <c r="G56" s="202">
        <f>L56/$R$8</f>
        <v>0</v>
      </c>
      <c r="H56" s="202">
        <f>M56/$S$8</f>
        <v>3.6734900200796001E-3</v>
      </c>
      <c r="I56" s="52">
        <f>N56/$U$8</f>
        <v>0</v>
      </c>
      <c r="J56" s="204">
        <f>L56+M56</f>
        <v>112.51495199999999</v>
      </c>
      <c r="K56" s="229">
        <f t="shared" si="29"/>
        <v>0</v>
      </c>
      <c r="L56" s="229">
        <f t="shared" si="29"/>
        <v>0</v>
      </c>
      <c r="M56" s="229">
        <f t="shared" si="29"/>
        <v>112.51495199999999</v>
      </c>
      <c r="N56" s="69">
        <f>-AA56</f>
        <v>0</v>
      </c>
      <c r="O56" s="219" t="s">
        <v>1136</v>
      </c>
      <c r="P56" s="123" t="s">
        <v>127</v>
      </c>
      <c r="Q56" s="228">
        <f t="shared" si="30"/>
        <v>0</v>
      </c>
      <c r="R56" s="74">
        <f>X56/R$8*100</f>
        <v>0</v>
      </c>
      <c r="S56" s="223">
        <f t="shared" si="30"/>
        <v>-0.36734900200796</v>
      </c>
      <c r="T56" s="136">
        <f>Z56/T$8*100</f>
        <v>-0.36734900200796</v>
      </c>
      <c r="U56" s="223">
        <f>AA56/U$8*100</f>
        <v>0</v>
      </c>
      <c r="V56" s="223">
        <f>AB56/V$8*100</f>
        <v>0</v>
      </c>
      <c r="W56" s="220">
        <v>0</v>
      </c>
      <c r="X56" s="220">
        <v>0</v>
      </c>
      <c r="Y56" s="76">
        <v>-112.51495199999999</v>
      </c>
      <c r="Z56" s="131">
        <v>-112.51495199999999</v>
      </c>
      <c r="AA56" s="214">
        <v>0</v>
      </c>
      <c r="AB56" s="214">
        <v>0</v>
      </c>
      <c r="AC56" s="207">
        <v>-109.616552</v>
      </c>
      <c r="AD56" s="207">
        <f>-AC56</f>
        <v>109.616552</v>
      </c>
      <c r="AE56" s="201"/>
    </row>
    <row r="57" spans="1:33" ht="18.75" collapsed="1" x14ac:dyDescent="0.25">
      <c r="A57" s="10" t="s">
        <v>94</v>
      </c>
      <c r="B57" s="11"/>
      <c r="C57" s="11"/>
      <c r="D57" s="16"/>
      <c r="E57" s="17"/>
      <c r="F57" s="111">
        <f t="shared" ref="F57:M57" si="31">SUM(F58:F67)</f>
        <v>2.8995530964034903E-2</v>
      </c>
      <c r="G57" s="26">
        <f t="shared" si="31"/>
        <v>8.1804037283829366E-3</v>
      </c>
      <c r="H57" s="26">
        <f t="shared" si="31"/>
        <v>3.1760489489036314E-2</v>
      </c>
      <c r="I57" s="26">
        <f>SUM(I58:I67)</f>
        <v>2.880094278392453E-4</v>
      </c>
      <c r="J57" s="9">
        <f>SUM(J58:J67)</f>
        <v>1222.2046032100002</v>
      </c>
      <c r="K57" s="112">
        <f t="shared" si="31"/>
        <v>817.5</v>
      </c>
      <c r="L57" s="9">
        <f t="shared" si="31"/>
        <v>239.96399569000002</v>
      </c>
      <c r="M57" s="9">
        <f t="shared" si="31"/>
        <v>972.78880052</v>
      </c>
      <c r="N57" s="9">
        <f>SUM(N58:N67)</f>
        <v>9.4518070000000005</v>
      </c>
      <c r="O57" s="25"/>
      <c r="P57" s="19"/>
      <c r="Q57" s="112">
        <f>SUM(Q58:Q67)</f>
        <v>-0.73419876569482867</v>
      </c>
      <c r="R57" s="9">
        <f>SUM(R58:R67)</f>
        <v>-0.2784744786221478</v>
      </c>
      <c r="S57" s="9">
        <f t="shared" ref="S57:V57" si="32">SUM(S58:S67)</f>
        <v>-0.77759663331133178</v>
      </c>
      <c r="T57" s="148">
        <f>SUM(T58:T67)</f>
        <v>-0.29178322285117231</v>
      </c>
      <c r="U57" s="9">
        <f t="shared" si="32"/>
        <v>-2.8800942783924532E-2</v>
      </c>
      <c r="V57" s="9">
        <f t="shared" si="32"/>
        <v>0</v>
      </c>
      <c r="W57" s="112">
        <f>SUM(W58:W67)</f>
        <v>-207</v>
      </c>
      <c r="X57" s="9">
        <f>SUM(X58:X67)</f>
        <v>-81.687714697999994</v>
      </c>
      <c r="Y57" s="9">
        <f t="shared" ref="Y57:AC57" si="33">SUM(Y58:Y67)</f>
        <v>-238.169281512</v>
      </c>
      <c r="Z57" s="148">
        <f>SUM(Z58:Z67)</f>
        <v>-89.369986400000002</v>
      </c>
      <c r="AA57" s="9">
        <f t="shared" si="33"/>
        <v>-9.4518070000000005</v>
      </c>
      <c r="AB57" s="9">
        <f t="shared" si="33"/>
        <v>0</v>
      </c>
      <c r="AC57" s="9">
        <f t="shared" si="33"/>
        <v>-14.994928439999999</v>
      </c>
      <c r="AD57" s="9">
        <f>SUM(AD58:AD67)</f>
        <v>36.245961440000002</v>
      </c>
      <c r="AE57" s="100"/>
    </row>
    <row r="58" spans="1:33" ht="103.5" hidden="1" customHeight="1" outlineLevel="1" x14ac:dyDescent="0.25">
      <c r="A58" s="241">
        <v>1</v>
      </c>
      <c r="B58" s="78" t="s">
        <v>95</v>
      </c>
      <c r="C58" s="244" t="s">
        <v>500</v>
      </c>
      <c r="D58" s="48" t="s">
        <v>99</v>
      </c>
      <c r="E58" s="245" t="s">
        <v>248</v>
      </c>
      <c r="F58" s="52">
        <f t="shared" ref="F58:F67" si="34">K58/$Q$8</f>
        <v>7.0937078811094557E-3</v>
      </c>
      <c r="G58" s="52">
        <f t="shared" ref="G58:G67" si="35">L58/$R$8</f>
        <v>3.1533369941587242E-3</v>
      </c>
      <c r="H58" s="52">
        <f t="shared" ref="H58:H67" si="36">M58/$S$8</f>
        <v>3.8362463804753081E-3</v>
      </c>
      <c r="I58" s="52">
        <f>N58/$U$8</f>
        <v>0</v>
      </c>
      <c r="J58" s="53">
        <f t="shared" ref="J58:J67" si="37">L58+M58+N58</f>
        <v>210</v>
      </c>
      <c r="K58" s="53">
        <v>200</v>
      </c>
      <c r="L58" s="53">
        <v>92.5</v>
      </c>
      <c r="M58" s="53">
        <v>117.5</v>
      </c>
      <c r="N58" s="53">
        <v>0</v>
      </c>
      <c r="O58" s="242" t="s">
        <v>459</v>
      </c>
      <c r="P58" s="72" t="s">
        <v>127</v>
      </c>
      <c r="Q58" s="81">
        <f t="shared" ref="Q58:V67" si="38">W58/Q$8*100</f>
        <v>-0.21281123643328367</v>
      </c>
      <c r="R58" s="81">
        <f t="shared" si="38"/>
        <v>-4.4714318577170703E-2</v>
      </c>
      <c r="S58" s="81">
        <f t="shared" si="38"/>
        <v>-5.439797367513987E-2</v>
      </c>
      <c r="T58" s="138">
        <f t="shared" si="38"/>
        <v>-3.2648905365747299E-2</v>
      </c>
      <c r="U58" s="81">
        <f t="shared" si="38"/>
        <v>0</v>
      </c>
      <c r="V58" s="81">
        <f t="shared" si="38"/>
        <v>0</v>
      </c>
      <c r="W58" s="83">
        <v>-60</v>
      </c>
      <c r="X58" s="83">
        <f>-L58*0.1418</f>
        <v>-13.1165</v>
      </c>
      <c r="Y58" s="83">
        <f>-M58*0.1418</f>
        <v>-16.6615</v>
      </c>
      <c r="Z58" s="133">
        <v>-10</v>
      </c>
      <c r="AA58" s="83">
        <v>0</v>
      </c>
      <c r="AB58" s="83">
        <v>0</v>
      </c>
      <c r="AC58" s="207">
        <f>-AD58*0.1418</f>
        <v>-1.1060400000000001</v>
      </c>
      <c r="AD58" s="207">
        <v>7.8</v>
      </c>
      <c r="AE58" s="51" t="s">
        <v>813</v>
      </c>
      <c r="AG58" s="22"/>
    </row>
    <row r="59" spans="1:33" ht="118.5" hidden="1" customHeight="1" outlineLevel="1" x14ac:dyDescent="0.25">
      <c r="A59" s="210">
        <v>2</v>
      </c>
      <c r="B59" s="78" t="s">
        <v>12</v>
      </c>
      <c r="C59" s="244" t="s">
        <v>500</v>
      </c>
      <c r="D59" s="48" t="s">
        <v>98</v>
      </c>
      <c r="E59" s="246" t="s">
        <v>249</v>
      </c>
      <c r="F59" s="52">
        <f t="shared" si="34"/>
        <v>3.298574164715897E-3</v>
      </c>
      <c r="G59" s="52">
        <f t="shared" si="35"/>
        <v>3.1294739033921174E-3</v>
      </c>
      <c r="H59" s="52">
        <f t="shared" si="36"/>
        <v>8.1034583117784807E-3</v>
      </c>
      <c r="I59" s="52">
        <f>N59/$U$8</f>
        <v>0</v>
      </c>
      <c r="J59" s="53">
        <f t="shared" si="37"/>
        <v>340</v>
      </c>
      <c r="K59" s="73">
        <v>93</v>
      </c>
      <c r="L59" s="73">
        <v>91.8</v>
      </c>
      <c r="M59" s="73">
        <v>248.2</v>
      </c>
      <c r="N59" s="73">
        <v>0</v>
      </c>
      <c r="O59" s="242" t="s">
        <v>459</v>
      </c>
      <c r="P59" s="72" t="s">
        <v>127</v>
      </c>
      <c r="Q59" s="81">
        <f t="shared" si="38"/>
        <v>-7.9804213662481374E-2</v>
      </c>
      <c r="R59" s="81">
        <f t="shared" si="38"/>
        <v>-6.0398846335467868E-2</v>
      </c>
      <c r="S59" s="81">
        <f t="shared" si="38"/>
        <v>-0.15639674541732465</v>
      </c>
      <c r="T59" s="138">
        <f t="shared" si="38"/>
        <v>0</v>
      </c>
      <c r="U59" s="81">
        <f t="shared" si="38"/>
        <v>0</v>
      </c>
      <c r="V59" s="81">
        <f t="shared" si="38"/>
        <v>0</v>
      </c>
      <c r="W59" s="83">
        <v>-22.5</v>
      </c>
      <c r="X59" s="83">
        <f>-L59*0.193</f>
        <v>-17.717400000000001</v>
      </c>
      <c r="Y59" s="83">
        <f>-M59*0.193</f>
        <v>-47.9026</v>
      </c>
      <c r="Z59" s="133">
        <v>0</v>
      </c>
      <c r="AA59" s="83">
        <v>0</v>
      </c>
      <c r="AB59" s="83">
        <v>0</v>
      </c>
      <c r="AC59" s="207">
        <f>-AD59*0.193</f>
        <v>-2.3159999999999998</v>
      </c>
      <c r="AD59" s="207">
        <v>12</v>
      </c>
      <c r="AE59" s="51" t="s">
        <v>814</v>
      </c>
    </row>
    <row r="60" spans="1:33" ht="120" hidden="1" customHeight="1" outlineLevel="1" x14ac:dyDescent="0.25">
      <c r="A60" s="210">
        <v>3</v>
      </c>
      <c r="B60" s="78" t="s">
        <v>11</v>
      </c>
      <c r="C60" s="244" t="s">
        <v>500</v>
      </c>
      <c r="D60" s="48" t="s">
        <v>97</v>
      </c>
      <c r="E60" s="246" t="s">
        <v>96</v>
      </c>
      <c r="F60" s="52">
        <f t="shared" si="34"/>
        <v>1.0640561821664184E-2</v>
      </c>
      <c r="G60" s="52">
        <f t="shared" si="35"/>
        <v>1.036299374609753E-4</v>
      </c>
      <c r="H60" s="52">
        <f t="shared" si="36"/>
        <v>9.6954228226320584E-3</v>
      </c>
      <c r="I60" s="52">
        <f t="shared" ref="I60:I67" si="39">N60/$U$8</f>
        <v>0</v>
      </c>
      <c r="J60" s="53">
        <f t="shared" si="37"/>
        <v>300</v>
      </c>
      <c r="K60" s="53">
        <v>300</v>
      </c>
      <c r="L60" s="53">
        <v>3.0398809999999998</v>
      </c>
      <c r="M60" s="53">
        <f>300-3.039881</f>
        <v>296.96011900000002</v>
      </c>
      <c r="N60" s="53">
        <v>0</v>
      </c>
      <c r="O60" s="242" t="s">
        <v>459</v>
      </c>
      <c r="P60" s="72" t="s">
        <v>127</v>
      </c>
      <c r="Q60" s="81">
        <f t="shared" si="38"/>
        <v>-8.8671348513868195E-2</v>
      </c>
      <c r="R60" s="81">
        <f t="shared" si="38"/>
        <v>-1.7409829493443855E-3</v>
      </c>
      <c r="S60" s="81">
        <f t="shared" si="38"/>
        <v>-0.16288310342021858</v>
      </c>
      <c r="T60" s="138">
        <f t="shared" si="38"/>
        <v>0</v>
      </c>
      <c r="U60" s="81">
        <f t="shared" si="38"/>
        <v>0</v>
      </c>
      <c r="V60" s="81">
        <f t="shared" si="38"/>
        <v>0</v>
      </c>
      <c r="W60" s="83">
        <v>-25</v>
      </c>
      <c r="X60" s="83">
        <f>-L60*0.168</f>
        <v>-0.51070000800000004</v>
      </c>
      <c r="Y60" s="83">
        <f>-M60*0.168</f>
        <v>-49.889299992000005</v>
      </c>
      <c r="Z60" s="133">
        <v>0</v>
      </c>
      <c r="AA60" s="83">
        <v>0</v>
      </c>
      <c r="AB60" s="83">
        <v>0</v>
      </c>
      <c r="AC60" s="207">
        <f>-AD60*0.168</f>
        <v>-9.9120000000000007E-3</v>
      </c>
      <c r="AD60" s="207">
        <v>5.8999999999999997E-2</v>
      </c>
      <c r="AE60" s="51" t="s">
        <v>815</v>
      </c>
    </row>
    <row r="61" spans="1:33" ht="270" hidden="1" customHeight="1" outlineLevel="1" x14ac:dyDescent="0.25">
      <c r="A61" s="1439">
        <v>4</v>
      </c>
      <c r="B61" s="1441" t="s">
        <v>177</v>
      </c>
      <c r="C61" s="63">
        <v>43951</v>
      </c>
      <c r="D61" s="48" t="s">
        <v>178</v>
      </c>
      <c r="E61" s="49" t="s">
        <v>318</v>
      </c>
      <c r="F61" s="52">
        <f t="shared" si="34"/>
        <v>5.3202809108320922E-3</v>
      </c>
      <c r="G61" s="52">
        <f t="shared" si="35"/>
        <v>1.7087375692046674E-3</v>
      </c>
      <c r="H61" s="52">
        <f t="shared" si="36"/>
        <v>1.3677777174910942E-3</v>
      </c>
      <c r="I61" s="52">
        <f t="shared" si="39"/>
        <v>3.2977112960384183E-5</v>
      </c>
      <c r="J61" s="53">
        <f t="shared" si="37"/>
        <v>93.099872210000001</v>
      </c>
      <c r="K61" s="80">
        <v>150</v>
      </c>
      <c r="L61" s="80">
        <v>50.124114689999999</v>
      </c>
      <c r="M61" s="80">
        <v>41.89352452</v>
      </c>
      <c r="N61" s="80">
        <v>1.082233</v>
      </c>
      <c r="O61" s="242" t="s">
        <v>185</v>
      </c>
      <c r="P61" s="72" t="s">
        <v>171</v>
      </c>
      <c r="Q61" s="82">
        <f t="shared" si="38"/>
        <v>-0.17734269702773639</v>
      </c>
      <c r="R61" s="82">
        <f t="shared" si="38"/>
        <v>-0.17087375692046675</v>
      </c>
      <c r="S61" s="75">
        <f t="shared" si="38"/>
        <v>-0.13677777174910943</v>
      </c>
      <c r="T61" s="137">
        <f t="shared" si="38"/>
        <v>-0.14486314870530947</v>
      </c>
      <c r="U61" s="75">
        <f t="shared" si="38"/>
        <v>-3.2977112960384182E-3</v>
      </c>
      <c r="V61" s="75">
        <f t="shared" si="38"/>
        <v>0</v>
      </c>
      <c r="W61" s="77">
        <v>-50</v>
      </c>
      <c r="X61" s="77">
        <v>-50.124114689999999</v>
      </c>
      <c r="Y61" s="207">
        <v>-41.89352452</v>
      </c>
      <c r="Z61" s="132">
        <v>-44.369986400000002</v>
      </c>
      <c r="AA61" s="207">
        <v>-1.082233</v>
      </c>
      <c r="AB61" s="207">
        <v>0</v>
      </c>
      <c r="AC61" s="207">
        <v>-11.277811549999999</v>
      </c>
      <c r="AD61" s="77">
        <f>-AC61</f>
        <v>11.277811549999999</v>
      </c>
      <c r="AE61" s="84" t="s">
        <v>816</v>
      </c>
    </row>
    <row r="62" spans="1:33" ht="75.75" hidden="1" customHeight="1" outlineLevel="1" x14ac:dyDescent="0.25">
      <c r="A62" s="1440"/>
      <c r="B62" s="1442"/>
      <c r="C62" s="63" t="s">
        <v>1361</v>
      </c>
      <c r="D62" s="48" t="s">
        <v>1375</v>
      </c>
      <c r="E62" s="49" t="s">
        <v>1376</v>
      </c>
      <c r="F62" s="52"/>
      <c r="G62" s="52">
        <f t="shared" si="35"/>
        <v>0</v>
      </c>
      <c r="H62" s="52">
        <f t="shared" si="36"/>
        <v>9.2184696888001749E-4</v>
      </c>
      <c r="I62" s="52">
        <f t="shared" si="39"/>
        <v>2.5503231487886114E-4</v>
      </c>
      <c r="J62" s="53">
        <f t="shared" si="37"/>
        <v>36.604731000000001</v>
      </c>
      <c r="K62" s="195">
        <v>0</v>
      </c>
      <c r="L62" s="80">
        <v>0</v>
      </c>
      <c r="M62" s="80">
        <v>28.235157000000001</v>
      </c>
      <c r="N62" s="80">
        <v>8.3695740000000001</v>
      </c>
      <c r="O62" s="242" t="s">
        <v>185</v>
      </c>
      <c r="P62" s="72" t="s">
        <v>171</v>
      </c>
      <c r="Q62" s="194">
        <f t="shared" si="38"/>
        <v>0</v>
      </c>
      <c r="R62" s="82">
        <f t="shared" si="38"/>
        <v>0</v>
      </c>
      <c r="S62" s="75">
        <f t="shared" si="38"/>
        <v>-9.2184696888001752E-2</v>
      </c>
      <c r="T62" s="137">
        <f t="shared" si="38"/>
        <v>0</v>
      </c>
      <c r="U62" s="75">
        <f t="shared" si="38"/>
        <v>-2.5503231487886115E-2</v>
      </c>
      <c r="V62" s="75">
        <f t="shared" si="38"/>
        <v>0</v>
      </c>
      <c r="W62" s="77">
        <v>0</v>
      </c>
      <c r="X62" s="77">
        <v>0</v>
      </c>
      <c r="Y62" s="207">
        <f>-17.402049-10.833108</f>
        <v>-28.235157000000001</v>
      </c>
      <c r="Z62" s="132">
        <v>0</v>
      </c>
      <c r="AA62" s="207">
        <f>-5.183348-3.186226</f>
        <v>-8.3695740000000001</v>
      </c>
      <c r="AB62" s="207">
        <v>0</v>
      </c>
      <c r="AC62" s="207">
        <v>-0.28516489</v>
      </c>
      <c r="AD62" s="77">
        <f>-AC62</f>
        <v>0.28516489</v>
      </c>
      <c r="AE62" s="84" t="s">
        <v>1377</v>
      </c>
    </row>
    <row r="63" spans="1:33" ht="120" hidden="1" customHeight="1" outlineLevel="1" x14ac:dyDescent="0.25">
      <c r="A63" s="210">
        <v>5</v>
      </c>
      <c r="B63" s="171" t="s">
        <v>817</v>
      </c>
      <c r="C63" s="63" t="s">
        <v>556</v>
      </c>
      <c r="D63" s="48" t="s">
        <v>315</v>
      </c>
      <c r="E63" s="49" t="s">
        <v>250</v>
      </c>
      <c r="F63" s="52">
        <f t="shared" si="34"/>
        <v>8.8671348513868196E-4</v>
      </c>
      <c r="G63" s="52">
        <f t="shared" si="35"/>
        <v>0</v>
      </c>
      <c r="H63" s="52">
        <f t="shared" si="36"/>
        <v>1.6324452682873651E-3</v>
      </c>
      <c r="I63" s="52">
        <f t="shared" si="39"/>
        <v>0</v>
      </c>
      <c r="J63" s="53">
        <f t="shared" si="37"/>
        <v>50</v>
      </c>
      <c r="K63" s="80">
        <v>25</v>
      </c>
      <c r="L63" s="80">
        <v>0</v>
      </c>
      <c r="M63" s="80">
        <v>50</v>
      </c>
      <c r="N63" s="80">
        <v>0</v>
      </c>
      <c r="O63" s="242" t="s">
        <v>459</v>
      </c>
      <c r="P63" s="72" t="s">
        <v>127</v>
      </c>
      <c r="Q63" s="82">
        <f t="shared" si="38"/>
        <v>0</v>
      </c>
      <c r="R63" s="82">
        <f t="shared" si="38"/>
        <v>0</v>
      </c>
      <c r="S63" s="75">
        <f t="shared" si="38"/>
        <v>0</v>
      </c>
      <c r="T63" s="137">
        <f t="shared" si="38"/>
        <v>0</v>
      </c>
      <c r="U63" s="75">
        <f t="shared" si="38"/>
        <v>0</v>
      </c>
      <c r="V63" s="75">
        <f t="shared" si="38"/>
        <v>0</v>
      </c>
      <c r="W63" s="77">
        <v>0</v>
      </c>
      <c r="X63" s="77">
        <v>0</v>
      </c>
      <c r="Y63" s="207">
        <v>0</v>
      </c>
      <c r="Z63" s="132">
        <v>0</v>
      </c>
      <c r="AA63" s="207">
        <v>0</v>
      </c>
      <c r="AB63" s="207">
        <v>0</v>
      </c>
      <c r="AC63" s="207">
        <v>0</v>
      </c>
      <c r="AD63" s="77">
        <f>9.865*0.489</f>
        <v>4.8239850000000004</v>
      </c>
      <c r="AE63" s="49" t="s">
        <v>818</v>
      </c>
    </row>
    <row r="64" spans="1:33" ht="105" hidden="1" customHeight="1" outlineLevel="1" x14ac:dyDescent="0.25">
      <c r="A64" s="210">
        <v>6</v>
      </c>
      <c r="B64" s="171" t="s">
        <v>819</v>
      </c>
      <c r="C64" s="63" t="s">
        <v>501</v>
      </c>
      <c r="D64" s="48" t="s">
        <v>316</v>
      </c>
      <c r="E64" s="49" t="s">
        <v>820</v>
      </c>
      <c r="F64" s="52">
        <f t="shared" si="34"/>
        <v>7.0937078811094561E-4</v>
      </c>
      <c r="G64" s="52">
        <f t="shared" si="35"/>
        <v>0</v>
      </c>
      <c r="H64" s="52">
        <f t="shared" si="36"/>
        <v>2.6119124292597841E-3</v>
      </c>
      <c r="I64" s="52">
        <f t="shared" si="39"/>
        <v>0</v>
      </c>
      <c r="J64" s="53">
        <f t="shared" si="37"/>
        <v>80</v>
      </c>
      <c r="K64" s="80">
        <f>-W64</f>
        <v>20</v>
      </c>
      <c r="L64" s="80">
        <v>0</v>
      </c>
      <c r="M64" s="80">
        <v>80</v>
      </c>
      <c r="N64" s="80">
        <v>0</v>
      </c>
      <c r="O64" s="242" t="s">
        <v>459</v>
      </c>
      <c r="P64" s="72" t="s">
        <v>127</v>
      </c>
      <c r="Q64" s="82">
        <f t="shared" si="38"/>
        <v>-7.0937078811094567E-2</v>
      </c>
      <c r="R64" s="82">
        <f t="shared" si="38"/>
        <v>0</v>
      </c>
      <c r="S64" s="75">
        <f t="shared" si="38"/>
        <v>-6.5141095985739028E-2</v>
      </c>
      <c r="T64" s="137">
        <f t="shared" si="38"/>
        <v>0</v>
      </c>
      <c r="U64" s="75">
        <f t="shared" si="38"/>
        <v>0</v>
      </c>
      <c r="V64" s="75">
        <f t="shared" si="38"/>
        <v>0</v>
      </c>
      <c r="W64" s="77">
        <v>-20</v>
      </c>
      <c r="X64" s="83">
        <f>-L64*0.2494</f>
        <v>0</v>
      </c>
      <c r="Y64" s="83">
        <f>-M64*0.2494</f>
        <v>-19.952000000000002</v>
      </c>
      <c r="Z64" s="132">
        <v>0</v>
      </c>
      <c r="AA64" s="207">
        <v>0</v>
      </c>
      <c r="AB64" s="207">
        <v>0</v>
      </c>
      <c r="AC64" s="207">
        <f>-AD64*0.2494</f>
        <v>0</v>
      </c>
      <c r="AD64" s="77">
        <v>0</v>
      </c>
      <c r="AE64" s="49" t="s">
        <v>821</v>
      </c>
    </row>
    <row r="65" spans="1:31" ht="129.75" hidden="1" customHeight="1" outlineLevel="1" x14ac:dyDescent="0.25">
      <c r="A65" s="210">
        <v>7</v>
      </c>
      <c r="B65" s="171" t="s">
        <v>822</v>
      </c>
      <c r="C65" s="63" t="s">
        <v>404</v>
      </c>
      <c r="D65" s="48" t="s">
        <v>823</v>
      </c>
      <c r="E65" s="49" t="s">
        <v>824</v>
      </c>
      <c r="F65" s="52">
        <f t="shared" si="34"/>
        <v>8.8671348513868196E-4</v>
      </c>
      <c r="G65" s="52">
        <f t="shared" si="35"/>
        <v>0</v>
      </c>
      <c r="H65" s="52">
        <f t="shared" si="36"/>
        <v>3.2648905365747303E-3</v>
      </c>
      <c r="I65" s="52">
        <f t="shared" si="39"/>
        <v>0</v>
      </c>
      <c r="J65" s="53">
        <f t="shared" si="37"/>
        <v>100</v>
      </c>
      <c r="K65" s="80">
        <f>-W65</f>
        <v>25</v>
      </c>
      <c r="L65" s="80">
        <v>0</v>
      </c>
      <c r="M65" s="80">
        <v>100</v>
      </c>
      <c r="N65" s="80">
        <v>0</v>
      </c>
      <c r="O65" s="242" t="s">
        <v>459</v>
      </c>
      <c r="P65" s="72" t="s">
        <v>127</v>
      </c>
      <c r="Q65" s="82">
        <f t="shared" si="38"/>
        <v>-8.8671348513868195E-2</v>
      </c>
      <c r="R65" s="82">
        <f t="shared" si="38"/>
        <v>0</v>
      </c>
      <c r="S65" s="75">
        <f t="shared" si="38"/>
        <v>-8.3124113061192634E-2</v>
      </c>
      <c r="T65" s="137">
        <f t="shared" si="38"/>
        <v>-8.1622263414368262E-2</v>
      </c>
      <c r="U65" s="75">
        <f t="shared" si="38"/>
        <v>0</v>
      </c>
      <c r="V65" s="75">
        <f t="shared" si="38"/>
        <v>0</v>
      </c>
      <c r="W65" s="77">
        <v>-25</v>
      </c>
      <c r="X65" s="83">
        <f>-L65*0.2546</f>
        <v>0</v>
      </c>
      <c r="Y65" s="83">
        <f>-M65*0.2546</f>
        <v>-25.46</v>
      </c>
      <c r="Z65" s="132">
        <v>-25</v>
      </c>
      <c r="AA65" s="207">
        <v>0</v>
      </c>
      <c r="AB65" s="207">
        <v>0</v>
      </c>
      <c r="AC65" s="207">
        <f>-AD65*0.2546</f>
        <v>0</v>
      </c>
      <c r="AD65" s="77">
        <v>0</v>
      </c>
      <c r="AE65" s="49" t="s">
        <v>825</v>
      </c>
    </row>
    <row r="66" spans="1:31" ht="90.75" hidden="1" customHeight="1" outlineLevel="1" x14ac:dyDescent="0.25">
      <c r="A66" s="210">
        <v>8</v>
      </c>
      <c r="B66" s="171" t="s">
        <v>826</v>
      </c>
      <c r="C66" s="63" t="s">
        <v>565</v>
      </c>
      <c r="D66" s="48" t="s">
        <v>827</v>
      </c>
      <c r="E66" s="49" t="s">
        <v>828</v>
      </c>
      <c r="F66" s="52">
        <f t="shared" si="34"/>
        <v>1.5960842732496276E-4</v>
      </c>
      <c r="G66" s="52">
        <f t="shared" si="35"/>
        <v>8.5225324166451994E-5</v>
      </c>
      <c r="H66" s="52">
        <f t="shared" si="36"/>
        <v>6.5297810731494601E-5</v>
      </c>
      <c r="I66" s="52">
        <f t="shared" si="39"/>
        <v>0</v>
      </c>
      <c r="J66" s="53">
        <f t="shared" si="37"/>
        <v>4.5</v>
      </c>
      <c r="K66" s="80">
        <f>-W66</f>
        <v>4.5</v>
      </c>
      <c r="L66" s="80">
        <v>2.5</v>
      </c>
      <c r="M66" s="80">
        <v>2</v>
      </c>
      <c r="N66" s="80">
        <f>-AA66</f>
        <v>0</v>
      </c>
      <c r="O66" s="242" t="s">
        <v>459</v>
      </c>
      <c r="P66" s="72" t="s">
        <v>127</v>
      </c>
      <c r="Q66" s="82">
        <f t="shared" si="38"/>
        <v>-1.5960842732496275E-2</v>
      </c>
      <c r="R66" s="82">
        <f t="shared" si="38"/>
        <v>-7.4657383969811946E-4</v>
      </c>
      <c r="S66" s="75">
        <f t="shared" si="38"/>
        <v>-5.7200882200789268E-4</v>
      </c>
      <c r="T66" s="137">
        <f t="shared" si="38"/>
        <v>-6.5297810731494606E-3</v>
      </c>
      <c r="U66" s="75">
        <f t="shared" si="38"/>
        <v>0</v>
      </c>
      <c r="V66" s="75">
        <f t="shared" si="38"/>
        <v>0</v>
      </c>
      <c r="W66" s="77">
        <v>-4.5</v>
      </c>
      <c r="X66" s="83">
        <f>-L66*0.0876</f>
        <v>-0.219</v>
      </c>
      <c r="Y66" s="83">
        <f>-M66*0.0876</f>
        <v>-0.17519999999999999</v>
      </c>
      <c r="Z66" s="132">
        <v>-2</v>
      </c>
      <c r="AA66" s="207">
        <v>0</v>
      </c>
      <c r="AB66" s="207">
        <v>0</v>
      </c>
      <c r="AC66" s="207">
        <f>-AD66*0.0876</f>
        <v>0</v>
      </c>
      <c r="AD66" s="77">
        <v>0</v>
      </c>
      <c r="AE66" s="49" t="s">
        <v>829</v>
      </c>
    </row>
    <row r="67" spans="1:31" ht="90.75" hidden="1" customHeight="1" outlineLevel="1" x14ac:dyDescent="0.25">
      <c r="A67" s="210">
        <v>9</v>
      </c>
      <c r="B67" s="116" t="s">
        <v>1138</v>
      </c>
      <c r="C67" s="117">
        <v>44245</v>
      </c>
      <c r="D67" s="118" t="s">
        <v>1139</v>
      </c>
      <c r="E67" s="119" t="s">
        <v>1140</v>
      </c>
      <c r="F67" s="52">
        <f t="shared" si="34"/>
        <v>0</v>
      </c>
      <c r="G67" s="52">
        <f t="shared" si="35"/>
        <v>0</v>
      </c>
      <c r="H67" s="52">
        <f t="shared" si="36"/>
        <v>2.6119124292597841E-4</v>
      </c>
      <c r="I67" s="52">
        <f t="shared" si="39"/>
        <v>0</v>
      </c>
      <c r="J67" s="53">
        <f t="shared" si="37"/>
        <v>8</v>
      </c>
      <c r="K67" s="80">
        <v>0</v>
      </c>
      <c r="L67" s="80">
        <f>-X67</f>
        <v>0</v>
      </c>
      <c r="M67" s="80">
        <f>-Y67</f>
        <v>8</v>
      </c>
      <c r="N67" s="80">
        <f>-AA67</f>
        <v>0</v>
      </c>
      <c r="O67" s="242" t="s">
        <v>459</v>
      </c>
      <c r="P67" s="72" t="s">
        <v>127</v>
      </c>
      <c r="Q67" s="82">
        <f t="shared" si="38"/>
        <v>0</v>
      </c>
      <c r="R67" s="82">
        <f t="shared" si="38"/>
        <v>0</v>
      </c>
      <c r="S67" s="75">
        <f t="shared" si="38"/>
        <v>-2.6119124292597842E-2</v>
      </c>
      <c r="T67" s="137">
        <f t="shared" si="38"/>
        <v>-2.6119124292597842E-2</v>
      </c>
      <c r="U67" s="75">
        <f t="shared" si="38"/>
        <v>0</v>
      </c>
      <c r="V67" s="75">
        <f t="shared" si="38"/>
        <v>0</v>
      </c>
      <c r="W67" s="77">
        <v>0</v>
      </c>
      <c r="X67" s="77">
        <v>0</v>
      </c>
      <c r="Y67" s="207">
        <v>-8</v>
      </c>
      <c r="Z67" s="132">
        <v>-8</v>
      </c>
      <c r="AA67" s="207">
        <v>0</v>
      </c>
      <c r="AB67" s="207">
        <v>0</v>
      </c>
      <c r="AC67" s="207">
        <v>0</v>
      </c>
      <c r="AD67" s="77">
        <f t="shared" ref="AD67" si="40">-AC67</f>
        <v>0</v>
      </c>
      <c r="AE67" s="49" t="s">
        <v>1141</v>
      </c>
    </row>
    <row r="68" spans="1:31" ht="18.75" collapsed="1" x14ac:dyDescent="0.25">
      <c r="A68" s="10" t="s">
        <v>122</v>
      </c>
      <c r="B68" s="12"/>
      <c r="C68" s="13"/>
      <c r="D68" s="14"/>
      <c r="E68" s="15"/>
      <c r="F68" s="111">
        <f t="shared" ref="F68" si="41">SUM(F69:F233)</f>
        <v>2.3115944385330208E-2</v>
      </c>
      <c r="G68" s="26">
        <f t="shared" ref="G68:H68" si="42">SUM(G69:G234)</f>
        <v>2.1537937541700754E-2</v>
      </c>
      <c r="H68" s="26">
        <f t="shared" si="42"/>
        <v>5.4365664448985544E-2</v>
      </c>
      <c r="I68" s="26">
        <f>SUM(I69:I234)</f>
        <v>2.8977743108139814E-3</v>
      </c>
      <c r="J68" s="9">
        <f t="shared" ref="J68:M68" si="43">SUM(J69:J234)</f>
        <v>2392.0526379999992</v>
      </c>
      <c r="K68" s="9">
        <f t="shared" si="43"/>
        <v>658.01790899999969</v>
      </c>
      <c r="L68" s="9">
        <f t="shared" si="43"/>
        <v>631.79394600000012</v>
      </c>
      <c r="M68" s="9">
        <f t="shared" si="43"/>
        <v>1665.1604039999995</v>
      </c>
      <c r="N68" s="9">
        <f>SUM(N69:N234)</f>
        <v>95.098287999999997</v>
      </c>
      <c r="O68" s="25"/>
      <c r="P68" s="18"/>
      <c r="Q68" s="112">
        <f t="shared" ref="Q68" si="44">SUM(Q69:Q233)</f>
        <v>-2.3338934134922322</v>
      </c>
      <c r="R68" s="9">
        <f>SUM(R69:R234)</f>
        <v>-2.1214598786445924</v>
      </c>
      <c r="S68" s="9">
        <f>SUM(S69:S234)</f>
        <v>-5.3282434568358479</v>
      </c>
      <c r="T68" s="148">
        <f>SUM(T69:T234)</f>
        <v>-4.2951169546988304</v>
      </c>
      <c r="U68" s="9">
        <f t="shared" ref="U68:X68" si="45">SUM(U69:U234)</f>
        <v>-0.28977743108139814</v>
      </c>
      <c r="V68" s="9">
        <f t="shared" si="45"/>
        <v>0</v>
      </c>
      <c r="W68" s="9">
        <f t="shared" si="45"/>
        <v>-658.01790899999969</v>
      </c>
      <c r="X68" s="9">
        <f t="shared" si="45"/>
        <v>-622.30912566000018</v>
      </c>
      <c r="Y68" s="9">
        <f>SUM(Y69:Y234)</f>
        <v>-1631.6791699999997</v>
      </c>
      <c r="Z68" s="148">
        <f>SUM(Z69:Z234)</f>
        <v>-1315.243905</v>
      </c>
      <c r="AA68" s="9">
        <f>SUM(AA69:AA234)</f>
        <v>-95.098287999999997</v>
      </c>
      <c r="AB68" s="9">
        <f t="shared" ref="AB68:AC68" si="46">SUM(AB69:AB234)</f>
        <v>0</v>
      </c>
      <c r="AC68" s="9">
        <f t="shared" si="46"/>
        <v>-474.35993831999997</v>
      </c>
      <c r="AD68" s="9">
        <f>SUM(AD69:AD234)</f>
        <v>474.35993831999997</v>
      </c>
      <c r="AE68" s="101"/>
    </row>
    <row r="69" spans="1:31" ht="120" customHeight="1" outlineLevel="1" x14ac:dyDescent="0.25">
      <c r="A69" s="1503">
        <v>1</v>
      </c>
      <c r="B69" s="1506" t="s">
        <v>135</v>
      </c>
      <c r="C69" s="244" t="s">
        <v>296</v>
      </c>
      <c r="D69" s="48" t="s">
        <v>830</v>
      </c>
      <c r="E69" s="49" t="s">
        <v>831</v>
      </c>
      <c r="F69" s="124">
        <f t="shared" ref="F69:F78" si="47">K69/$Q$8</f>
        <v>8.8671348513868192E-3</v>
      </c>
      <c r="G69" s="52">
        <f t="shared" ref="G69:G78" si="48">L69/$R$8</f>
        <v>8.5225324166452003E-3</v>
      </c>
      <c r="H69" s="52">
        <f>M69/$S$8</f>
        <v>0</v>
      </c>
      <c r="I69" s="52">
        <f t="shared" ref="I69:I78" si="49">N69/$U$8</f>
        <v>0</v>
      </c>
      <c r="J69" s="53">
        <f t="shared" ref="J69:J78" si="50">L69+M69+N69</f>
        <v>250</v>
      </c>
      <c r="K69" s="125">
        <f t="shared" ref="K69:M78" si="51">-W69</f>
        <v>250</v>
      </c>
      <c r="L69" s="247">
        <f t="shared" si="51"/>
        <v>250</v>
      </c>
      <c r="M69" s="247">
        <f t="shared" si="51"/>
        <v>0</v>
      </c>
      <c r="N69" s="80">
        <f t="shared" ref="N69:N78" si="52">-AA69</f>
        <v>0</v>
      </c>
      <c r="O69" s="94" t="s">
        <v>478</v>
      </c>
      <c r="P69" s="242" t="s">
        <v>128</v>
      </c>
      <c r="Q69" s="168">
        <f t="shared" ref="Q69:V86" si="53">W69/Q$8*100</f>
        <v>-0.88671348513868187</v>
      </c>
      <c r="R69" s="75">
        <f t="shared" si="53"/>
        <v>-0.85225324166451999</v>
      </c>
      <c r="S69" s="75">
        <f t="shared" si="53"/>
        <v>0</v>
      </c>
      <c r="T69" s="137">
        <f t="shared" si="53"/>
        <v>0</v>
      </c>
      <c r="U69" s="75">
        <f t="shared" si="53"/>
        <v>0</v>
      </c>
      <c r="V69" s="75">
        <f t="shared" si="53"/>
        <v>0</v>
      </c>
      <c r="W69" s="169">
        <v>-250</v>
      </c>
      <c r="X69" s="248">
        <v>-250</v>
      </c>
      <c r="Y69" s="248">
        <v>0</v>
      </c>
      <c r="Z69" s="132">
        <v>0</v>
      </c>
      <c r="AA69" s="207">
        <v>0</v>
      </c>
      <c r="AB69" s="207">
        <v>0</v>
      </c>
      <c r="AC69" s="176">
        <v>0</v>
      </c>
      <c r="AD69" s="176">
        <f t="shared" ref="AD69:AD78" si="54">-AC69</f>
        <v>0</v>
      </c>
      <c r="AE69" s="51" t="s">
        <v>319</v>
      </c>
    </row>
    <row r="70" spans="1:31" ht="180.75" customHeight="1" outlineLevel="1" x14ac:dyDescent="0.25">
      <c r="A70" s="1504"/>
      <c r="B70" s="1507"/>
      <c r="C70" s="249">
        <v>43915</v>
      </c>
      <c r="D70" s="48" t="s">
        <v>477</v>
      </c>
      <c r="E70" s="85" t="s">
        <v>832</v>
      </c>
      <c r="F70" s="124">
        <f t="shared" si="47"/>
        <v>2.1281123643328368E-4</v>
      </c>
      <c r="G70" s="52">
        <f t="shared" si="48"/>
        <v>2.0454077799948481E-4</v>
      </c>
      <c r="H70" s="52">
        <f t="shared" ref="H70:H143" si="55">M70/$S$8</f>
        <v>0</v>
      </c>
      <c r="I70" s="52">
        <f t="shared" si="49"/>
        <v>0</v>
      </c>
      <c r="J70" s="53">
        <f t="shared" si="50"/>
        <v>6</v>
      </c>
      <c r="K70" s="125">
        <f t="shared" si="51"/>
        <v>6</v>
      </c>
      <c r="L70" s="247">
        <f t="shared" si="51"/>
        <v>6</v>
      </c>
      <c r="M70" s="247">
        <f t="shared" si="51"/>
        <v>0</v>
      </c>
      <c r="N70" s="80">
        <f t="shared" si="52"/>
        <v>0</v>
      </c>
      <c r="O70" s="94" t="s">
        <v>478</v>
      </c>
      <c r="P70" s="242" t="s">
        <v>128</v>
      </c>
      <c r="Q70" s="168">
        <f t="shared" si="53"/>
        <v>-2.1281123643328369E-2</v>
      </c>
      <c r="R70" s="75">
        <f t="shared" si="53"/>
        <v>-2.045407779994848E-2</v>
      </c>
      <c r="S70" s="75">
        <f t="shared" si="53"/>
        <v>0</v>
      </c>
      <c r="T70" s="137">
        <f>Z70/T$8*100</f>
        <v>0</v>
      </c>
      <c r="U70" s="75">
        <f t="shared" si="53"/>
        <v>0</v>
      </c>
      <c r="V70" s="75">
        <f t="shared" si="53"/>
        <v>0</v>
      </c>
      <c r="W70" s="169">
        <v>-6</v>
      </c>
      <c r="X70" s="248">
        <v>-6</v>
      </c>
      <c r="Y70" s="248">
        <v>0</v>
      </c>
      <c r="Z70" s="132">
        <v>0</v>
      </c>
      <c r="AA70" s="207">
        <v>0</v>
      </c>
      <c r="AB70" s="207">
        <v>0</v>
      </c>
      <c r="AC70" s="176">
        <v>0</v>
      </c>
      <c r="AD70" s="176">
        <f t="shared" si="54"/>
        <v>0</v>
      </c>
      <c r="AE70" s="51" t="s">
        <v>833</v>
      </c>
    </row>
    <row r="71" spans="1:31" ht="61.5" customHeight="1" outlineLevel="1" x14ac:dyDescent="0.25">
      <c r="A71" s="1504"/>
      <c r="B71" s="1507"/>
      <c r="C71" s="249">
        <v>43944</v>
      </c>
      <c r="D71" s="48" t="s">
        <v>834</v>
      </c>
      <c r="E71" s="49" t="s">
        <v>188</v>
      </c>
      <c r="F71" s="124">
        <f t="shared" si="47"/>
        <v>1.599027807334894E-4</v>
      </c>
      <c r="G71" s="52">
        <f t="shared" si="48"/>
        <v>1.5368849748571654E-4</v>
      </c>
      <c r="H71" s="52">
        <f t="shared" si="55"/>
        <v>0</v>
      </c>
      <c r="I71" s="52">
        <f t="shared" si="49"/>
        <v>0</v>
      </c>
      <c r="J71" s="53">
        <f t="shared" si="50"/>
        <v>4.5082990000000001</v>
      </c>
      <c r="K71" s="125">
        <f t="shared" si="51"/>
        <v>4.5082990000000001</v>
      </c>
      <c r="L71" s="247">
        <f t="shared" si="51"/>
        <v>4.5082990000000001</v>
      </c>
      <c r="M71" s="247">
        <f t="shared" si="51"/>
        <v>0</v>
      </c>
      <c r="N71" s="80">
        <f t="shared" si="52"/>
        <v>0</v>
      </c>
      <c r="O71" s="94" t="s">
        <v>478</v>
      </c>
      <c r="P71" s="242" t="s">
        <v>128</v>
      </c>
      <c r="Q71" s="168">
        <f t="shared" si="53"/>
        <v>-1.5990278073348942E-2</v>
      </c>
      <c r="R71" s="75">
        <f t="shared" si="53"/>
        <v>-1.5368849748571655E-2</v>
      </c>
      <c r="S71" s="75">
        <f t="shared" si="53"/>
        <v>0</v>
      </c>
      <c r="T71" s="137">
        <f t="shared" si="53"/>
        <v>0</v>
      </c>
      <c r="U71" s="75">
        <f t="shared" si="53"/>
        <v>0</v>
      </c>
      <c r="V71" s="75">
        <f t="shared" si="53"/>
        <v>0</v>
      </c>
      <c r="W71" s="169">
        <v>-4.5082990000000001</v>
      </c>
      <c r="X71" s="248">
        <v>-4.5082990000000001</v>
      </c>
      <c r="Y71" s="248">
        <v>0</v>
      </c>
      <c r="Z71" s="132">
        <v>0</v>
      </c>
      <c r="AA71" s="207">
        <v>0</v>
      </c>
      <c r="AB71" s="207">
        <v>0</v>
      </c>
      <c r="AC71" s="176">
        <v>0</v>
      </c>
      <c r="AD71" s="176">
        <f t="shared" si="54"/>
        <v>0</v>
      </c>
      <c r="AE71" s="51" t="s">
        <v>189</v>
      </c>
    </row>
    <row r="72" spans="1:31" ht="61.5" customHeight="1" outlineLevel="1" x14ac:dyDescent="0.25">
      <c r="A72" s="1504"/>
      <c r="B72" s="1507"/>
      <c r="C72" s="249">
        <v>43944</v>
      </c>
      <c r="D72" s="48" t="s">
        <v>834</v>
      </c>
      <c r="E72" s="49" t="s">
        <v>179</v>
      </c>
      <c r="F72" s="124">
        <f t="shared" si="47"/>
        <v>0</v>
      </c>
      <c r="G72" s="52">
        <f t="shared" si="48"/>
        <v>0</v>
      </c>
      <c r="H72" s="52">
        <f t="shared" si="55"/>
        <v>1.1502209360352773E-3</v>
      </c>
      <c r="I72" s="52">
        <f t="shared" si="49"/>
        <v>0</v>
      </c>
      <c r="J72" s="53">
        <f t="shared" si="50"/>
        <v>35.229999999999997</v>
      </c>
      <c r="K72" s="125">
        <f t="shared" si="51"/>
        <v>0</v>
      </c>
      <c r="L72" s="247">
        <f t="shared" si="51"/>
        <v>0</v>
      </c>
      <c r="M72" s="247">
        <f t="shared" si="51"/>
        <v>35.229999999999997</v>
      </c>
      <c r="N72" s="80">
        <f t="shared" si="52"/>
        <v>0</v>
      </c>
      <c r="O72" s="94" t="s">
        <v>478</v>
      </c>
      <c r="P72" s="242" t="s">
        <v>128</v>
      </c>
      <c r="Q72" s="168">
        <f t="shared" si="53"/>
        <v>0</v>
      </c>
      <c r="R72" s="75">
        <f t="shared" si="53"/>
        <v>0</v>
      </c>
      <c r="S72" s="75">
        <f t="shared" si="53"/>
        <v>-0.11502209360352772</v>
      </c>
      <c r="T72" s="137">
        <f t="shared" si="53"/>
        <v>-0.11492414688743051</v>
      </c>
      <c r="U72" s="75">
        <f t="shared" si="53"/>
        <v>0</v>
      </c>
      <c r="V72" s="75">
        <f t="shared" si="53"/>
        <v>0</v>
      </c>
      <c r="W72" s="169">
        <v>0</v>
      </c>
      <c r="X72" s="248">
        <v>0</v>
      </c>
      <c r="Y72" s="248">
        <v>-35.229999999999997</v>
      </c>
      <c r="Z72" s="132">
        <v>-35.200000000000003</v>
      </c>
      <c r="AA72" s="207">
        <v>0</v>
      </c>
      <c r="AB72" s="207">
        <v>0</v>
      </c>
      <c r="AC72" s="176">
        <v>0</v>
      </c>
      <c r="AD72" s="176">
        <f t="shared" si="54"/>
        <v>0</v>
      </c>
      <c r="AE72" s="51" t="s">
        <v>1412</v>
      </c>
    </row>
    <row r="73" spans="1:31" ht="61.5" customHeight="1" outlineLevel="1" x14ac:dyDescent="0.25">
      <c r="A73" s="1505"/>
      <c r="B73" s="1508"/>
      <c r="C73" s="249">
        <v>44279</v>
      </c>
      <c r="D73" s="48" t="s">
        <v>1289</v>
      </c>
      <c r="E73" s="49" t="s">
        <v>1290</v>
      </c>
      <c r="F73" s="124">
        <f t="shared" si="47"/>
        <v>0</v>
      </c>
      <c r="G73" s="52">
        <f t="shared" si="48"/>
        <v>0</v>
      </c>
      <c r="H73" s="52">
        <f t="shared" si="55"/>
        <v>6.2658473221727587E-5</v>
      </c>
      <c r="I73" s="52">
        <f t="shared" si="49"/>
        <v>0</v>
      </c>
      <c r="J73" s="53">
        <f t="shared" si="50"/>
        <v>1.91916</v>
      </c>
      <c r="K73" s="125">
        <f t="shared" si="51"/>
        <v>0</v>
      </c>
      <c r="L73" s="247">
        <f t="shared" si="51"/>
        <v>0</v>
      </c>
      <c r="M73" s="247">
        <f t="shared" si="51"/>
        <v>1.91916</v>
      </c>
      <c r="N73" s="80">
        <f t="shared" si="52"/>
        <v>0</v>
      </c>
      <c r="O73" s="94" t="s">
        <v>478</v>
      </c>
      <c r="P73" s="242" t="s">
        <v>128</v>
      </c>
      <c r="Q73" s="168">
        <f t="shared" si="53"/>
        <v>0</v>
      </c>
      <c r="R73" s="75">
        <f t="shared" si="53"/>
        <v>0</v>
      </c>
      <c r="S73" s="75">
        <f t="shared" si="53"/>
        <v>-6.2658473221727587E-3</v>
      </c>
      <c r="T73" s="137">
        <f t="shared" si="53"/>
        <v>0</v>
      </c>
      <c r="U73" s="75">
        <f t="shared" si="53"/>
        <v>0</v>
      </c>
      <c r="V73" s="75">
        <f t="shared" si="53"/>
        <v>0</v>
      </c>
      <c r="W73" s="169">
        <v>0</v>
      </c>
      <c r="X73" s="248">
        <v>0</v>
      </c>
      <c r="Y73" s="248">
        <v>-1.91916</v>
      </c>
      <c r="Z73" s="132">
        <v>0</v>
      </c>
      <c r="AA73" s="207">
        <v>0</v>
      </c>
      <c r="AB73" s="207">
        <v>0</v>
      </c>
      <c r="AC73" s="176">
        <v>-0.95957999999999999</v>
      </c>
      <c r="AD73" s="176">
        <f t="shared" si="54"/>
        <v>0.95957999999999999</v>
      </c>
      <c r="AE73" s="51" t="s">
        <v>1291</v>
      </c>
    </row>
    <row r="74" spans="1:31" ht="71.25" customHeight="1" outlineLevel="1" x14ac:dyDescent="0.25">
      <c r="A74" s="1439">
        <v>2</v>
      </c>
      <c r="B74" s="1445" t="s">
        <v>835</v>
      </c>
      <c r="C74" s="86">
        <v>43893</v>
      </c>
      <c r="D74" s="48" t="s">
        <v>100</v>
      </c>
      <c r="E74" s="49" t="s">
        <v>105</v>
      </c>
      <c r="F74" s="124">
        <f t="shared" si="47"/>
        <v>3.1418209548130804E-5</v>
      </c>
      <c r="G74" s="52">
        <f t="shared" si="48"/>
        <v>3.0063778541790606E-5</v>
      </c>
      <c r="H74" s="52">
        <f t="shared" si="55"/>
        <v>0</v>
      </c>
      <c r="I74" s="52">
        <f t="shared" si="49"/>
        <v>0</v>
      </c>
      <c r="J74" s="53">
        <f t="shared" si="50"/>
        <v>0.88189099999999998</v>
      </c>
      <c r="K74" s="125">
        <f t="shared" si="51"/>
        <v>0.88580499999999995</v>
      </c>
      <c r="L74" s="247">
        <v>0.88189099999999998</v>
      </c>
      <c r="M74" s="247">
        <v>0</v>
      </c>
      <c r="N74" s="80">
        <f t="shared" si="52"/>
        <v>0</v>
      </c>
      <c r="O74" s="95" t="s">
        <v>479</v>
      </c>
      <c r="P74" s="242" t="s">
        <v>171</v>
      </c>
      <c r="Q74" s="168">
        <f t="shared" si="53"/>
        <v>-3.1418209548130802E-3</v>
      </c>
      <c r="R74" s="75">
        <f t="shared" si="53"/>
        <v>-1.1590984987934136E-3</v>
      </c>
      <c r="S74" s="75">
        <f t="shared" si="53"/>
        <v>-1.7691821488496511E-3</v>
      </c>
      <c r="T74" s="137">
        <f t="shared" si="53"/>
        <v>0</v>
      </c>
      <c r="U74" s="75">
        <f t="shared" si="53"/>
        <v>0</v>
      </c>
      <c r="V74" s="75">
        <f t="shared" si="53"/>
        <v>0</v>
      </c>
      <c r="W74" s="169">
        <v>-0.88580499999999995</v>
      </c>
      <c r="X74" s="248">
        <v>-0.34000999999999998</v>
      </c>
      <c r="Y74" s="248">
        <v>-0.54188099999999995</v>
      </c>
      <c r="Z74" s="132">
        <v>0</v>
      </c>
      <c r="AA74" s="207">
        <v>0</v>
      </c>
      <c r="AB74" s="207">
        <v>0</v>
      </c>
      <c r="AC74" s="191">
        <v>-0.44828685000000001</v>
      </c>
      <c r="AD74" s="176">
        <f t="shared" si="54"/>
        <v>0.44828685000000001</v>
      </c>
      <c r="AE74" s="51" t="s">
        <v>836</v>
      </c>
    </row>
    <row r="75" spans="1:31" ht="117.75" customHeight="1" outlineLevel="1" x14ac:dyDescent="0.25">
      <c r="A75" s="1443"/>
      <c r="B75" s="1446"/>
      <c r="C75" s="86">
        <v>43930</v>
      </c>
      <c r="D75" s="48" t="s">
        <v>103</v>
      </c>
      <c r="E75" s="49" t="s">
        <v>104</v>
      </c>
      <c r="F75" s="124">
        <f t="shared" si="47"/>
        <v>5.0041984110094345E-4</v>
      </c>
      <c r="G75" s="52">
        <f t="shared" si="48"/>
        <v>4.8097208277465283E-4</v>
      </c>
      <c r="H75" s="52">
        <f t="shared" si="55"/>
        <v>0</v>
      </c>
      <c r="I75" s="52">
        <f t="shared" si="49"/>
        <v>0</v>
      </c>
      <c r="J75" s="53">
        <f t="shared" si="50"/>
        <v>14.108836999999999</v>
      </c>
      <c r="K75" s="125">
        <f t="shared" si="51"/>
        <v>14.108836999999999</v>
      </c>
      <c r="L75" s="247">
        <v>14.108836999999999</v>
      </c>
      <c r="M75" s="247">
        <v>0</v>
      </c>
      <c r="N75" s="80">
        <f t="shared" si="52"/>
        <v>0</v>
      </c>
      <c r="O75" s="95" t="s">
        <v>479</v>
      </c>
      <c r="P75" s="242" t="s">
        <v>171</v>
      </c>
      <c r="Q75" s="168">
        <f t="shared" si="53"/>
        <v>-5.0041984110094348E-2</v>
      </c>
      <c r="R75" s="75">
        <f t="shared" si="53"/>
        <v>-2.9278836261152748E-2</v>
      </c>
      <c r="S75" s="75">
        <f t="shared" si="53"/>
        <v>-1.8022789971970165E-2</v>
      </c>
      <c r="T75" s="137">
        <f t="shared" si="53"/>
        <v>0</v>
      </c>
      <c r="U75" s="75">
        <f t="shared" si="53"/>
        <v>0</v>
      </c>
      <c r="V75" s="75">
        <f t="shared" si="53"/>
        <v>0</v>
      </c>
      <c r="W75" s="169">
        <v>-14.108836999999999</v>
      </c>
      <c r="X75" s="248">
        <v>-8.5886549999999993</v>
      </c>
      <c r="Y75" s="248">
        <v>-5.5201820000000001</v>
      </c>
      <c r="Z75" s="132">
        <v>0</v>
      </c>
      <c r="AA75" s="207">
        <v>0</v>
      </c>
      <c r="AB75" s="207">
        <v>0</v>
      </c>
      <c r="AC75" s="176">
        <v>-1.771336</v>
      </c>
      <c r="AD75" s="176">
        <f t="shared" si="54"/>
        <v>1.771336</v>
      </c>
      <c r="AE75" s="51" t="s">
        <v>837</v>
      </c>
    </row>
    <row r="76" spans="1:31" ht="60" customHeight="1" outlineLevel="1" x14ac:dyDescent="0.25">
      <c r="A76" s="1443"/>
      <c r="B76" s="1446"/>
      <c r="C76" s="86">
        <v>44090</v>
      </c>
      <c r="D76" s="48" t="s">
        <v>1378</v>
      </c>
      <c r="E76" s="49" t="s">
        <v>1379</v>
      </c>
      <c r="F76" s="124"/>
      <c r="G76" s="52">
        <f t="shared" si="48"/>
        <v>2.1206958313634919E-4</v>
      </c>
      <c r="H76" s="52">
        <f t="shared" si="55"/>
        <v>0</v>
      </c>
      <c r="I76" s="52">
        <f t="shared" si="49"/>
        <v>0</v>
      </c>
      <c r="J76" s="53">
        <v>6.2208500000000004</v>
      </c>
      <c r="K76" s="80">
        <v>6.2208500000000004</v>
      </c>
      <c r="L76" s="247">
        <v>6.2208500000000004</v>
      </c>
      <c r="M76" s="247">
        <v>0</v>
      </c>
      <c r="N76" s="80">
        <v>0</v>
      </c>
      <c r="O76" s="95" t="s">
        <v>479</v>
      </c>
      <c r="P76" s="242" t="s">
        <v>171</v>
      </c>
      <c r="Q76" s="75">
        <f t="shared" si="53"/>
        <v>-2.2064446336099882E-2</v>
      </c>
      <c r="R76" s="75">
        <f t="shared" si="53"/>
        <v>-9.5387341598507976E-3</v>
      </c>
      <c r="S76" s="75">
        <f t="shared" si="53"/>
        <v>-1.1174926938294912E-2</v>
      </c>
      <c r="T76" s="137">
        <f t="shared" si="53"/>
        <v>0</v>
      </c>
      <c r="U76" s="75">
        <f t="shared" si="53"/>
        <v>0</v>
      </c>
      <c r="V76" s="188">
        <f t="shared" si="53"/>
        <v>0</v>
      </c>
      <c r="W76" s="190">
        <v>-6.2208500000000004</v>
      </c>
      <c r="X76" s="248">
        <v>-2.79809266</v>
      </c>
      <c r="Y76" s="248">
        <v>-3.4227569999999998</v>
      </c>
      <c r="Z76" s="132">
        <v>0</v>
      </c>
      <c r="AA76" s="207">
        <v>0</v>
      </c>
      <c r="AB76" s="207">
        <v>0</v>
      </c>
      <c r="AC76" s="176">
        <v>-0.87877251000000001</v>
      </c>
      <c r="AD76" s="176">
        <f t="shared" si="54"/>
        <v>0.87877251000000001</v>
      </c>
      <c r="AE76" s="51" t="s">
        <v>1380</v>
      </c>
    </row>
    <row r="77" spans="1:31" ht="77.25" customHeight="1" outlineLevel="1" x14ac:dyDescent="0.25">
      <c r="A77" s="1443"/>
      <c r="B77" s="1446"/>
      <c r="C77" s="86">
        <v>43910</v>
      </c>
      <c r="D77" s="48" t="s">
        <v>102</v>
      </c>
      <c r="E77" s="49" t="s">
        <v>106</v>
      </c>
      <c r="F77" s="124">
        <f t="shared" si="47"/>
        <v>9.1521600340497969E-6</v>
      </c>
      <c r="G77" s="52">
        <f t="shared" si="48"/>
        <v>8.7964806986458428E-6</v>
      </c>
      <c r="H77" s="52">
        <f t="shared" si="55"/>
        <v>0</v>
      </c>
      <c r="I77" s="52">
        <f t="shared" si="49"/>
        <v>0</v>
      </c>
      <c r="J77" s="53">
        <f t="shared" si="50"/>
        <v>0.25803599999999999</v>
      </c>
      <c r="K77" s="125">
        <f t="shared" si="51"/>
        <v>0.25803599999999999</v>
      </c>
      <c r="L77" s="247">
        <f t="shared" si="51"/>
        <v>0.25803599999999999</v>
      </c>
      <c r="M77" s="247">
        <f t="shared" si="51"/>
        <v>0</v>
      </c>
      <c r="N77" s="80">
        <f t="shared" si="52"/>
        <v>0</v>
      </c>
      <c r="O77" s="95" t="s">
        <v>480</v>
      </c>
      <c r="P77" s="242" t="s">
        <v>129</v>
      </c>
      <c r="Q77" s="168">
        <f t="shared" si="53"/>
        <v>-9.1521600340497969E-4</v>
      </c>
      <c r="R77" s="75">
        <f t="shared" si="53"/>
        <v>-8.796480698645843E-4</v>
      </c>
      <c r="S77" s="75">
        <f t="shared" si="53"/>
        <v>0</v>
      </c>
      <c r="T77" s="137">
        <f t="shared" si="53"/>
        <v>0</v>
      </c>
      <c r="U77" s="75">
        <f t="shared" si="53"/>
        <v>0</v>
      </c>
      <c r="V77" s="75">
        <f t="shared" si="53"/>
        <v>0</v>
      </c>
      <c r="W77" s="169">
        <v>-0.25803599999999999</v>
      </c>
      <c r="X77" s="248">
        <v>-0.25803599999999999</v>
      </c>
      <c r="Y77" s="248">
        <v>0</v>
      </c>
      <c r="Z77" s="132">
        <v>0</v>
      </c>
      <c r="AA77" s="207">
        <v>0</v>
      </c>
      <c r="AB77" s="207">
        <v>0</v>
      </c>
      <c r="AC77" s="176">
        <v>0</v>
      </c>
      <c r="AD77" s="188">
        <f t="shared" si="54"/>
        <v>0</v>
      </c>
      <c r="AE77" s="51" t="s">
        <v>838</v>
      </c>
    </row>
    <row r="78" spans="1:31" ht="60" customHeight="1" outlineLevel="1" x14ac:dyDescent="0.25">
      <c r="A78" s="1443"/>
      <c r="B78" s="1446"/>
      <c r="C78" s="1208" t="s">
        <v>533</v>
      </c>
      <c r="D78" s="48" t="s">
        <v>839</v>
      </c>
      <c r="E78" s="1469" t="s">
        <v>147</v>
      </c>
      <c r="F78" s="1529">
        <f t="shared" si="47"/>
        <v>1.6221451372632476E-3</v>
      </c>
      <c r="G78" s="1201">
        <f t="shared" si="48"/>
        <v>1.2183851546485095E-3</v>
      </c>
      <c r="H78" s="1201">
        <f>M78/$S$8</f>
        <v>4.0587019826082027E-4</v>
      </c>
      <c r="I78" s="1201">
        <f t="shared" si="49"/>
        <v>0</v>
      </c>
      <c r="J78" s="1447">
        <f t="shared" si="50"/>
        <v>48.171472000000001</v>
      </c>
      <c r="K78" s="1531">
        <f>-W78</f>
        <v>45.734760000000001</v>
      </c>
      <c r="L78" s="1533">
        <f t="shared" si="51"/>
        <v>35.740115000000003</v>
      </c>
      <c r="M78" s="1533">
        <f t="shared" si="51"/>
        <v>12.431357</v>
      </c>
      <c r="N78" s="1165">
        <f t="shared" si="52"/>
        <v>0</v>
      </c>
      <c r="O78" s="1233" t="s">
        <v>481</v>
      </c>
      <c r="P78" s="1459" t="s">
        <v>129</v>
      </c>
      <c r="Q78" s="1461">
        <f t="shared" si="53"/>
        <v>-0.16221451372632475</v>
      </c>
      <c r="R78" s="1429">
        <f t="shared" si="53"/>
        <v>-0.12183851546485094</v>
      </c>
      <c r="S78" s="1429">
        <f>Y78/S$8*100</f>
        <v>-4.0587019826082024E-2</v>
      </c>
      <c r="T78" s="1427">
        <f>Z78/T$8*100</f>
        <v>-4.0587019826082024E-2</v>
      </c>
      <c r="U78" s="1429">
        <f>AA78/U$8*100</f>
        <v>0</v>
      </c>
      <c r="V78" s="1429">
        <f t="shared" si="53"/>
        <v>0</v>
      </c>
      <c r="W78" s="1463">
        <v>-45.734760000000001</v>
      </c>
      <c r="X78" s="1451">
        <v>-35.740115000000003</v>
      </c>
      <c r="Y78" s="1451">
        <v>-12.431357</v>
      </c>
      <c r="Z78" s="1177">
        <v>-12.431357</v>
      </c>
      <c r="AA78" s="1169">
        <v>0</v>
      </c>
      <c r="AB78" s="1169">
        <v>0</v>
      </c>
      <c r="AC78" s="1535">
        <f>-7.994113</f>
        <v>-7.9941129999999996</v>
      </c>
      <c r="AD78" s="1535">
        <f t="shared" si="54"/>
        <v>7.9941129999999996</v>
      </c>
      <c r="AE78" s="1425" t="s">
        <v>840</v>
      </c>
    </row>
    <row r="79" spans="1:31" ht="61.5" customHeight="1" outlineLevel="1" x14ac:dyDescent="0.25">
      <c r="A79" s="1443"/>
      <c r="B79" s="1446"/>
      <c r="C79" s="1209"/>
      <c r="D79" s="48" t="s">
        <v>841</v>
      </c>
      <c r="E79" s="1470"/>
      <c r="F79" s="1530"/>
      <c r="G79" s="1202"/>
      <c r="H79" s="1202"/>
      <c r="I79" s="1202"/>
      <c r="J79" s="1448"/>
      <c r="K79" s="1532"/>
      <c r="L79" s="1534"/>
      <c r="M79" s="1534"/>
      <c r="N79" s="1166"/>
      <c r="O79" s="1234"/>
      <c r="P79" s="1460"/>
      <c r="Q79" s="1462"/>
      <c r="R79" s="1244"/>
      <c r="S79" s="1244"/>
      <c r="T79" s="1428"/>
      <c r="U79" s="1244"/>
      <c r="V79" s="1244"/>
      <c r="W79" s="1464"/>
      <c r="X79" s="1452"/>
      <c r="Y79" s="1452"/>
      <c r="Z79" s="1178"/>
      <c r="AA79" s="1170"/>
      <c r="AB79" s="1170"/>
      <c r="AC79" s="1536"/>
      <c r="AD79" s="1536"/>
      <c r="AE79" s="1426"/>
    </row>
    <row r="80" spans="1:31" ht="113.25" customHeight="1" outlineLevel="1" x14ac:dyDescent="0.25">
      <c r="A80" s="1443"/>
      <c r="B80" s="1446"/>
      <c r="C80" s="87" t="s">
        <v>26</v>
      </c>
      <c r="D80" s="48" t="s">
        <v>101</v>
      </c>
      <c r="E80" s="49" t="s">
        <v>842</v>
      </c>
      <c r="F80" s="124">
        <f t="shared" ref="F80:F86" si="56">K80/$Q$8</f>
        <v>4.1648648648648644E-4</v>
      </c>
      <c r="G80" s="1201">
        <f>L80/$R$8</f>
        <v>2.5874424098394477E-3</v>
      </c>
      <c r="H80" s="52">
        <f t="shared" si="55"/>
        <v>0</v>
      </c>
      <c r="I80" s="52">
        <f t="shared" ref="I80:I86" si="57">N80/$U$8</f>
        <v>0</v>
      </c>
      <c r="J80" s="1447">
        <f>SUM(L80:N93)</f>
        <v>127.80528700000001</v>
      </c>
      <c r="K80" s="125">
        <f>-W80</f>
        <v>11.742419999999999</v>
      </c>
      <c r="L80" s="1533">
        <f>-X80</f>
        <v>75.900046000000003</v>
      </c>
      <c r="M80" s="247">
        <v>0</v>
      </c>
      <c r="N80" s="80">
        <v>0</v>
      </c>
      <c r="O80" s="95" t="s">
        <v>479</v>
      </c>
      <c r="P80" s="242" t="s">
        <v>129</v>
      </c>
      <c r="Q80" s="168">
        <f t="shared" ref="Q80:Q86" si="58">W80/Q$8*100</f>
        <v>-4.1648648648648645E-2</v>
      </c>
      <c r="R80" s="113">
        <f>X80/R8*100</f>
        <v>-0.25874424098394477</v>
      </c>
      <c r="S80" s="75">
        <f t="shared" si="53"/>
        <v>0</v>
      </c>
      <c r="T80" s="137">
        <f t="shared" si="53"/>
        <v>0</v>
      </c>
      <c r="U80" s="75">
        <f t="shared" si="53"/>
        <v>0</v>
      </c>
      <c r="V80" s="75">
        <f t="shared" si="53"/>
        <v>0</v>
      </c>
      <c r="W80" s="169">
        <v>-11.742419999999999</v>
      </c>
      <c r="X80" s="1538">
        <f>-82.120896+6.22085</f>
        <v>-75.900046000000003</v>
      </c>
      <c r="Y80" s="248">
        <v>0</v>
      </c>
      <c r="Z80" s="132">
        <v>0</v>
      </c>
      <c r="AA80" s="207">
        <v>0</v>
      </c>
      <c r="AB80" s="207">
        <v>0</v>
      </c>
      <c r="AC80" s="221">
        <v>0</v>
      </c>
      <c r="AD80" s="221">
        <f t="shared" ref="AD80:AD87" si="59">-AC80</f>
        <v>0</v>
      </c>
      <c r="AE80" s="51" t="s">
        <v>843</v>
      </c>
    </row>
    <row r="81" spans="1:32" s="1" customFormat="1" ht="59.25" customHeight="1" outlineLevel="1" x14ac:dyDescent="0.25">
      <c r="A81" s="1443"/>
      <c r="B81" s="1446"/>
      <c r="C81" s="249">
        <v>43917</v>
      </c>
      <c r="D81" s="48" t="s">
        <v>844</v>
      </c>
      <c r="E81" s="49" t="s">
        <v>107</v>
      </c>
      <c r="F81" s="124">
        <f t="shared" si="56"/>
        <v>1.9396527629992198E-4</v>
      </c>
      <c r="G81" s="1228"/>
      <c r="H81" s="52">
        <f t="shared" si="55"/>
        <v>0</v>
      </c>
      <c r="I81" s="52">
        <f t="shared" si="57"/>
        <v>0</v>
      </c>
      <c r="J81" s="1485"/>
      <c r="K81" s="125">
        <f t="shared" ref="K81:K86" si="60">-W81</f>
        <v>5.4686570000000003</v>
      </c>
      <c r="L81" s="1537"/>
      <c r="M81" s="247">
        <v>0</v>
      </c>
      <c r="N81" s="80">
        <v>0</v>
      </c>
      <c r="O81" s="94" t="s">
        <v>479</v>
      </c>
      <c r="P81" s="242" t="s">
        <v>130</v>
      </c>
      <c r="Q81" s="168">
        <f t="shared" si="58"/>
        <v>-1.9396527629992198E-2</v>
      </c>
      <c r="R81" s="114"/>
      <c r="S81" s="75">
        <f t="shared" si="53"/>
        <v>0</v>
      </c>
      <c r="T81" s="137">
        <f t="shared" si="53"/>
        <v>0</v>
      </c>
      <c r="U81" s="75">
        <f t="shared" si="53"/>
        <v>0</v>
      </c>
      <c r="V81" s="75">
        <f t="shared" si="53"/>
        <v>0</v>
      </c>
      <c r="W81" s="169">
        <v>-5.4686570000000003</v>
      </c>
      <c r="X81" s="1539"/>
      <c r="Y81" s="248">
        <v>0</v>
      </c>
      <c r="Z81" s="132">
        <v>0</v>
      </c>
      <c r="AA81" s="207">
        <v>0</v>
      </c>
      <c r="AB81" s="207">
        <v>0</v>
      </c>
      <c r="AC81" s="176">
        <v>0</v>
      </c>
      <c r="AD81" s="176">
        <f t="shared" si="59"/>
        <v>0</v>
      </c>
      <c r="AE81" s="51" t="s">
        <v>845</v>
      </c>
    </row>
    <row r="82" spans="1:32" s="1" customFormat="1" ht="60" outlineLevel="1" x14ac:dyDescent="0.25">
      <c r="A82" s="1443"/>
      <c r="B82" s="1446"/>
      <c r="C82" s="63">
        <v>43956</v>
      </c>
      <c r="D82" s="48" t="s">
        <v>846</v>
      </c>
      <c r="E82" s="49" t="s">
        <v>847</v>
      </c>
      <c r="F82" s="124">
        <f t="shared" si="56"/>
        <v>4.6944846421224373E-5</v>
      </c>
      <c r="G82" s="1228"/>
      <c r="H82" s="52">
        <f t="shared" si="55"/>
        <v>0</v>
      </c>
      <c r="I82" s="52">
        <f t="shared" si="57"/>
        <v>0</v>
      </c>
      <c r="J82" s="1485"/>
      <c r="K82" s="125">
        <f t="shared" si="60"/>
        <v>1.323563</v>
      </c>
      <c r="L82" s="1537"/>
      <c r="M82" s="247">
        <v>0</v>
      </c>
      <c r="N82" s="80">
        <v>0</v>
      </c>
      <c r="O82" s="95" t="s">
        <v>479</v>
      </c>
      <c r="P82" s="242" t="s">
        <v>171</v>
      </c>
      <c r="Q82" s="168">
        <f t="shared" si="58"/>
        <v>-4.6944846421224373E-3</v>
      </c>
      <c r="R82" s="114"/>
      <c r="S82" s="75">
        <f t="shared" si="53"/>
        <v>0</v>
      </c>
      <c r="T82" s="137">
        <f t="shared" si="53"/>
        <v>0</v>
      </c>
      <c r="U82" s="75">
        <f t="shared" si="53"/>
        <v>0</v>
      </c>
      <c r="V82" s="75">
        <f t="shared" si="53"/>
        <v>0</v>
      </c>
      <c r="W82" s="169">
        <v>-1.323563</v>
      </c>
      <c r="X82" s="1539"/>
      <c r="Y82" s="248">
        <v>0</v>
      </c>
      <c r="Z82" s="132">
        <v>0</v>
      </c>
      <c r="AA82" s="207">
        <v>0</v>
      </c>
      <c r="AB82" s="207">
        <v>0</v>
      </c>
      <c r="AC82" s="176">
        <v>0</v>
      </c>
      <c r="AD82" s="176">
        <f t="shared" si="59"/>
        <v>0</v>
      </c>
      <c r="AE82" s="51" t="s">
        <v>848</v>
      </c>
    </row>
    <row r="83" spans="1:32" s="1" customFormat="1" ht="90.75" customHeight="1" outlineLevel="1" x14ac:dyDescent="0.25">
      <c r="A83" s="1443"/>
      <c r="B83" s="1446"/>
      <c r="C83" s="63">
        <v>43971</v>
      </c>
      <c r="D83" s="48" t="s">
        <v>849</v>
      </c>
      <c r="E83" s="49" t="s">
        <v>850</v>
      </c>
      <c r="F83" s="124">
        <f t="shared" si="56"/>
        <v>7.7754273958998365E-5</v>
      </c>
      <c r="G83" s="1228"/>
      <c r="H83" s="52">
        <f t="shared" si="55"/>
        <v>0</v>
      </c>
      <c r="I83" s="52">
        <f t="shared" si="57"/>
        <v>0</v>
      </c>
      <c r="J83" s="1485"/>
      <c r="K83" s="125">
        <f t="shared" si="60"/>
        <v>2.1922039999999998</v>
      </c>
      <c r="L83" s="1537"/>
      <c r="M83" s="247">
        <v>0</v>
      </c>
      <c r="N83" s="80">
        <v>0</v>
      </c>
      <c r="O83" s="95" t="s">
        <v>479</v>
      </c>
      <c r="P83" s="242" t="s">
        <v>129</v>
      </c>
      <c r="Q83" s="168">
        <f t="shared" si="58"/>
        <v>-7.7754273958998369E-3</v>
      </c>
      <c r="R83" s="114"/>
      <c r="S83" s="75">
        <f t="shared" si="53"/>
        <v>0</v>
      </c>
      <c r="T83" s="137">
        <f t="shared" si="53"/>
        <v>0</v>
      </c>
      <c r="U83" s="75">
        <f t="shared" si="53"/>
        <v>0</v>
      </c>
      <c r="V83" s="75">
        <f t="shared" si="53"/>
        <v>0</v>
      </c>
      <c r="W83" s="169">
        <v>-2.1922039999999998</v>
      </c>
      <c r="X83" s="1539"/>
      <c r="Y83" s="248">
        <v>0</v>
      </c>
      <c r="Z83" s="132">
        <v>0</v>
      </c>
      <c r="AA83" s="207">
        <v>0</v>
      </c>
      <c r="AB83" s="207">
        <v>0</v>
      </c>
      <c r="AC83" s="176">
        <v>0</v>
      </c>
      <c r="AD83" s="176">
        <f t="shared" si="59"/>
        <v>0</v>
      </c>
      <c r="AE83" s="51" t="s">
        <v>851</v>
      </c>
    </row>
    <row r="84" spans="1:32" s="1" customFormat="1" ht="80.25" customHeight="1" outlineLevel="1" x14ac:dyDescent="0.25">
      <c r="A84" s="1443"/>
      <c r="B84" s="1446"/>
      <c r="C84" s="63">
        <v>43991</v>
      </c>
      <c r="D84" s="48" t="s">
        <v>852</v>
      </c>
      <c r="E84" s="49" t="s">
        <v>367</v>
      </c>
      <c r="F84" s="124">
        <f t="shared" si="56"/>
        <v>5.6749663048875649E-4</v>
      </c>
      <c r="G84" s="1228"/>
      <c r="H84" s="52">
        <f t="shared" si="55"/>
        <v>0</v>
      </c>
      <c r="I84" s="52">
        <f t="shared" si="57"/>
        <v>0</v>
      </c>
      <c r="J84" s="1485"/>
      <c r="K84" s="125">
        <f t="shared" si="60"/>
        <v>16</v>
      </c>
      <c r="L84" s="1537"/>
      <c r="M84" s="247">
        <v>0</v>
      </c>
      <c r="N84" s="80">
        <v>0</v>
      </c>
      <c r="O84" s="95" t="s">
        <v>479</v>
      </c>
      <c r="P84" s="242" t="s">
        <v>129</v>
      </c>
      <c r="Q84" s="168">
        <f t="shared" si="58"/>
        <v>-5.6749663048875645E-2</v>
      </c>
      <c r="R84" s="114"/>
      <c r="S84" s="75">
        <f t="shared" si="53"/>
        <v>0</v>
      </c>
      <c r="T84" s="137">
        <f t="shared" si="53"/>
        <v>0</v>
      </c>
      <c r="U84" s="75">
        <f t="shared" si="53"/>
        <v>0</v>
      </c>
      <c r="V84" s="75">
        <f t="shared" si="53"/>
        <v>0</v>
      </c>
      <c r="W84" s="170">
        <v>-16</v>
      </c>
      <c r="X84" s="1539"/>
      <c r="Y84" s="248">
        <v>0</v>
      </c>
      <c r="Z84" s="132">
        <v>0</v>
      </c>
      <c r="AA84" s="207">
        <v>0</v>
      </c>
      <c r="AB84" s="207">
        <v>0</v>
      </c>
      <c r="AC84" s="176">
        <v>0</v>
      </c>
      <c r="AD84" s="176">
        <f t="shared" si="59"/>
        <v>0</v>
      </c>
      <c r="AE84" s="51" t="s">
        <v>853</v>
      </c>
    </row>
    <row r="85" spans="1:32" s="1" customFormat="1" ht="117" customHeight="1" outlineLevel="1" x14ac:dyDescent="0.25">
      <c r="A85" s="1443"/>
      <c r="B85" s="1446"/>
      <c r="C85" s="63" t="s">
        <v>587</v>
      </c>
      <c r="D85" s="65" t="s">
        <v>854</v>
      </c>
      <c r="E85" s="49" t="s">
        <v>855</v>
      </c>
      <c r="F85" s="124">
        <f t="shared" si="56"/>
        <v>1.1138237922962333E-3</v>
      </c>
      <c r="G85" s="1228"/>
      <c r="H85" s="52">
        <f t="shared" si="55"/>
        <v>0</v>
      </c>
      <c r="I85" s="52">
        <f t="shared" si="57"/>
        <v>0</v>
      </c>
      <c r="J85" s="1485"/>
      <c r="K85" s="125">
        <f t="shared" si="60"/>
        <v>31.403148000000002</v>
      </c>
      <c r="L85" s="1537"/>
      <c r="M85" s="247">
        <v>0</v>
      </c>
      <c r="N85" s="80">
        <v>0</v>
      </c>
      <c r="O85" s="95" t="s">
        <v>479</v>
      </c>
      <c r="P85" s="242" t="s">
        <v>129</v>
      </c>
      <c r="Q85" s="168">
        <f t="shared" si="58"/>
        <v>-0.11138237922962332</v>
      </c>
      <c r="R85" s="114"/>
      <c r="S85" s="75">
        <f t="shared" si="53"/>
        <v>0</v>
      </c>
      <c r="T85" s="137">
        <f t="shared" si="53"/>
        <v>0</v>
      </c>
      <c r="U85" s="75">
        <f t="shared" si="53"/>
        <v>0</v>
      </c>
      <c r="V85" s="75">
        <f t="shared" si="53"/>
        <v>0</v>
      </c>
      <c r="W85" s="170">
        <v>-31.403148000000002</v>
      </c>
      <c r="X85" s="1539"/>
      <c r="Y85" s="248">
        <v>0</v>
      </c>
      <c r="Z85" s="132">
        <v>0</v>
      </c>
      <c r="AA85" s="207">
        <v>0</v>
      </c>
      <c r="AB85" s="207">
        <v>0</v>
      </c>
      <c r="AC85" s="176">
        <v>0</v>
      </c>
      <c r="AD85" s="176">
        <f t="shared" si="59"/>
        <v>0</v>
      </c>
      <c r="AE85" s="51" t="s">
        <v>411</v>
      </c>
    </row>
    <row r="86" spans="1:32" s="1" customFormat="1" ht="60" outlineLevel="1" x14ac:dyDescent="0.25">
      <c r="A86" s="1443"/>
      <c r="B86" s="1446"/>
      <c r="C86" s="63">
        <v>44054</v>
      </c>
      <c r="D86" s="48" t="s">
        <v>856</v>
      </c>
      <c r="E86" s="49" t="s">
        <v>857</v>
      </c>
      <c r="F86" s="124">
        <f t="shared" si="56"/>
        <v>7.2885223806483645E-5</v>
      </c>
      <c r="G86" s="1228"/>
      <c r="H86" s="52">
        <f t="shared" si="55"/>
        <v>0</v>
      </c>
      <c r="I86" s="52">
        <f t="shared" si="57"/>
        <v>0</v>
      </c>
      <c r="J86" s="1485"/>
      <c r="K86" s="125">
        <f t="shared" si="60"/>
        <v>2.054926</v>
      </c>
      <c r="L86" s="1537"/>
      <c r="M86" s="247">
        <v>0</v>
      </c>
      <c r="N86" s="80">
        <v>0</v>
      </c>
      <c r="O86" s="95" t="s">
        <v>479</v>
      </c>
      <c r="P86" s="242" t="s">
        <v>129</v>
      </c>
      <c r="Q86" s="168">
        <f t="shared" si="58"/>
        <v>-7.2885223806483648E-3</v>
      </c>
      <c r="R86" s="114"/>
      <c r="S86" s="75">
        <f t="shared" si="53"/>
        <v>0</v>
      </c>
      <c r="T86" s="137">
        <f t="shared" si="53"/>
        <v>0</v>
      </c>
      <c r="U86" s="75">
        <f t="shared" si="53"/>
        <v>0</v>
      </c>
      <c r="V86" s="75">
        <f t="shared" si="53"/>
        <v>0</v>
      </c>
      <c r="W86" s="169">
        <v>-2.054926</v>
      </c>
      <c r="X86" s="1539"/>
      <c r="Y86" s="248">
        <v>0</v>
      </c>
      <c r="Z86" s="132">
        <v>0</v>
      </c>
      <c r="AA86" s="207">
        <v>0</v>
      </c>
      <c r="AB86" s="207">
        <v>0</v>
      </c>
      <c r="AC86" s="176">
        <v>0</v>
      </c>
      <c r="AD86" s="176">
        <f t="shared" si="59"/>
        <v>0</v>
      </c>
      <c r="AE86" s="51" t="s">
        <v>858</v>
      </c>
    </row>
    <row r="87" spans="1:32" s="1" customFormat="1" ht="60" outlineLevel="1" x14ac:dyDescent="0.25">
      <c r="A87" s="1443"/>
      <c r="B87" s="1446"/>
      <c r="C87" s="1558" t="s">
        <v>590</v>
      </c>
      <c r="D87" s="48" t="s">
        <v>860</v>
      </c>
      <c r="E87" s="1559" t="s">
        <v>1381</v>
      </c>
      <c r="F87" s="1560"/>
      <c r="G87" s="1228"/>
      <c r="H87" s="1201">
        <f t="shared" si="55"/>
        <v>1.6095910345313418E-3</v>
      </c>
      <c r="I87" s="1201">
        <f>N87/$U$8</f>
        <v>0</v>
      </c>
      <c r="J87" s="1485"/>
      <c r="K87" s="1561"/>
      <c r="L87" s="1537"/>
      <c r="M87" s="1533">
        <f>-Y87</f>
        <v>49.3</v>
      </c>
      <c r="N87" s="1165">
        <f>-AA87</f>
        <v>0</v>
      </c>
      <c r="O87" s="1233" t="s">
        <v>479</v>
      </c>
      <c r="P87" s="1459" t="s">
        <v>171</v>
      </c>
      <c r="Q87" s="1541"/>
      <c r="R87" s="114"/>
      <c r="S87" s="1542">
        <f t="shared" ref="S87:U87" si="61">Y87/S$8*100</f>
        <v>-0.16095910345313419</v>
      </c>
      <c r="T87" s="1544">
        <f t="shared" si="61"/>
        <v>-0.16095910345313419</v>
      </c>
      <c r="U87" s="1542">
        <f t="shared" si="61"/>
        <v>0</v>
      </c>
      <c r="V87" s="1546"/>
      <c r="W87" s="1547"/>
      <c r="X87" s="1539"/>
      <c r="Y87" s="1451">
        <v>-49.3</v>
      </c>
      <c r="Z87" s="1177">
        <v>-49.3</v>
      </c>
      <c r="AA87" s="1169">
        <v>0</v>
      </c>
      <c r="AB87" s="1535">
        <v>0</v>
      </c>
      <c r="AC87" s="1535">
        <f>-4.77915-0.362361-26.737089-9.206773</f>
        <v>-41.085372999999997</v>
      </c>
      <c r="AD87" s="1535">
        <f t="shared" si="59"/>
        <v>41.085372999999997</v>
      </c>
      <c r="AE87" s="1499" t="s">
        <v>859</v>
      </c>
      <c r="AF87" s="1548"/>
    </row>
    <row r="88" spans="1:32" s="1" customFormat="1" ht="161.25" customHeight="1" outlineLevel="1" x14ac:dyDescent="0.25">
      <c r="A88" s="1443"/>
      <c r="B88" s="1446"/>
      <c r="C88" s="1209"/>
      <c r="D88" s="48" t="s">
        <v>247</v>
      </c>
      <c r="E88" s="1470"/>
      <c r="F88" s="1530"/>
      <c r="G88" s="1228"/>
      <c r="H88" s="1202"/>
      <c r="I88" s="1202"/>
      <c r="J88" s="1485"/>
      <c r="K88" s="1532"/>
      <c r="L88" s="1537"/>
      <c r="M88" s="1534"/>
      <c r="N88" s="1166"/>
      <c r="O88" s="1234"/>
      <c r="P88" s="1460"/>
      <c r="Q88" s="1462"/>
      <c r="R88" s="114"/>
      <c r="S88" s="1543"/>
      <c r="T88" s="1545"/>
      <c r="U88" s="1543"/>
      <c r="V88" s="1244"/>
      <c r="W88" s="1464"/>
      <c r="X88" s="1539"/>
      <c r="Y88" s="1452"/>
      <c r="Z88" s="1178"/>
      <c r="AA88" s="1170"/>
      <c r="AB88" s="1536"/>
      <c r="AC88" s="1536"/>
      <c r="AD88" s="1536"/>
      <c r="AE88" s="1426"/>
      <c r="AF88" s="1549"/>
    </row>
    <row r="89" spans="1:32" s="1" customFormat="1" ht="60" outlineLevel="1" x14ac:dyDescent="0.25">
      <c r="A89" s="1443"/>
      <c r="B89" s="1446"/>
      <c r="C89" s="63">
        <v>44123</v>
      </c>
      <c r="D89" s="48" t="s">
        <v>861</v>
      </c>
      <c r="E89" s="227" t="s">
        <v>862</v>
      </c>
      <c r="F89" s="124">
        <f t="shared" ref="F89:F104" si="62">K89/$Q$8</f>
        <v>5.80997375328084E-5</v>
      </c>
      <c r="G89" s="1228"/>
      <c r="H89" s="52">
        <f t="shared" si="55"/>
        <v>0</v>
      </c>
      <c r="I89" s="52">
        <f t="shared" ref="I89:I165" si="63">N89/$U$8</f>
        <v>0</v>
      </c>
      <c r="J89" s="1485"/>
      <c r="K89" s="165">
        <f>-W89</f>
        <v>1.638064</v>
      </c>
      <c r="L89" s="1537"/>
      <c r="M89" s="252">
        <v>0</v>
      </c>
      <c r="N89" s="94">
        <v>0</v>
      </c>
      <c r="O89" s="95" t="s">
        <v>479</v>
      </c>
      <c r="P89" s="242" t="s">
        <v>129</v>
      </c>
      <c r="Q89" s="168">
        <f t="shared" ref="Q89:R104" si="64">W89/Q$8*100</f>
        <v>-5.80997375328084E-3</v>
      </c>
      <c r="R89" s="114"/>
      <c r="S89" s="75">
        <f t="shared" ref="S89:V162" si="65">Y89/S$8*100</f>
        <v>0</v>
      </c>
      <c r="T89" s="137">
        <f t="shared" si="65"/>
        <v>0</v>
      </c>
      <c r="U89" s="75">
        <f t="shared" si="65"/>
        <v>0</v>
      </c>
      <c r="V89" s="75">
        <f t="shared" si="65"/>
        <v>0</v>
      </c>
      <c r="W89" s="169">
        <v>-1.638064</v>
      </c>
      <c r="X89" s="1539"/>
      <c r="Y89" s="248">
        <v>0</v>
      </c>
      <c r="Z89" s="132">
        <v>0</v>
      </c>
      <c r="AA89" s="207">
        <v>0</v>
      </c>
      <c r="AB89" s="207">
        <v>0</v>
      </c>
      <c r="AC89" s="176">
        <v>0</v>
      </c>
      <c r="AD89" s="176">
        <f t="shared" ref="AD89:AD153" si="66">-AC89</f>
        <v>0</v>
      </c>
      <c r="AE89" s="51" t="s">
        <v>863</v>
      </c>
      <c r="AF89" s="1550"/>
    </row>
    <row r="90" spans="1:32" s="1" customFormat="1" ht="74.25" customHeight="1" outlineLevel="1" x14ac:dyDescent="0.25">
      <c r="A90" s="1443"/>
      <c r="B90" s="1446"/>
      <c r="C90" s="230">
        <v>44124</v>
      </c>
      <c r="D90" s="88" t="s">
        <v>864</v>
      </c>
      <c r="E90" s="49" t="s">
        <v>865</v>
      </c>
      <c r="F90" s="239">
        <f t="shared" si="62"/>
        <v>3.9059374334964888E-5</v>
      </c>
      <c r="G90" s="1228"/>
      <c r="H90" s="202">
        <f>M90/$S$8</f>
        <v>0</v>
      </c>
      <c r="I90" s="202">
        <f t="shared" si="63"/>
        <v>0</v>
      </c>
      <c r="J90" s="1485"/>
      <c r="K90" s="166">
        <f>-W90</f>
        <v>1.10124</v>
      </c>
      <c r="L90" s="1537"/>
      <c r="M90" s="253">
        <f>-Y90</f>
        <v>0</v>
      </c>
      <c r="N90" s="226">
        <f>-AA90</f>
        <v>0</v>
      </c>
      <c r="O90" s="229" t="s">
        <v>479</v>
      </c>
      <c r="P90" s="218" t="s">
        <v>129</v>
      </c>
      <c r="Q90" s="238">
        <f t="shared" si="64"/>
        <v>-3.9059374334964887E-3</v>
      </c>
      <c r="R90" s="114"/>
      <c r="S90" s="223">
        <f>Y90/S$8*100</f>
        <v>0</v>
      </c>
      <c r="T90" s="224">
        <f>Z90/T$8*100</f>
        <v>0</v>
      </c>
      <c r="U90" s="223">
        <f>AA90/U$8*100</f>
        <v>0</v>
      </c>
      <c r="V90" s="223">
        <f t="shared" si="65"/>
        <v>0</v>
      </c>
      <c r="W90" s="240">
        <v>-1.10124</v>
      </c>
      <c r="X90" s="1539"/>
      <c r="Y90" s="251">
        <v>0</v>
      </c>
      <c r="Z90" s="222">
        <v>0</v>
      </c>
      <c r="AA90" s="211">
        <v>0</v>
      </c>
      <c r="AB90" s="211">
        <v>0</v>
      </c>
      <c r="AC90" s="221">
        <v>0</v>
      </c>
      <c r="AD90" s="221">
        <f t="shared" si="66"/>
        <v>0</v>
      </c>
      <c r="AE90" s="200" t="s">
        <v>866</v>
      </c>
    </row>
    <row r="91" spans="1:32" s="1" customFormat="1" ht="90" outlineLevel="1" x14ac:dyDescent="0.25">
      <c r="A91" s="1443"/>
      <c r="B91" s="1446"/>
      <c r="C91" s="63">
        <v>44124</v>
      </c>
      <c r="D91" s="66" t="s">
        <v>867</v>
      </c>
      <c r="E91" s="227" t="s">
        <v>862</v>
      </c>
      <c r="F91" s="124">
        <f t="shared" si="62"/>
        <v>0</v>
      </c>
      <c r="G91" s="1228"/>
      <c r="H91" s="52">
        <f t="shared" si="55"/>
        <v>8.5058266863964857E-5</v>
      </c>
      <c r="I91" s="52">
        <f t="shared" si="63"/>
        <v>0</v>
      </c>
      <c r="J91" s="1485"/>
      <c r="K91" s="165">
        <f>-W91</f>
        <v>0</v>
      </c>
      <c r="L91" s="1537"/>
      <c r="M91" s="252">
        <f>-Y91</f>
        <v>2.6052409999999999</v>
      </c>
      <c r="N91" s="94">
        <f>-AA91</f>
        <v>0</v>
      </c>
      <c r="O91" s="95" t="s">
        <v>479</v>
      </c>
      <c r="P91" s="242" t="s">
        <v>129</v>
      </c>
      <c r="Q91" s="168">
        <f t="shared" si="64"/>
        <v>0</v>
      </c>
      <c r="R91" s="114"/>
      <c r="S91" s="75">
        <f t="shared" si="65"/>
        <v>-8.5058266863964858E-3</v>
      </c>
      <c r="T91" s="137">
        <f t="shared" si="65"/>
        <v>-8.5058266863964858E-3</v>
      </c>
      <c r="U91" s="75">
        <f t="shared" si="65"/>
        <v>0</v>
      </c>
      <c r="V91" s="75">
        <f t="shared" si="65"/>
        <v>0</v>
      </c>
      <c r="W91" s="169">
        <v>0</v>
      </c>
      <c r="X91" s="1539"/>
      <c r="Y91" s="248">
        <v>-2.6052409999999999</v>
      </c>
      <c r="Z91" s="132">
        <v>-2.6052409999999999</v>
      </c>
      <c r="AA91" s="207">
        <v>0</v>
      </c>
      <c r="AB91" s="207">
        <v>0</v>
      </c>
      <c r="AC91" s="176">
        <v>0</v>
      </c>
      <c r="AD91" s="176">
        <f t="shared" si="66"/>
        <v>0</v>
      </c>
      <c r="AE91" s="208" t="s">
        <v>868</v>
      </c>
    </row>
    <row r="92" spans="1:32" s="1" customFormat="1" ht="60" outlineLevel="1" x14ac:dyDescent="0.25">
      <c r="A92" s="1443"/>
      <c r="B92" s="1446"/>
      <c r="C92" s="63">
        <v>44138</v>
      </c>
      <c r="D92" s="48" t="s">
        <v>869</v>
      </c>
      <c r="E92" s="49" t="s">
        <v>870</v>
      </c>
      <c r="F92" s="124">
        <f t="shared" si="62"/>
        <v>4.4196318365609701E-5</v>
      </c>
      <c r="G92" s="1228"/>
      <c r="H92" s="52">
        <f t="shared" si="55"/>
        <v>0</v>
      </c>
      <c r="I92" s="52">
        <f t="shared" si="63"/>
        <v>0</v>
      </c>
      <c r="J92" s="1485"/>
      <c r="K92" s="165">
        <v>1.2460709999999999</v>
      </c>
      <c r="L92" s="1537"/>
      <c r="M92" s="252">
        <v>0</v>
      </c>
      <c r="N92" s="94">
        <v>0</v>
      </c>
      <c r="O92" s="95" t="s">
        <v>479</v>
      </c>
      <c r="P92" s="242" t="s">
        <v>130</v>
      </c>
      <c r="Q92" s="168">
        <f t="shared" si="64"/>
        <v>-4.4196318365609701E-3</v>
      </c>
      <c r="R92" s="114"/>
      <c r="S92" s="75">
        <f t="shared" si="65"/>
        <v>0</v>
      </c>
      <c r="T92" s="137">
        <f t="shared" si="65"/>
        <v>0</v>
      </c>
      <c r="U92" s="75">
        <f t="shared" si="65"/>
        <v>0</v>
      </c>
      <c r="V92" s="75">
        <f t="shared" si="65"/>
        <v>0</v>
      </c>
      <c r="W92" s="169">
        <v>-1.2460709999999999</v>
      </c>
      <c r="X92" s="1539"/>
      <c r="Y92" s="248">
        <v>0</v>
      </c>
      <c r="Z92" s="132">
        <v>0</v>
      </c>
      <c r="AA92" s="207">
        <v>0</v>
      </c>
      <c r="AB92" s="207">
        <v>0</v>
      </c>
      <c r="AC92" s="176">
        <v>0</v>
      </c>
      <c r="AD92" s="176">
        <f t="shared" si="66"/>
        <v>0</v>
      </c>
      <c r="AE92" s="208" t="s">
        <v>871</v>
      </c>
    </row>
    <row r="93" spans="1:32" s="1" customFormat="1" ht="60" customHeight="1" outlineLevel="1" x14ac:dyDescent="0.25">
      <c r="A93" s="1443"/>
      <c r="B93" s="1446"/>
      <c r="C93" s="63">
        <v>44141</v>
      </c>
      <c r="D93" s="48" t="s">
        <v>872</v>
      </c>
      <c r="E93" s="49" t="s">
        <v>873</v>
      </c>
      <c r="F93" s="124">
        <f t="shared" si="62"/>
        <v>1.038011633680925E-4</v>
      </c>
      <c r="G93" s="1202"/>
      <c r="H93" s="52">
        <f t="shared" si="55"/>
        <v>0</v>
      </c>
      <c r="I93" s="52">
        <f t="shared" si="63"/>
        <v>0</v>
      </c>
      <c r="J93" s="1448"/>
      <c r="K93" s="165">
        <v>2.9265699999999999</v>
      </c>
      <c r="L93" s="1537"/>
      <c r="M93" s="252">
        <v>0</v>
      </c>
      <c r="N93" s="94">
        <v>0</v>
      </c>
      <c r="O93" s="95" t="s">
        <v>479</v>
      </c>
      <c r="P93" s="242" t="s">
        <v>130</v>
      </c>
      <c r="Q93" s="168">
        <f t="shared" si="64"/>
        <v>-1.0380116336809249E-2</v>
      </c>
      <c r="R93" s="115"/>
      <c r="S93" s="75">
        <f t="shared" si="65"/>
        <v>0</v>
      </c>
      <c r="T93" s="137">
        <f t="shared" si="65"/>
        <v>0</v>
      </c>
      <c r="U93" s="75">
        <f t="shared" si="65"/>
        <v>0</v>
      </c>
      <c r="V93" s="75">
        <f t="shared" si="65"/>
        <v>0</v>
      </c>
      <c r="W93" s="169">
        <v>-2.9265699999999999</v>
      </c>
      <c r="X93" s="1540"/>
      <c r="Y93" s="248">
        <v>0</v>
      </c>
      <c r="Z93" s="132">
        <v>0</v>
      </c>
      <c r="AA93" s="207">
        <v>0</v>
      </c>
      <c r="AB93" s="207">
        <v>0</v>
      </c>
      <c r="AC93" s="176">
        <v>0</v>
      </c>
      <c r="AD93" s="176">
        <f t="shared" si="66"/>
        <v>0</v>
      </c>
      <c r="AE93" s="208" t="s">
        <v>874</v>
      </c>
    </row>
    <row r="94" spans="1:32" s="1" customFormat="1" ht="75" outlineLevel="1" x14ac:dyDescent="0.25">
      <c r="A94" s="1443"/>
      <c r="B94" s="1446"/>
      <c r="C94" s="63">
        <v>44166</v>
      </c>
      <c r="D94" s="48" t="s">
        <v>461</v>
      </c>
      <c r="E94" s="49" t="s">
        <v>875</v>
      </c>
      <c r="F94" s="124">
        <f t="shared" si="62"/>
        <v>0</v>
      </c>
      <c r="G94" s="52">
        <f t="shared" ref="G94:G146" si="67">L94/$R$8</f>
        <v>0</v>
      </c>
      <c r="H94" s="52">
        <f t="shared" si="55"/>
        <v>0</v>
      </c>
      <c r="I94" s="52">
        <f t="shared" si="63"/>
        <v>0</v>
      </c>
      <c r="J94" s="53">
        <f t="shared" ref="J94:J165" si="68">L94+M94+N94</f>
        <v>0</v>
      </c>
      <c r="K94" s="165">
        <f>-W94</f>
        <v>0</v>
      </c>
      <c r="L94" s="252">
        <f t="shared" ref="L94:M96" si="69">-X94</f>
        <v>0</v>
      </c>
      <c r="M94" s="252">
        <f t="shared" si="69"/>
        <v>0</v>
      </c>
      <c r="N94" s="94">
        <f>-AA94</f>
        <v>0</v>
      </c>
      <c r="O94" s="95" t="s">
        <v>479</v>
      </c>
      <c r="P94" s="242" t="s">
        <v>129</v>
      </c>
      <c r="Q94" s="168">
        <f t="shared" si="64"/>
        <v>0</v>
      </c>
      <c r="R94" s="75">
        <f t="shared" si="64"/>
        <v>0</v>
      </c>
      <c r="S94" s="75">
        <f t="shared" si="65"/>
        <v>0</v>
      </c>
      <c r="T94" s="137">
        <f t="shared" si="65"/>
        <v>-8.6183370997102285E-2</v>
      </c>
      <c r="U94" s="75">
        <f t="shared" si="65"/>
        <v>0</v>
      </c>
      <c r="V94" s="75">
        <f t="shared" si="65"/>
        <v>0</v>
      </c>
      <c r="W94" s="169">
        <v>0</v>
      </c>
      <c r="X94" s="248">
        <v>0</v>
      </c>
      <c r="Y94" s="248">
        <v>0</v>
      </c>
      <c r="Z94" s="132">
        <f>-26.770741+0.373724</f>
        <v>-26.397017000000002</v>
      </c>
      <c r="AA94" s="207">
        <v>0</v>
      </c>
      <c r="AB94" s="207">
        <v>0</v>
      </c>
      <c r="AC94" s="176">
        <v>0</v>
      </c>
      <c r="AD94" s="176">
        <f t="shared" si="66"/>
        <v>0</v>
      </c>
      <c r="AE94" s="208" t="s">
        <v>463</v>
      </c>
    </row>
    <row r="95" spans="1:32" s="1" customFormat="1" ht="113.25" customHeight="1" outlineLevel="1" x14ac:dyDescent="0.25">
      <c r="A95" s="1443"/>
      <c r="B95" s="1446"/>
      <c r="C95" s="63">
        <v>44260</v>
      </c>
      <c r="D95" s="48" t="s">
        <v>1244</v>
      </c>
      <c r="E95" s="49" t="s">
        <v>462</v>
      </c>
      <c r="F95" s="124">
        <f t="shared" si="62"/>
        <v>0</v>
      </c>
      <c r="G95" s="52">
        <f t="shared" si="67"/>
        <v>0</v>
      </c>
      <c r="H95" s="52">
        <f t="shared" si="55"/>
        <v>7.6696428380012389E-4</v>
      </c>
      <c r="I95" s="52">
        <f t="shared" si="63"/>
        <v>0</v>
      </c>
      <c r="J95" s="53">
        <f t="shared" si="68"/>
        <v>23.491270999999998</v>
      </c>
      <c r="K95" s="165">
        <f t="shared" ref="K95:M110" si="70">-W95</f>
        <v>0</v>
      </c>
      <c r="L95" s="252">
        <f t="shared" si="69"/>
        <v>0</v>
      </c>
      <c r="M95" s="252">
        <f t="shared" si="69"/>
        <v>23.491270999999998</v>
      </c>
      <c r="N95" s="94">
        <f>-AA95</f>
        <v>0</v>
      </c>
      <c r="O95" s="95" t="s">
        <v>479</v>
      </c>
      <c r="P95" s="242" t="s">
        <v>130</v>
      </c>
      <c r="Q95" s="168">
        <f t="shared" si="64"/>
        <v>0</v>
      </c>
      <c r="R95" s="75">
        <f t="shared" si="64"/>
        <v>0</v>
      </c>
      <c r="S95" s="75">
        <f t="shared" si="65"/>
        <v>-7.6696428380012394E-2</v>
      </c>
      <c r="T95" s="137">
        <f t="shared" si="65"/>
        <v>-7.6696428380012394E-2</v>
      </c>
      <c r="U95" s="75">
        <f t="shared" si="65"/>
        <v>0</v>
      </c>
      <c r="V95" s="75">
        <f t="shared" si="65"/>
        <v>0</v>
      </c>
      <c r="W95" s="169">
        <v>0</v>
      </c>
      <c r="X95" s="248">
        <v>0</v>
      </c>
      <c r="Y95" s="248">
        <f>-32.699144+9.207873</f>
        <v>-23.491270999999998</v>
      </c>
      <c r="Z95" s="132">
        <f>-32.699144+9.207873</f>
        <v>-23.491270999999998</v>
      </c>
      <c r="AA95" s="207">
        <v>0</v>
      </c>
      <c r="AB95" s="207">
        <v>0</v>
      </c>
      <c r="AC95" s="176">
        <f>-1.44384-0.063425</f>
        <v>-1.5072650000000001</v>
      </c>
      <c r="AD95" s="176">
        <f t="shared" si="66"/>
        <v>1.5072650000000001</v>
      </c>
      <c r="AE95" s="208" t="s">
        <v>1245</v>
      </c>
    </row>
    <row r="96" spans="1:32" s="1" customFormat="1" ht="105" outlineLevel="1" x14ac:dyDescent="0.25">
      <c r="A96" s="1443"/>
      <c r="B96" s="1446"/>
      <c r="C96" s="63">
        <v>44266</v>
      </c>
      <c r="D96" s="48" t="s">
        <v>958</v>
      </c>
      <c r="E96" s="49" t="s">
        <v>876</v>
      </c>
      <c r="F96" s="124">
        <f>K96/$Q$8</f>
        <v>0</v>
      </c>
      <c r="G96" s="52">
        <f>L96/$R$8</f>
        <v>0</v>
      </c>
      <c r="H96" s="52">
        <f t="shared" si="55"/>
        <v>1.3622171348452015E-4</v>
      </c>
      <c r="I96" s="52">
        <f t="shared" si="63"/>
        <v>0</v>
      </c>
      <c r="J96" s="53">
        <f>L96+M96+N96</f>
        <v>4.1723210000000002</v>
      </c>
      <c r="K96" s="165">
        <f>-W96</f>
        <v>0</v>
      </c>
      <c r="L96" s="252">
        <f t="shared" si="69"/>
        <v>0</v>
      </c>
      <c r="M96" s="252">
        <f>-Y96</f>
        <v>4.1723210000000002</v>
      </c>
      <c r="N96" s="94">
        <f>-AA96</f>
        <v>0</v>
      </c>
      <c r="O96" s="95" t="s">
        <v>479</v>
      </c>
      <c r="P96" s="242" t="s">
        <v>171</v>
      </c>
      <c r="Q96" s="168">
        <f t="shared" si="64"/>
        <v>0</v>
      </c>
      <c r="R96" s="75">
        <f>X96/R$8*100</f>
        <v>0</v>
      </c>
      <c r="S96" s="75">
        <f t="shared" si="65"/>
        <v>-1.3622171348452014E-2</v>
      </c>
      <c r="T96" s="137">
        <f t="shared" si="65"/>
        <v>-1.3622171348452014E-2</v>
      </c>
      <c r="U96" s="75">
        <f t="shared" si="65"/>
        <v>0</v>
      </c>
      <c r="V96" s="75">
        <f t="shared" si="65"/>
        <v>0</v>
      </c>
      <c r="W96" s="169">
        <v>0</v>
      </c>
      <c r="X96" s="248">
        <v>0</v>
      </c>
      <c r="Y96" s="248">
        <v>-4.1723210000000002</v>
      </c>
      <c r="Z96" s="132">
        <v>-4.1723210000000002</v>
      </c>
      <c r="AA96" s="207">
        <v>0</v>
      </c>
      <c r="AB96" s="207">
        <v>0</v>
      </c>
      <c r="AC96" s="176">
        <v>0</v>
      </c>
      <c r="AD96" s="176">
        <f t="shared" si="66"/>
        <v>0</v>
      </c>
      <c r="AE96" s="208" t="s">
        <v>877</v>
      </c>
    </row>
    <row r="97" spans="1:31" s="1" customFormat="1" ht="60" outlineLevel="1" x14ac:dyDescent="0.25">
      <c r="A97" s="1443"/>
      <c r="B97" s="1446"/>
      <c r="C97" s="63">
        <v>44266</v>
      </c>
      <c r="D97" s="48" t="s">
        <v>1246</v>
      </c>
      <c r="E97" s="49" t="s">
        <v>1247</v>
      </c>
      <c r="F97" s="124">
        <f>K97/$Q$8</f>
        <v>0</v>
      </c>
      <c r="G97" s="52">
        <f>L97/$R$8</f>
        <v>0</v>
      </c>
      <c r="H97" s="52">
        <f t="shared" si="55"/>
        <v>1.3129421009110012E-4</v>
      </c>
      <c r="I97" s="52">
        <f t="shared" si="63"/>
        <v>0</v>
      </c>
      <c r="J97" s="53">
        <f t="shared" si="68"/>
        <v>4.0213970000000003</v>
      </c>
      <c r="K97" s="165">
        <f>-W97</f>
        <v>0</v>
      </c>
      <c r="L97" s="252">
        <f>-X97</f>
        <v>0</v>
      </c>
      <c r="M97" s="252">
        <f>-Y97</f>
        <v>4.0213970000000003</v>
      </c>
      <c r="N97" s="94">
        <f>-AA97</f>
        <v>0</v>
      </c>
      <c r="O97" s="95" t="s">
        <v>479</v>
      </c>
      <c r="P97" s="242" t="s">
        <v>171</v>
      </c>
      <c r="Q97" s="168">
        <f t="shared" si="64"/>
        <v>0</v>
      </c>
      <c r="R97" s="75">
        <f>X97/R$8*100</f>
        <v>0</v>
      </c>
      <c r="S97" s="75">
        <f t="shared" si="65"/>
        <v>-1.3129421009110012E-2</v>
      </c>
      <c r="T97" s="137">
        <f t="shared" si="65"/>
        <v>-1.3129421009110012E-2</v>
      </c>
      <c r="U97" s="75">
        <f t="shared" si="65"/>
        <v>0</v>
      </c>
      <c r="V97" s="75">
        <f t="shared" si="65"/>
        <v>0</v>
      </c>
      <c r="W97" s="169">
        <v>0</v>
      </c>
      <c r="X97" s="248">
        <v>0</v>
      </c>
      <c r="Y97" s="248">
        <v>-4.0213970000000003</v>
      </c>
      <c r="Z97" s="132">
        <v>-4.0213970000000003</v>
      </c>
      <c r="AA97" s="207">
        <v>0</v>
      </c>
      <c r="AB97" s="207">
        <v>0</v>
      </c>
      <c r="AC97" s="176">
        <v>-1.730383</v>
      </c>
      <c r="AD97" s="176">
        <f t="shared" si="66"/>
        <v>1.730383</v>
      </c>
      <c r="AE97" s="208" t="s">
        <v>1248</v>
      </c>
    </row>
    <row r="98" spans="1:31" s="1" customFormat="1" ht="217.35" customHeight="1" outlineLevel="1" x14ac:dyDescent="0.25">
      <c r="A98" s="1443"/>
      <c r="B98" s="1446"/>
      <c r="C98" s="63">
        <v>44173</v>
      </c>
      <c r="D98" s="48" t="s">
        <v>878</v>
      </c>
      <c r="E98" s="49" t="s">
        <v>879</v>
      </c>
      <c r="F98" s="124">
        <f t="shared" si="62"/>
        <v>0</v>
      </c>
      <c r="G98" s="52">
        <f t="shared" si="67"/>
        <v>0</v>
      </c>
      <c r="H98" s="52">
        <f t="shared" si="55"/>
        <v>3.1750530902944218E-3</v>
      </c>
      <c r="I98" s="52">
        <f t="shared" si="63"/>
        <v>0</v>
      </c>
      <c r="J98" s="53">
        <f t="shared" si="68"/>
        <v>97.248378000000002</v>
      </c>
      <c r="K98" s="165">
        <f t="shared" si="70"/>
        <v>0</v>
      </c>
      <c r="L98" s="247">
        <v>0</v>
      </c>
      <c r="M98" s="252">
        <f>244.578642-56.782929-0.341069-3.545726-21.617592-65.042948</f>
        <v>97.248378000000002</v>
      </c>
      <c r="N98" s="94">
        <v>0</v>
      </c>
      <c r="O98" s="95" t="s">
        <v>479</v>
      </c>
      <c r="P98" s="242" t="s">
        <v>439</v>
      </c>
      <c r="Q98" s="168">
        <f t="shared" si="64"/>
        <v>0</v>
      </c>
      <c r="R98" s="75">
        <f t="shared" si="64"/>
        <v>0</v>
      </c>
      <c r="S98" s="75">
        <f t="shared" si="65"/>
        <v>-0.17722584593088336</v>
      </c>
      <c r="T98" s="137">
        <f t="shared" si="65"/>
        <v>-0.17722584593088336</v>
      </c>
      <c r="U98" s="75">
        <f t="shared" si="65"/>
        <v>0</v>
      </c>
      <c r="V98" s="75">
        <f t="shared" si="65"/>
        <v>0</v>
      </c>
      <c r="W98" s="169">
        <v>0</v>
      </c>
      <c r="X98" s="248">
        <v>0</v>
      </c>
      <c r="Y98" s="250">
        <f>-183.908918+21.617592+(51.304159-8.338105)+65.042948</f>
        <v>-54.282324000000003</v>
      </c>
      <c r="Z98" s="134">
        <f>-183.908918+21.617592+(51.304159-8.338105)+65.042948</f>
        <v>-54.282324000000003</v>
      </c>
      <c r="AA98" s="207">
        <v>0</v>
      </c>
      <c r="AB98" s="207">
        <v>0</v>
      </c>
      <c r="AC98" s="176">
        <v>0</v>
      </c>
      <c r="AD98" s="176">
        <f t="shared" si="66"/>
        <v>0</v>
      </c>
      <c r="AE98" s="208" t="s">
        <v>1116</v>
      </c>
    </row>
    <row r="99" spans="1:31" s="1" customFormat="1" ht="105" customHeight="1" outlineLevel="1" x14ac:dyDescent="0.25">
      <c r="A99" s="1443"/>
      <c r="B99" s="1446"/>
      <c r="C99" s="63" t="s">
        <v>1346</v>
      </c>
      <c r="D99" s="48" t="s">
        <v>958</v>
      </c>
      <c r="E99" s="49" t="s">
        <v>880</v>
      </c>
      <c r="F99" s="124">
        <f t="shared" si="62"/>
        <v>0</v>
      </c>
      <c r="G99" s="52">
        <f t="shared" si="67"/>
        <v>0</v>
      </c>
      <c r="H99" s="52">
        <f>M99/$S$8</f>
        <v>6.88891903217268E-5</v>
      </c>
      <c r="I99" s="52">
        <f t="shared" si="63"/>
        <v>0</v>
      </c>
      <c r="J99" s="53">
        <f t="shared" si="68"/>
        <v>2.11</v>
      </c>
      <c r="K99" s="149">
        <f t="shared" si="70"/>
        <v>0</v>
      </c>
      <c r="L99" s="254">
        <f>-X99</f>
        <v>0</v>
      </c>
      <c r="M99" s="252">
        <f>-Y99</f>
        <v>2.11</v>
      </c>
      <c r="N99" s="94">
        <f t="shared" ref="N99:N141" si="71">-AA99</f>
        <v>0</v>
      </c>
      <c r="O99" s="242" t="s">
        <v>881</v>
      </c>
      <c r="P99" s="242" t="s">
        <v>129</v>
      </c>
      <c r="Q99" s="150">
        <f t="shared" si="64"/>
        <v>0</v>
      </c>
      <c r="R99" s="82">
        <f t="shared" si="64"/>
        <v>0</v>
      </c>
      <c r="S99" s="75">
        <f t="shared" si="65"/>
        <v>-6.8889190321726797E-3</v>
      </c>
      <c r="T99" s="137">
        <f t="shared" si="65"/>
        <v>-6.8889190321726797E-3</v>
      </c>
      <c r="U99" s="75">
        <f t="shared" si="65"/>
        <v>0</v>
      </c>
      <c r="V99" s="75">
        <f t="shared" si="65"/>
        <v>0</v>
      </c>
      <c r="W99" s="151">
        <v>0</v>
      </c>
      <c r="X99" s="255">
        <v>0</v>
      </c>
      <c r="Y99" s="248">
        <v>-2.11</v>
      </c>
      <c r="Z99" s="132">
        <v>-2.11</v>
      </c>
      <c r="AA99" s="207">
        <v>0</v>
      </c>
      <c r="AB99" s="207">
        <v>0</v>
      </c>
      <c r="AC99" s="176">
        <v>-5.5690000000000003E-2</v>
      </c>
      <c r="AD99" s="176">
        <f t="shared" si="66"/>
        <v>5.5690000000000003E-2</v>
      </c>
      <c r="AE99" s="49" t="s">
        <v>882</v>
      </c>
    </row>
    <row r="100" spans="1:31" s="1" customFormat="1" ht="105" outlineLevel="1" x14ac:dyDescent="0.25">
      <c r="A100" s="1443"/>
      <c r="B100" s="1446"/>
      <c r="C100" s="63">
        <v>44182</v>
      </c>
      <c r="D100" s="48" t="s">
        <v>883</v>
      </c>
      <c r="E100" s="49" t="s">
        <v>884</v>
      </c>
      <c r="F100" s="124">
        <f t="shared" si="62"/>
        <v>0</v>
      </c>
      <c r="G100" s="52">
        <f t="shared" si="67"/>
        <v>0</v>
      </c>
      <c r="H100" s="52">
        <f t="shared" si="55"/>
        <v>2.1248489089032911E-3</v>
      </c>
      <c r="I100" s="52">
        <f t="shared" si="63"/>
        <v>0</v>
      </c>
      <c r="J100" s="53">
        <f t="shared" si="68"/>
        <v>65.081781000000007</v>
      </c>
      <c r="K100" s="165">
        <f t="shared" si="70"/>
        <v>0</v>
      </c>
      <c r="L100" s="252">
        <f>-X100</f>
        <v>0</v>
      </c>
      <c r="M100" s="252">
        <f>-Y100</f>
        <v>65.081781000000007</v>
      </c>
      <c r="N100" s="94">
        <f t="shared" si="71"/>
        <v>0</v>
      </c>
      <c r="O100" s="95" t="s">
        <v>479</v>
      </c>
      <c r="P100" s="242" t="s">
        <v>129</v>
      </c>
      <c r="Q100" s="168">
        <f t="shared" si="64"/>
        <v>0</v>
      </c>
      <c r="R100" s="75">
        <f t="shared" si="64"/>
        <v>0</v>
      </c>
      <c r="S100" s="75">
        <f t="shared" si="65"/>
        <v>-0.2124848908903291</v>
      </c>
      <c r="T100" s="137">
        <f t="shared" si="65"/>
        <v>-0.2124848908903291</v>
      </c>
      <c r="U100" s="75">
        <f t="shared" si="65"/>
        <v>0</v>
      </c>
      <c r="V100" s="75">
        <f t="shared" si="65"/>
        <v>0</v>
      </c>
      <c r="W100" s="169">
        <v>0</v>
      </c>
      <c r="X100" s="248">
        <v>0</v>
      </c>
      <c r="Y100" s="250">
        <v>-65.081781000000007</v>
      </c>
      <c r="Z100" s="134">
        <v>-65.081781000000007</v>
      </c>
      <c r="AA100" s="207">
        <v>0</v>
      </c>
      <c r="AB100" s="207">
        <v>0</v>
      </c>
      <c r="AC100" s="176">
        <v>0</v>
      </c>
      <c r="AD100" s="176">
        <f t="shared" si="66"/>
        <v>0</v>
      </c>
      <c r="AE100" s="208" t="s">
        <v>885</v>
      </c>
    </row>
    <row r="101" spans="1:31" s="1" customFormat="1" ht="105" outlineLevel="1" x14ac:dyDescent="0.25">
      <c r="A101" s="1443"/>
      <c r="B101" s="1446"/>
      <c r="C101" s="63">
        <v>44182</v>
      </c>
      <c r="D101" s="48" t="s">
        <v>883</v>
      </c>
      <c r="E101" s="49" t="s">
        <v>884</v>
      </c>
      <c r="F101" s="124">
        <f t="shared" si="62"/>
        <v>0</v>
      </c>
      <c r="G101" s="52">
        <f t="shared" si="67"/>
        <v>0</v>
      </c>
      <c r="H101" s="52">
        <f t="shared" si="55"/>
        <v>3.8137045967436348E-4</v>
      </c>
      <c r="I101" s="52">
        <f t="shared" si="63"/>
        <v>0</v>
      </c>
      <c r="J101" s="53">
        <f t="shared" si="68"/>
        <v>11.680956999999999</v>
      </c>
      <c r="K101" s="165">
        <f t="shared" si="70"/>
        <v>0</v>
      </c>
      <c r="L101" s="252">
        <f t="shared" si="70"/>
        <v>0</v>
      </c>
      <c r="M101" s="252">
        <f t="shared" si="70"/>
        <v>11.680956999999999</v>
      </c>
      <c r="N101" s="94">
        <f t="shared" si="71"/>
        <v>0</v>
      </c>
      <c r="O101" s="95" t="s">
        <v>479</v>
      </c>
      <c r="P101" s="242" t="s">
        <v>129</v>
      </c>
      <c r="Q101" s="168">
        <f t="shared" si="64"/>
        <v>0</v>
      </c>
      <c r="R101" s="75">
        <f t="shared" si="64"/>
        <v>0</v>
      </c>
      <c r="S101" s="75">
        <f t="shared" si="65"/>
        <v>-3.8137045967436348E-2</v>
      </c>
      <c r="T101" s="137">
        <f t="shared" si="65"/>
        <v>-3.8137045967436348E-2</v>
      </c>
      <c r="U101" s="75">
        <f t="shared" si="65"/>
        <v>0</v>
      </c>
      <c r="V101" s="75">
        <f t="shared" si="65"/>
        <v>0</v>
      </c>
      <c r="W101" s="169">
        <v>0</v>
      </c>
      <c r="X101" s="248">
        <v>0</v>
      </c>
      <c r="Y101" s="250">
        <v>-11.680956999999999</v>
      </c>
      <c r="Z101" s="134">
        <v>-11.680956999999999</v>
      </c>
      <c r="AA101" s="207">
        <v>0</v>
      </c>
      <c r="AB101" s="207">
        <v>0</v>
      </c>
      <c r="AC101" s="176">
        <v>0</v>
      </c>
      <c r="AD101" s="176">
        <f t="shared" si="66"/>
        <v>0</v>
      </c>
      <c r="AE101" s="208" t="s">
        <v>886</v>
      </c>
    </row>
    <row r="102" spans="1:31" s="1" customFormat="1" ht="72.75" customHeight="1" outlineLevel="1" x14ac:dyDescent="0.25">
      <c r="A102" s="1443"/>
      <c r="B102" s="1446"/>
      <c r="C102" s="63">
        <v>44201</v>
      </c>
      <c r="D102" s="48" t="s">
        <v>887</v>
      </c>
      <c r="E102" s="49" t="s">
        <v>888</v>
      </c>
      <c r="F102" s="124">
        <f t="shared" si="62"/>
        <v>0</v>
      </c>
      <c r="G102" s="52">
        <f t="shared" si="67"/>
        <v>0</v>
      </c>
      <c r="H102" s="52">
        <f t="shared" si="55"/>
        <v>1.5545606515592674E-4</v>
      </c>
      <c r="I102" s="52">
        <f t="shared" si="63"/>
        <v>0</v>
      </c>
      <c r="J102" s="53">
        <f t="shared" si="68"/>
        <v>4.7614479999999997</v>
      </c>
      <c r="K102" s="165">
        <f t="shared" si="70"/>
        <v>0</v>
      </c>
      <c r="L102" s="252">
        <f t="shared" si="70"/>
        <v>0</v>
      </c>
      <c r="M102" s="252">
        <f t="shared" si="70"/>
        <v>4.7614479999999997</v>
      </c>
      <c r="N102" s="94">
        <f t="shared" si="71"/>
        <v>0</v>
      </c>
      <c r="O102" s="95" t="s">
        <v>479</v>
      </c>
      <c r="P102" s="242" t="s">
        <v>171</v>
      </c>
      <c r="Q102" s="168">
        <f t="shared" si="64"/>
        <v>0</v>
      </c>
      <c r="R102" s="75">
        <f t="shared" si="64"/>
        <v>0</v>
      </c>
      <c r="S102" s="75">
        <f t="shared" si="65"/>
        <v>-1.5545606515592674E-2</v>
      </c>
      <c r="T102" s="137">
        <f t="shared" si="65"/>
        <v>-1.5545606515592674E-2</v>
      </c>
      <c r="U102" s="75">
        <f t="shared" si="65"/>
        <v>0</v>
      </c>
      <c r="V102" s="75">
        <f t="shared" si="65"/>
        <v>0</v>
      </c>
      <c r="W102" s="169">
        <v>0</v>
      </c>
      <c r="X102" s="248">
        <v>0</v>
      </c>
      <c r="Y102" s="250">
        <v>-4.7614479999999997</v>
      </c>
      <c r="Z102" s="134">
        <v>-4.7614479999999997</v>
      </c>
      <c r="AA102" s="207">
        <v>0</v>
      </c>
      <c r="AB102" s="207">
        <v>0</v>
      </c>
      <c r="AC102" s="176">
        <f>-0.0045-1.793053</f>
        <v>-1.797553</v>
      </c>
      <c r="AD102" s="176">
        <f t="shared" si="66"/>
        <v>1.797553</v>
      </c>
      <c r="AE102" s="208" t="s">
        <v>889</v>
      </c>
    </row>
    <row r="103" spans="1:31" s="1" customFormat="1" ht="60" outlineLevel="1" x14ac:dyDescent="0.25">
      <c r="A103" s="1443"/>
      <c r="B103" s="1446"/>
      <c r="C103" s="63">
        <v>44201</v>
      </c>
      <c r="D103" s="48" t="s">
        <v>890</v>
      </c>
      <c r="E103" s="49" t="s">
        <v>891</v>
      </c>
      <c r="F103" s="124">
        <f t="shared" si="62"/>
        <v>0</v>
      </c>
      <c r="G103" s="52">
        <f t="shared" si="67"/>
        <v>0</v>
      </c>
      <c r="H103" s="52">
        <f t="shared" si="55"/>
        <v>2.2776447738989217E-4</v>
      </c>
      <c r="I103" s="52">
        <f t="shared" si="63"/>
        <v>0</v>
      </c>
      <c r="J103" s="53">
        <f t="shared" si="68"/>
        <v>6.9761749999999996</v>
      </c>
      <c r="K103" s="165">
        <f t="shared" si="70"/>
        <v>0</v>
      </c>
      <c r="L103" s="252">
        <f t="shared" si="70"/>
        <v>0</v>
      </c>
      <c r="M103" s="252">
        <f t="shared" si="70"/>
        <v>6.9761749999999996</v>
      </c>
      <c r="N103" s="94">
        <f t="shared" si="71"/>
        <v>0</v>
      </c>
      <c r="O103" s="95" t="s">
        <v>479</v>
      </c>
      <c r="P103" s="242" t="s">
        <v>129</v>
      </c>
      <c r="Q103" s="168">
        <f t="shared" si="64"/>
        <v>0</v>
      </c>
      <c r="R103" s="75">
        <f t="shared" si="64"/>
        <v>0</v>
      </c>
      <c r="S103" s="75">
        <f t="shared" si="65"/>
        <v>-2.2776447738989215E-2</v>
      </c>
      <c r="T103" s="137">
        <f t="shared" si="65"/>
        <v>-2.2776447738989215E-2</v>
      </c>
      <c r="U103" s="75">
        <f t="shared" si="65"/>
        <v>0</v>
      </c>
      <c r="V103" s="75">
        <f t="shared" si="65"/>
        <v>0</v>
      </c>
      <c r="W103" s="169">
        <v>0</v>
      </c>
      <c r="X103" s="248">
        <v>0</v>
      </c>
      <c r="Y103" s="250">
        <v>-6.9761749999999996</v>
      </c>
      <c r="Z103" s="134">
        <v>-6.9761749999999996</v>
      </c>
      <c r="AA103" s="207">
        <v>0</v>
      </c>
      <c r="AB103" s="207">
        <v>0</v>
      </c>
      <c r="AC103" s="176">
        <f>-0.437998-0.367262</f>
        <v>-0.80525999999999998</v>
      </c>
      <c r="AD103" s="176">
        <f t="shared" si="66"/>
        <v>0.80525999999999998</v>
      </c>
      <c r="AE103" s="208" t="s">
        <v>892</v>
      </c>
    </row>
    <row r="104" spans="1:31" s="1" customFormat="1" ht="60" outlineLevel="1" x14ac:dyDescent="0.25">
      <c r="A104" s="1443"/>
      <c r="B104" s="1446"/>
      <c r="C104" s="63">
        <v>44204</v>
      </c>
      <c r="D104" s="48" t="s">
        <v>893</v>
      </c>
      <c r="E104" s="49" t="s">
        <v>894</v>
      </c>
      <c r="F104" s="124">
        <f t="shared" si="62"/>
        <v>0</v>
      </c>
      <c r="G104" s="52">
        <f t="shared" si="67"/>
        <v>0</v>
      </c>
      <c r="H104" s="52">
        <f t="shared" si="55"/>
        <v>0</v>
      </c>
      <c r="I104" s="52">
        <f t="shared" si="63"/>
        <v>0</v>
      </c>
      <c r="J104" s="53">
        <f t="shared" si="68"/>
        <v>0</v>
      </c>
      <c r="K104" s="165">
        <f t="shared" si="70"/>
        <v>0</v>
      </c>
      <c r="L104" s="252">
        <f t="shared" si="70"/>
        <v>0</v>
      </c>
      <c r="M104" s="252">
        <f t="shared" si="70"/>
        <v>0</v>
      </c>
      <c r="N104" s="94">
        <f t="shared" si="71"/>
        <v>0</v>
      </c>
      <c r="O104" s="95" t="s">
        <v>479</v>
      </c>
      <c r="P104" s="242" t="s">
        <v>129</v>
      </c>
      <c r="Q104" s="168">
        <f t="shared" si="64"/>
        <v>0</v>
      </c>
      <c r="R104" s="75">
        <f t="shared" si="64"/>
        <v>0</v>
      </c>
      <c r="S104" s="75">
        <f t="shared" si="65"/>
        <v>0</v>
      </c>
      <c r="T104" s="137">
        <f t="shared" si="65"/>
        <v>-7.5340643406013291E-2</v>
      </c>
      <c r="U104" s="75">
        <f t="shared" si="65"/>
        <v>0</v>
      </c>
      <c r="V104" s="75">
        <f t="shared" si="65"/>
        <v>0</v>
      </c>
      <c r="W104" s="169">
        <v>0</v>
      </c>
      <c r="X104" s="248">
        <v>0</v>
      </c>
      <c r="Y104" s="250">
        <v>0</v>
      </c>
      <c r="Z104" s="134">
        <v>-23.076008999999999</v>
      </c>
      <c r="AA104" s="207">
        <v>0</v>
      </c>
      <c r="AB104" s="207">
        <v>0</v>
      </c>
      <c r="AC104" s="176">
        <v>0</v>
      </c>
      <c r="AD104" s="176">
        <f t="shared" si="66"/>
        <v>0</v>
      </c>
      <c r="AE104" s="49" t="s">
        <v>895</v>
      </c>
    </row>
    <row r="105" spans="1:31" s="1" customFormat="1" ht="88.5" customHeight="1" outlineLevel="1" x14ac:dyDescent="0.25">
      <c r="A105" s="1443"/>
      <c r="B105" s="1446"/>
      <c r="C105" s="63" t="s">
        <v>1149</v>
      </c>
      <c r="D105" s="48" t="s">
        <v>1249</v>
      </c>
      <c r="E105" s="49" t="s">
        <v>896</v>
      </c>
      <c r="F105" s="124">
        <v>0</v>
      </c>
      <c r="G105" s="52">
        <f t="shared" si="67"/>
        <v>0</v>
      </c>
      <c r="H105" s="52">
        <f>M105/$S$8</f>
        <v>7.3680384535244859E-5</v>
      </c>
      <c r="I105" s="52">
        <f t="shared" si="63"/>
        <v>0</v>
      </c>
      <c r="J105" s="53">
        <f t="shared" si="68"/>
        <v>2.2567490000000001</v>
      </c>
      <c r="K105" s="165">
        <v>0</v>
      </c>
      <c r="L105" s="252">
        <f t="shared" si="70"/>
        <v>0</v>
      </c>
      <c r="M105" s="252">
        <f t="shared" si="70"/>
        <v>2.2567490000000001</v>
      </c>
      <c r="N105" s="94">
        <f t="shared" si="71"/>
        <v>0</v>
      </c>
      <c r="O105" s="95" t="s">
        <v>897</v>
      </c>
      <c r="P105" s="242" t="s">
        <v>129</v>
      </c>
      <c r="Q105" s="168">
        <v>0</v>
      </c>
      <c r="R105" s="75">
        <v>0</v>
      </c>
      <c r="S105" s="75">
        <f t="shared" si="65"/>
        <v>-7.3680384535244857E-3</v>
      </c>
      <c r="T105" s="137">
        <f t="shared" si="65"/>
        <v>-7.3680384535244857E-3</v>
      </c>
      <c r="U105" s="75">
        <f t="shared" si="65"/>
        <v>0</v>
      </c>
      <c r="V105" s="75">
        <v>0</v>
      </c>
      <c r="W105" s="169">
        <v>0</v>
      </c>
      <c r="X105" s="248">
        <v>0</v>
      </c>
      <c r="Y105" s="250">
        <f>-0.621799-1.63495</f>
        <v>-2.2567490000000001</v>
      </c>
      <c r="Z105" s="134">
        <f>-0.621799-1.63495</f>
        <v>-2.2567490000000001</v>
      </c>
      <c r="AA105" s="207">
        <v>0</v>
      </c>
      <c r="AB105" s="207">
        <v>0</v>
      </c>
      <c r="AC105" s="176">
        <v>0</v>
      </c>
      <c r="AD105" s="176">
        <f>-AC105</f>
        <v>0</v>
      </c>
      <c r="AE105" s="49" t="s">
        <v>898</v>
      </c>
    </row>
    <row r="106" spans="1:31" s="1" customFormat="1" ht="60" outlineLevel="1" x14ac:dyDescent="0.25">
      <c r="A106" s="1443"/>
      <c r="B106" s="1446"/>
      <c r="C106" s="63">
        <v>44210</v>
      </c>
      <c r="D106" s="48" t="s">
        <v>899</v>
      </c>
      <c r="E106" s="49" t="s">
        <v>900</v>
      </c>
      <c r="F106" s="124">
        <f t="shared" ref="F106:F114" si="72">K106/$Q$8</f>
        <v>0</v>
      </c>
      <c r="G106" s="52">
        <f t="shared" si="67"/>
        <v>0</v>
      </c>
      <c r="H106" s="52">
        <f t="shared" si="55"/>
        <v>0</v>
      </c>
      <c r="I106" s="52">
        <f t="shared" si="63"/>
        <v>0</v>
      </c>
      <c r="J106" s="53">
        <f t="shared" si="68"/>
        <v>0</v>
      </c>
      <c r="K106" s="165">
        <f t="shared" ref="K106:M121" si="73">-W106</f>
        <v>0</v>
      </c>
      <c r="L106" s="252">
        <f t="shared" si="70"/>
        <v>0</v>
      </c>
      <c r="M106" s="252">
        <f t="shared" si="70"/>
        <v>0</v>
      </c>
      <c r="N106" s="94">
        <f t="shared" si="71"/>
        <v>0</v>
      </c>
      <c r="O106" s="95" t="s">
        <v>479</v>
      </c>
      <c r="P106" s="242" t="s">
        <v>129</v>
      </c>
      <c r="Q106" s="168">
        <f t="shared" ref="Q106:V166" si="74">W106/Q$8*100</f>
        <v>0</v>
      </c>
      <c r="R106" s="75">
        <f t="shared" si="74"/>
        <v>0</v>
      </c>
      <c r="S106" s="75">
        <f t="shared" si="65"/>
        <v>0</v>
      </c>
      <c r="T106" s="137">
        <f t="shared" si="65"/>
        <v>-3.7606723267799444E-2</v>
      </c>
      <c r="U106" s="75">
        <f t="shared" si="65"/>
        <v>0</v>
      </c>
      <c r="V106" s="75">
        <f t="shared" si="65"/>
        <v>0</v>
      </c>
      <c r="W106" s="169">
        <v>0</v>
      </c>
      <c r="X106" s="248">
        <v>0</v>
      </c>
      <c r="Y106" s="250">
        <v>0</v>
      </c>
      <c r="Z106" s="134">
        <f>-14.180745+2.66222</f>
        <v>-11.518525</v>
      </c>
      <c r="AA106" s="207">
        <v>0</v>
      </c>
      <c r="AB106" s="207">
        <v>0</v>
      </c>
      <c r="AC106" s="176">
        <v>0</v>
      </c>
      <c r="AD106" s="176">
        <f t="shared" si="66"/>
        <v>0</v>
      </c>
      <c r="AE106" s="49" t="s">
        <v>901</v>
      </c>
    </row>
    <row r="107" spans="1:31" s="1" customFormat="1" ht="60" outlineLevel="1" x14ac:dyDescent="0.25">
      <c r="A107" s="1443"/>
      <c r="B107" s="1446"/>
      <c r="C107" s="178" t="s">
        <v>1374</v>
      </c>
      <c r="D107" s="48" t="s">
        <v>902</v>
      </c>
      <c r="E107" s="49" t="s">
        <v>903</v>
      </c>
      <c r="F107" s="124">
        <f t="shared" si="72"/>
        <v>0</v>
      </c>
      <c r="G107" s="52">
        <f t="shared" si="67"/>
        <v>0</v>
      </c>
      <c r="H107" s="52">
        <f t="shared" si="55"/>
        <v>2.3145004907210458E-4</v>
      </c>
      <c r="I107" s="52">
        <f t="shared" si="63"/>
        <v>0</v>
      </c>
      <c r="J107" s="53">
        <f t="shared" si="68"/>
        <v>7.0890599999999999</v>
      </c>
      <c r="K107" s="165">
        <f t="shared" si="73"/>
        <v>0</v>
      </c>
      <c r="L107" s="252">
        <f t="shared" si="70"/>
        <v>0</v>
      </c>
      <c r="M107" s="252">
        <f t="shared" si="70"/>
        <v>7.0890599999999999</v>
      </c>
      <c r="N107" s="94">
        <f t="shared" si="71"/>
        <v>0</v>
      </c>
      <c r="O107" s="95" t="s">
        <v>479</v>
      </c>
      <c r="P107" s="242" t="s">
        <v>129</v>
      </c>
      <c r="Q107" s="168">
        <f t="shared" si="74"/>
        <v>0</v>
      </c>
      <c r="R107" s="75">
        <f t="shared" si="74"/>
        <v>0</v>
      </c>
      <c r="S107" s="75">
        <f t="shared" si="65"/>
        <v>-2.3145004907210456E-2</v>
      </c>
      <c r="T107" s="137">
        <f t="shared" si="65"/>
        <v>-7.9387772331136509E-3</v>
      </c>
      <c r="U107" s="75">
        <f t="shared" si="65"/>
        <v>0</v>
      </c>
      <c r="V107" s="75">
        <f t="shared" si="65"/>
        <v>0</v>
      </c>
      <c r="W107" s="169">
        <v>0</v>
      </c>
      <c r="X107" s="248">
        <v>0</v>
      </c>
      <c r="Y107" s="191">
        <f>-2.43156-4.6575</f>
        <v>-7.0890599999999999</v>
      </c>
      <c r="Z107" s="134">
        <v>-2.4315600000000002</v>
      </c>
      <c r="AA107" s="207">
        <v>0</v>
      </c>
      <c r="AB107" s="207">
        <v>0</v>
      </c>
      <c r="AC107" s="176">
        <v>-2.3321999999999998</v>
      </c>
      <c r="AD107" s="176">
        <f t="shared" si="66"/>
        <v>2.3321999999999998</v>
      </c>
      <c r="AE107" s="208" t="s">
        <v>904</v>
      </c>
    </row>
    <row r="108" spans="1:31" s="1" customFormat="1" ht="119.25" customHeight="1" outlineLevel="1" x14ac:dyDescent="0.25">
      <c r="A108" s="1443"/>
      <c r="B108" s="1446"/>
      <c r="C108" s="63">
        <v>44215</v>
      </c>
      <c r="D108" s="48" t="s">
        <v>905</v>
      </c>
      <c r="E108" s="49" t="s">
        <v>906</v>
      </c>
      <c r="F108" s="124">
        <f t="shared" si="72"/>
        <v>0</v>
      </c>
      <c r="G108" s="52">
        <f t="shared" si="67"/>
        <v>0</v>
      </c>
      <c r="H108" s="52">
        <f>M108/$S$8</f>
        <v>2.3217315702814514E-4</v>
      </c>
      <c r="I108" s="52">
        <f t="shared" si="63"/>
        <v>0</v>
      </c>
      <c r="J108" s="53">
        <f t="shared" si="68"/>
        <v>7.1112080000000004</v>
      </c>
      <c r="K108" s="165">
        <f t="shared" si="73"/>
        <v>0</v>
      </c>
      <c r="L108" s="252">
        <f t="shared" si="70"/>
        <v>0</v>
      </c>
      <c r="M108" s="252">
        <f t="shared" si="70"/>
        <v>7.1112080000000004</v>
      </c>
      <c r="N108" s="94">
        <f t="shared" si="71"/>
        <v>0</v>
      </c>
      <c r="O108" s="95" t="s">
        <v>479</v>
      </c>
      <c r="P108" s="242" t="s">
        <v>127</v>
      </c>
      <c r="Q108" s="168">
        <f t="shared" si="74"/>
        <v>0</v>
      </c>
      <c r="R108" s="75">
        <f t="shared" si="74"/>
        <v>0</v>
      </c>
      <c r="S108" s="75">
        <f t="shared" si="65"/>
        <v>-2.3217315702814514E-2</v>
      </c>
      <c r="T108" s="137">
        <f t="shared" si="65"/>
        <v>-2.3217315702814514E-2</v>
      </c>
      <c r="U108" s="75">
        <f t="shared" si="65"/>
        <v>0</v>
      </c>
      <c r="V108" s="75">
        <f t="shared" si="65"/>
        <v>0</v>
      </c>
      <c r="W108" s="169">
        <v>0</v>
      </c>
      <c r="X108" s="248">
        <v>0</v>
      </c>
      <c r="Y108" s="250">
        <v>-7.1112080000000004</v>
      </c>
      <c r="Z108" s="134">
        <v>-7.1112080000000004</v>
      </c>
      <c r="AA108" s="207">
        <v>0</v>
      </c>
      <c r="AB108" s="207">
        <v>0</v>
      </c>
      <c r="AC108" s="176">
        <v>-0.289908</v>
      </c>
      <c r="AD108" s="176">
        <f t="shared" si="66"/>
        <v>0.289908</v>
      </c>
      <c r="AE108" s="208" t="s">
        <v>907</v>
      </c>
    </row>
    <row r="109" spans="1:31" s="1" customFormat="1" ht="60" outlineLevel="1" x14ac:dyDescent="0.25">
      <c r="A109" s="1443"/>
      <c r="B109" s="1446"/>
      <c r="C109" s="63" t="s">
        <v>1323</v>
      </c>
      <c r="D109" s="48" t="s">
        <v>908</v>
      </c>
      <c r="E109" s="49" t="s">
        <v>909</v>
      </c>
      <c r="F109" s="124">
        <f t="shared" si="72"/>
        <v>0</v>
      </c>
      <c r="G109" s="52">
        <f t="shared" si="67"/>
        <v>0</v>
      </c>
      <c r="H109" s="52">
        <f>M109/$S$8</f>
        <v>1.4362743203972725E-5</v>
      </c>
      <c r="I109" s="52">
        <f t="shared" si="63"/>
        <v>0</v>
      </c>
      <c r="J109" s="53">
        <f t="shared" si="68"/>
        <v>0.439915</v>
      </c>
      <c r="K109" s="165">
        <f t="shared" si="73"/>
        <v>0</v>
      </c>
      <c r="L109" s="252">
        <f t="shared" si="70"/>
        <v>0</v>
      </c>
      <c r="M109" s="252">
        <f t="shared" si="70"/>
        <v>0.439915</v>
      </c>
      <c r="N109" s="94">
        <f t="shared" si="71"/>
        <v>0</v>
      </c>
      <c r="O109" s="95" t="s">
        <v>479</v>
      </c>
      <c r="P109" s="242" t="s">
        <v>130</v>
      </c>
      <c r="Q109" s="168">
        <f t="shared" si="74"/>
        <v>0</v>
      </c>
      <c r="R109" s="75">
        <f t="shared" si="74"/>
        <v>0</v>
      </c>
      <c r="S109" s="75">
        <f t="shared" si="65"/>
        <v>-1.4362743203972725E-3</v>
      </c>
      <c r="T109" s="137">
        <f t="shared" si="65"/>
        <v>-2.0954263357168814E-3</v>
      </c>
      <c r="U109" s="75">
        <f t="shared" si="65"/>
        <v>0</v>
      </c>
      <c r="V109" s="75">
        <f t="shared" si="65"/>
        <v>0</v>
      </c>
      <c r="W109" s="169">
        <v>0</v>
      </c>
      <c r="X109" s="248">
        <v>0</v>
      </c>
      <c r="Y109" s="250">
        <v>-0.439915</v>
      </c>
      <c r="Z109" s="134">
        <v>-0.64180599999999999</v>
      </c>
      <c r="AA109" s="207">
        <v>0</v>
      </c>
      <c r="AB109" s="207">
        <v>0</v>
      </c>
      <c r="AC109" s="176">
        <v>0</v>
      </c>
      <c r="AD109" s="176">
        <f>-AC109</f>
        <v>0</v>
      </c>
      <c r="AE109" s="49" t="s">
        <v>909</v>
      </c>
    </row>
    <row r="110" spans="1:31" s="1" customFormat="1" ht="83.25" customHeight="1" outlineLevel="1" x14ac:dyDescent="0.25">
      <c r="A110" s="205"/>
      <c r="B110" s="234"/>
      <c r="C110" s="63">
        <v>44217</v>
      </c>
      <c r="D110" s="48" t="s">
        <v>910</v>
      </c>
      <c r="E110" s="49" t="s">
        <v>911</v>
      </c>
      <c r="F110" s="124">
        <f t="shared" si="72"/>
        <v>0</v>
      </c>
      <c r="G110" s="52">
        <f t="shared" si="67"/>
        <v>0</v>
      </c>
      <c r="H110" s="52">
        <f>M110/$S$8</f>
        <v>0</v>
      </c>
      <c r="I110" s="52">
        <f t="shared" si="63"/>
        <v>0</v>
      </c>
      <c r="J110" s="53">
        <f t="shared" si="68"/>
        <v>0</v>
      </c>
      <c r="K110" s="165">
        <f t="shared" si="73"/>
        <v>0</v>
      </c>
      <c r="L110" s="252">
        <f t="shared" si="70"/>
        <v>0</v>
      </c>
      <c r="M110" s="252">
        <f t="shared" si="70"/>
        <v>0</v>
      </c>
      <c r="N110" s="94">
        <f t="shared" si="71"/>
        <v>0</v>
      </c>
      <c r="O110" s="95" t="s">
        <v>479</v>
      </c>
      <c r="P110" s="242" t="s">
        <v>129</v>
      </c>
      <c r="Q110" s="168">
        <f t="shared" si="74"/>
        <v>0</v>
      </c>
      <c r="R110" s="75">
        <f t="shared" si="74"/>
        <v>0</v>
      </c>
      <c r="S110" s="75">
        <f t="shared" si="65"/>
        <v>0</v>
      </c>
      <c r="T110" s="137">
        <f t="shared" si="65"/>
        <v>-4.7038867962123448E-2</v>
      </c>
      <c r="U110" s="75">
        <f t="shared" si="65"/>
        <v>0</v>
      </c>
      <c r="V110" s="75">
        <f t="shared" si="65"/>
        <v>0</v>
      </c>
      <c r="W110" s="169">
        <v>0</v>
      </c>
      <c r="X110" s="248">
        <v>0</v>
      </c>
      <c r="Y110" s="250">
        <v>0</v>
      </c>
      <c r="Z110" s="134">
        <v>-14.407487</v>
      </c>
      <c r="AA110" s="207">
        <v>0</v>
      </c>
      <c r="AB110" s="207">
        <v>0</v>
      </c>
      <c r="AC110" s="176">
        <v>0</v>
      </c>
      <c r="AD110" s="176">
        <f>-AC110</f>
        <v>0</v>
      </c>
      <c r="AE110" s="49" t="s">
        <v>912</v>
      </c>
    </row>
    <row r="111" spans="1:31" s="1" customFormat="1" ht="63.75" customHeight="1" outlineLevel="1" x14ac:dyDescent="0.25">
      <c r="A111" s="205"/>
      <c r="B111" s="234"/>
      <c r="C111" s="63">
        <v>44217</v>
      </c>
      <c r="D111" s="48" t="s">
        <v>913</v>
      </c>
      <c r="E111" s="49" t="s">
        <v>914</v>
      </c>
      <c r="F111" s="124">
        <f t="shared" si="72"/>
        <v>0</v>
      </c>
      <c r="G111" s="52">
        <f t="shared" si="67"/>
        <v>0</v>
      </c>
      <c r="H111" s="52">
        <f t="shared" ref="H111:H123" si="75">M111/$S$8</f>
        <v>1.5122220081656417E-3</v>
      </c>
      <c r="I111" s="52">
        <f t="shared" si="63"/>
        <v>0</v>
      </c>
      <c r="J111" s="53">
        <f t="shared" si="68"/>
        <v>46.317694000000003</v>
      </c>
      <c r="K111" s="165">
        <f t="shared" si="73"/>
        <v>0</v>
      </c>
      <c r="L111" s="252">
        <f t="shared" si="73"/>
        <v>0</v>
      </c>
      <c r="M111" s="252">
        <f t="shared" si="73"/>
        <v>46.317694000000003</v>
      </c>
      <c r="N111" s="94">
        <f t="shared" si="71"/>
        <v>0</v>
      </c>
      <c r="O111" s="95" t="s">
        <v>479</v>
      </c>
      <c r="P111" s="242" t="s">
        <v>130</v>
      </c>
      <c r="Q111" s="168">
        <f t="shared" si="74"/>
        <v>0</v>
      </c>
      <c r="R111" s="75">
        <f t="shared" si="74"/>
        <v>0</v>
      </c>
      <c r="S111" s="75">
        <f t="shared" si="65"/>
        <v>-0.15122220081656418</v>
      </c>
      <c r="T111" s="137">
        <f t="shared" si="65"/>
        <v>-0.22639274669051246</v>
      </c>
      <c r="U111" s="75">
        <f t="shared" si="65"/>
        <v>0</v>
      </c>
      <c r="V111" s="75">
        <f t="shared" si="65"/>
        <v>0</v>
      </c>
      <c r="W111" s="169">
        <v>0</v>
      </c>
      <c r="X111" s="248">
        <v>0</v>
      </c>
      <c r="Y111" s="250">
        <f>-69.341604+23.02391</f>
        <v>-46.317694000000003</v>
      </c>
      <c r="Z111" s="134">
        <v>-69.341604000000004</v>
      </c>
      <c r="AA111" s="207">
        <v>0</v>
      </c>
      <c r="AB111" s="207">
        <v>0</v>
      </c>
      <c r="AC111" s="176">
        <f>-18.08396-0.094194-3.769444-0.068623-2.676097</f>
        <v>-24.692318</v>
      </c>
      <c r="AD111" s="176">
        <f t="shared" ref="AD111:AD131" si="76">-AC111</f>
        <v>24.692318</v>
      </c>
      <c r="AE111" s="49" t="s">
        <v>915</v>
      </c>
    </row>
    <row r="112" spans="1:31" s="1" customFormat="1" ht="60" outlineLevel="1" x14ac:dyDescent="0.25">
      <c r="A112" s="205"/>
      <c r="B112" s="234"/>
      <c r="C112" s="63">
        <v>44224</v>
      </c>
      <c r="D112" s="48" t="s">
        <v>916</v>
      </c>
      <c r="E112" s="49" t="s">
        <v>917</v>
      </c>
      <c r="F112" s="124">
        <f t="shared" si="72"/>
        <v>0</v>
      </c>
      <c r="G112" s="52">
        <f t="shared" si="67"/>
        <v>0</v>
      </c>
      <c r="H112" s="52">
        <f t="shared" si="75"/>
        <v>1.1959294035473238E-5</v>
      </c>
      <c r="I112" s="52">
        <f t="shared" si="63"/>
        <v>0</v>
      </c>
      <c r="J112" s="53">
        <f t="shared" si="68"/>
        <v>0.36630000000000001</v>
      </c>
      <c r="K112" s="165">
        <f t="shared" si="73"/>
        <v>0</v>
      </c>
      <c r="L112" s="252">
        <f t="shared" si="73"/>
        <v>0</v>
      </c>
      <c r="M112" s="252">
        <f t="shared" si="73"/>
        <v>0.36630000000000001</v>
      </c>
      <c r="N112" s="94">
        <f t="shared" si="71"/>
        <v>0</v>
      </c>
      <c r="O112" s="95" t="s">
        <v>479</v>
      </c>
      <c r="P112" s="242" t="s">
        <v>130</v>
      </c>
      <c r="Q112" s="168">
        <f t="shared" si="74"/>
        <v>0</v>
      </c>
      <c r="R112" s="75">
        <f t="shared" si="74"/>
        <v>0</v>
      </c>
      <c r="S112" s="75">
        <f t="shared" si="65"/>
        <v>-1.1959294035473237E-3</v>
      </c>
      <c r="T112" s="137">
        <f t="shared" si="65"/>
        <v>-1.1959294035473237E-3</v>
      </c>
      <c r="U112" s="75">
        <f t="shared" si="65"/>
        <v>0</v>
      </c>
      <c r="V112" s="75">
        <f t="shared" si="65"/>
        <v>0</v>
      </c>
      <c r="W112" s="169">
        <v>0</v>
      </c>
      <c r="X112" s="248">
        <v>0</v>
      </c>
      <c r="Y112" s="250">
        <v>-0.36630000000000001</v>
      </c>
      <c r="Z112" s="134">
        <v>-0.36630000000000001</v>
      </c>
      <c r="AA112" s="207">
        <v>0</v>
      </c>
      <c r="AB112" s="207">
        <v>0</v>
      </c>
      <c r="AC112" s="176">
        <v>0</v>
      </c>
      <c r="AD112" s="176">
        <f t="shared" si="76"/>
        <v>0</v>
      </c>
      <c r="AE112" s="49" t="s">
        <v>918</v>
      </c>
    </row>
    <row r="113" spans="1:31" s="1" customFormat="1" ht="72.75" customHeight="1" outlineLevel="1" x14ac:dyDescent="0.25">
      <c r="A113" s="205"/>
      <c r="B113" s="234"/>
      <c r="C113" s="63">
        <v>44224</v>
      </c>
      <c r="D113" s="48" t="s">
        <v>919</v>
      </c>
      <c r="E113" s="49" t="s">
        <v>894</v>
      </c>
      <c r="F113" s="124">
        <f>K113/$Q$8</f>
        <v>0</v>
      </c>
      <c r="G113" s="52">
        <f t="shared" si="67"/>
        <v>0</v>
      </c>
      <c r="H113" s="52">
        <f t="shared" si="75"/>
        <v>0</v>
      </c>
      <c r="I113" s="52">
        <f t="shared" si="63"/>
        <v>0</v>
      </c>
      <c r="J113" s="53">
        <f t="shared" si="68"/>
        <v>0</v>
      </c>
      <c r="K113" s="165">
        <f t="shared" si="73"/>
        <v>0</v>
      </c>
      <c r="L113" s="252">
        <f t="shared" si="73"/>
        <v>0</v>
      </c>
      <c r="M113" s="252">
        <f t="shared" si="73"/>
        <v>0</v>
      </c>
      <c r="N113" s="94">
        <f t="shared" si="71"/>
        <v>0</v>
      </c>
      <c r="O113" s="95" t="s">
        <v>479</v>
      </c>
      <c r="P113" s="242" t="s">
        <v>129</v>
      </c>
      <c r="Q113" s="168">
        <f t="shared" si="74"/>
        <v>0</v>
      </c>
      <c r="R113" s="75">
        <f t="shared" si="74"/>
        <v>0</v>
      </c>
      <c r="S113" s="75">
        <f t="shared" si="65"/>
        <v>0</v>
      </c>
      <c r="T113" s="137">
        <f t="shared" si="65"/>
        <v>-4.6782583849673938E-2</v>
      </c>
      <c r="U113" s="75">
        <f t="shared" si="65"/>
        <v>0</v>
      </c>
      <c r="V113" s="75">
        <f t="shared" si="65"/>
        <v>0</v>
      </c>
      <c r="W113" s="169">
        <v>0</v>
      </c>
      <c r="X113" s="248">
        <v>0</v>
      </c>
      <c r="Y113" s="250">
        <v>0</v>
      </c>
      <c r="Z113" s="134">
        <v>-14.328989999999999</v>
      </c>
      <c r="AA113" s="207">
        <v>0</v>
      </c>
      <c r="AB113" s="207">
        <v>0</v>
      </c>
      <c r="AC113" s="176">
        <v>0</v>
      </c>
      <c r="AD113" s="176">
        <f t="shared" si="76"/>
        <v>0</v>
      </c>
      <c r="AE113" s="49" t="s">
        <v>920</v>
      </c>
    </row>
    <row r="114" spans="1:31" s="1" customFormat="1" ht="60" outlineLevel="1" x14ac:dyDescent="0.25">
      <c r="A114" s="205"/>
      <c r="B114" s="234"/>
      <c r="C114" s="63">
        <v>44224</v>
      </c>
      <c r="D114" s="48" t="s">
        <v>919</v>
      </c>
      <c r="E114" s="49" t="s">
        <v>894</v>
      </c>
      <c r="F114" s="124">
        <f t="shared" si="72"/>
        <v>0</v>
      </c>
      <c r="G114" s="52">
        <f t="shared" si="67"/>
        <v>0</v>
      </c>
      <c r="H114" s="52">
        <f t="shared" si="75"/>
        <v>0</v>
      </c>
      <c r="I114" s="52">
        <f t="shared" si="63"/>
        <v>0</v>
      </c>
      <c r="J114" s="53">
        <f t="shared" si="68"/>
        <v>0</v>
      </c>
      <c r="K114" s="165">
        <f t="shared" si="73"/>
        <v>0</v>
      </c>
      <c r="L114" s="252">
        <f t="shared" si="73"/>
        <v>0</v>
      </c>
      <c r="M114" s="252">
        <f t="shared" si="73"/>
        <v>0</v>
      </c>
      <c r="N114" s="94">
        <f t="shared" si="71"/>
        <v>0</v>
      </c>
      <c r="O114" s="95" t="s">
        <v>479</v>
      </c>
      <c r="P114" s="242" t="s">
        <v>129</v>
      </c>
      <c r="Q114" s="168">
        <f t="shared" si="74"/>
        <v>0</v>
      </c>
      <c r="R114" s="75">
        <f t="shared" si="74"/>
        <v>0</v>
      </c>
      <c r="S114" s="75">
        <f t="shared" si="65"/>
        <v>0</v>
      </c>
      <c r="T114" s="137">
        <f t="shared" si="65"/>
        <v>-4.6396311385401248E-2</v>
      </c>
      <c r="U114" s="75">
        <f t="shared" si="65"/>
        <v>0</v>
      </c>
      <c r="V114" s="75">
        <f t="shared" si="65"/>
        <v>0</v>
      </c>
      <c r="W114" s="169">
        <v>0</v>
      </c>
      <c r="X114" s="248">
        <v>0</v>
      </c>
      <c r="Y114" s="250">
        <v>0</v>
      </c>
      <c r="Z114" s="134">
        <v>-14.210679000000001</v>
      </c>
      <c r="AA114" s="207">
        <v>0</v>
      </c>
      <c r="AB114" s="207">
        <v>0</v>
      </c>
      <c r="AC114" s="176">
        <v>0</v>
      </c>
      <c r="AD114" s="176">
        <f t="shared" si="76"/>
        <v>0</v>
      </c>
      <c r="AE114" s="49" t="s">
        <v>921</v>
      </c>
    </row>
    <row r="115" spans="1:31" s="1" customFormat="1" ht="60" outlineLevel="1" x14ac:dyDescent="0.25">
      <c r="A115" s="205"/>
      <c r="B115" s="234"/>
      <c r="C115" s="63">
        <v>44235</v>
      </c>
      <c r="D115" s="48" t="s">
        <v>922</v>
      </c>
      <c r="E115" s="49" t="s">
        <v>923</v>
      </c>
      <c r="F115" s="124">
        <f>K115/$Q$8</f>
        <v>0</v>
      </c>
      <c r="G115" s="52">
        <f t="shared" si="67"/>
        <v>0</v>
      </c>
      <c r="H115" s="52">
        <f t="shared" si="75"/>
        <v>4.7351686919104281E-5</v>
      </c>
      <c r="I115" s="52">
        <f t="shared" si="63"/>
        <v>0</v>
      </c>
      <c r="J115" s="53">
        <f t="shared" si="68"/>
        <v>1.4503299999999999</v>
      </c>
      <c r="K115" s="165">
        <f t="shared" si="73"/>
        <v>0</v>
      </c>
      <c r="L115" s="252">
        <f t="shared" si="73"/>
        <v>0</v>
      </c>
      <c r="M115" s="252">
        <f t="shared" si="73"/>
        <v>1.4503299999999999</v>
      </c>
      <c r="N115" s="94">
        <f t="shared" si="71"/>
        <v>0</v>
      </c>
      <c r="O115" s="95" t="s">
        <v>479</v>
      </c>
      <c r="P115" s="242" t="s">
        <v>129</v>
      </c>
      <c r="Q115" s="168">
        <f t="shared" si="74"/>
        <v>0</v>
      </c>
      <c r="R115" s="75">
        <f t="shared" si="74"/>
        <v>0</v>
      </c>
      <c r="S115" s="75">
        <f t="shared" si="65"/>
        <v>-4.7351686919104279E-3</v>
      </c>
      <c r="T115" s="137">
        <f t="shared" si="65"/>
        <v>-4.7351686919104279E-3</v>
      </c>
      <c r="U115" s="75">
        <f t="shared" si="65"/>
        <v>0</v>
      </c>
      <c r="V115" s="75">
        <f t="shared" si="65"/>
        <v>0</v>
      </c>
      <c r="W115" s="169">
        <v>0</v>
      </c>
      <c r="X115" s="248">
        <v>0</v>
      </c>
      <c r="Y115" s="250">
        <v>-1.4503299999999999</v>
      </c>
      <c r="Z115" s="134">
        <v>-1.4503299999999999</v>
      </c>
      <c r="AA115" s="207">
        <v>0</v>
      </c>
      <c r="AB115" s="207">
        <v>0</v>
      </c>
      <c r="AC115" s="176">
        <v>-3.9176000000000002E-2</v>
      </c>
      <c r="AD115" s="176">
        <f t="shared" si="76"/>
        <v>3.9176000000000002E-2</v>
      </c>
      <c r="AE115" s="49" t="s">
        <v>924</v>
      </c>
    </row>
    <row r="116" spans="1:31" s="1" customFormat="1" ht="58.5" customHeight="1" outlineLevel="1" x14ac:dyDescent="0.25">
      <c r="A116" s="205"/>
      <c r="B116" s="234"/>
      <c r="C116" s="63">
        <v>44232</v>
      </c>
      <c r="D116" s="48" t="s">
        <v>925</v>
      </c>
      <c r="E116" s="49" t="s">
        <v>894</v>
      </c>
      <c r="F116" s="124">
        <f>K116/$Q$8</f>
        <v>0</v>
      </c>
      <c r="G116" s="52">
        <f t="shared" si="67"/>
        <v>0</v>
      </c>
      <c r="H116" s="52">
        <f t="shared" si="75"/>
        <v>0</v>
      </c>
      <c r="I116" s="52">
        <f t="shared" si="63"/>
        <v>0</v>
      </c>
      <c r="J116" s="53">
        <f t="shared" si="68"/>
        <v>0</v>
      </c>
      <c r="K116" s="165">
        <f t="shared" si="73"/>
        <v>0</v>
      </c>
      <c r="L116" s="252">
        <f t="shared" si="73"/>
        <v>0</v>
      </c>
      <c r="M116" s="252">
        <f t="shared" si="73"/>
        <v>0</v>
      </c>
      <c r="N116" s="94">
        <f t="shared" si="71"/>
        <v>0</v>
      </c>
      <c r="O116" s="95" t="s">
        <v>479</v>
      </c>
      <c r="P116" s="242" t="s">
        <v>129</v>
      </c>
      <c r="Q116" s="168">
        <f t="shared" si="74"/>
        <v>0</v>
      </c>
      <c r="R116" s="75">
        <f t="shared" si="74"/>
        <v>0</v>
      </c>
      <c r="S116" s="75">
        <f t="shared" si="65"/>
        <v>0</v>
      </c>
      <c r="T116" s="137">
        <f t="shared" si="65"/>
        <v>-1.3573243698870906E-2</v>
      </c>
      <c r="U116" s="75">
        <f t="shared" si="65"/>
        <v>0</v>
      </c>
      <c r="V116" s="75">
        <f t="shared" si="65"/>
        <v>0</v>
      </c>
      <c r="W116" s="169">
        <v>0</v>
      </c>
      <c r="X116" s="248">
        <v>0</v>
      </c>
      <c r="Y116" s="250">
        <v>0</v>
      </c>
      <c r="Z116" s="134">
        <v>-4.1573349999999998</v>
      </c>
      <c r="AA116" s="207">
        <v>0</v>
      </c>
      <c r="AB116" s="207">
        <v>0</v>
      </c>
      <c r="AC116" s="176">
        <v>0</v>
      </c>
      <c r="AD116" s="176">
        <f t="shared" si="76"/>
        <v>0</v>
      </c>
      <c r="AE116" s="49" t="s">
        <v>926</v>
      </c>
    </row>
    <row r="117" spans="1:31" s="1" customFormat="1" ht="60" outlineLevel="1" x14ac:dyDescent="0.25">
      <c r="A117" s="205"/>
      <c r="B117" s="234"/>
      <c r="C117" s="63">
        <v>44238</v>
      </c>
      <c r="D117" s="48" t="s">
        <v>927</v>
      </c>
      <c r="E117" s="49" t="s">
        <v>928</v>
      </c>
      <c r="F117" s="124">
        <f t="shared" ref="F117:F196" si="77">K117/$Q$8</f>
        <v>0</v>
      </c>
      <c r="G117" s="52">
        <f t="shared" si="67"/>
        <v>0</v>
      </c>
      <c r="H117" s="52">
        <f t="shared" si="75"/>
        <v>1.3142762004820562E-3</v>
      </c>
      <c r="I117" s="52">
        <f t="shared" si="63"/>
        <v>0</v>
      </c>
      <c r="J117" s="53">
        <f t="shared" si="68"/>
        <v>40.254832</v>
      </c>
      <c r="K117" s="165">
        <f t="shared" si="73"/>
        <v>0</v>
      </c>
      <c r="L117" s="252">
        <f t="shared" si="73"/>
        <v>0</v>
      </c>
      <c r="M117" s="252">
        <f t="shared" si="73"/>
        <v>40.254832</v>
      </c>
      <c r="N117" s="94">
        <f t="shared" si="71"/>
        <v>0</v>
      </c>
      <c r="O117" s="95" t="s">
        <v>479</v>
      </c>
      <c r="P117" s="242" t="s">
        <v>129</v>
      </c>
      <c r="Q117" s="168">
        <f t="shared" si="74"/>
        <v>0</v>
      </c>
      <c r="R117" s="75">
        <f t="shared" si="74"/>
        <v>0</v>
      </c>
      <c r="S117" s="75">
        <f t="shared" si="65"/>
        <v>-0.13142762004820563</v>
      </c>
      <c r="T117" s="137">
        <f t="shared" si="65"/>
        <v>-0.13142762004820563</v>
      </c>
      <c r="U117" s="75">
        <f t="shared" si="65"/>
        <v>0</v>
      </c>
      <c r="V117" s="75">
        <f t="shared" si="65"/>
        <v>0</v>
      </c>
      <c r="W117" s="169">
        <v>0</v>
      </c>
      <c r="X117" s="248">
        <v>0</v>
      </c>
      <c r="Y117" s="250">
        <v>-40.254832</v>
      </c>
      <c r="Z117" s="134">
        <v>-40.254832</v>
      </c>
      <c r="AA117" s="207">
        <v>0</v>
      </c>
      <c r="AB117" s="207">
        <v>0</v>
      </c>
      <c r="AC117" s="176">
        <v>0</v>
      </c>
      <c r="AD117" s="176">
        <f t="shared" si="76"/>
        <v>0</v>
      </c>
      <c r="AE117" s="49" t="s">
        <v>929</v>
      </c>
    </row>
    <row r="118" spans="1:31" s="1" customFormat="1" ht="74.099999999999994" customHeight="1" outlineLevel="1" x14ac:dyDescent="0.25">
      <c r="A118" s="205"/>
      <c r="B118" s="234"/>
      <c r="C118" s="63">
        <v>44238</v>
      </c>
      <c r="D118" s="48" t="s">
        <v>930</v>
      </c>
      <c r="E118" s="49" t="s">
        <v>931</v>
      </c>
      <c r="F118" s="124">
        <f t="shared" si="77"/>
        <v>0</v>
      </c>
      <c r="G118" s="52">
        <f t="shared" si="67"/>
        <v>0</v>
      </c>
      <c r="H118" s="52">
        <f t="shared" si="75"/>
        <v>8.6218197584455919E-4</v>
      </c>
      <c r="I118" s="52">
        <f t="shared" si="63"/>
        <v>0</v>
      </c>
      <c r="J118" s="53">
        <f t="shared" si="68"/>
        <v>26.407684</v>
      </c>
      <c r="K118" s="165">
        <f t="shared" si="73"/>
        <v>0</v>
      </c>
      <c r="L118" s="252">
        <f t="shared" si="73"/>
        <v>0</v>
      </c>
      <c r="M118" s="252">
        <f t="shared" si="73"/>
        <v>26.407684</v>
      </c>
      <c r="N118" s="94">
        <f t="shared" si="71"/>
        <v>0</v>
      </c>
      <c r="O118" s="95" t="s">
        <v>479</v>
      </c>
      <c r="P118" s="242" t="s">
        <v>171</v>
      </c>
      <c r="Q118" s="168">
        <f t="shared" si="74"/>
        <v>0</v>
      </c>
      <c r="R118" s="75">
        <f t="shared" si="74"/>
        <v>0</v>
      </c>
      <c r="S118" s="75">
        <f t="shared" si="65"/>
        <v>-8.6218197584455925E-2</v>
      </c>
      <c r="T118" s="137">
        <f t="shared" si="65"/>
        <v>-8.6218197584455925E-2</v>
      </c>
      <c r="U118" s="75">
        <f t="shared" si="65"/>
        <v>0</v>
      </c>
      <c r="V118" s="75">
        <f t="shared" si="65"/>
        <v>0</v>
      </c>
      <c r="W118" s="169">
        <v>0</v>
      </c>
      <c r="X118" s="248">
        <v>0</v>
      </c>
      <c r="Y118" s="250">
        <v>-26.407684</v>
      </c>
      <c r="Z118" s="134">
        <v>-26.407684</v>
      </c>
      <c r="AA118" s="207">
        <v>0</v>
      </c>
      <c r="AB118" s="207">
        <v>0</v>
      </c>
      <c r="AC118" s="176">
        <f>-0.119938-23.363667-0.035507</f>
        <v>-23.519112</v>
      </c>
      <c r="AD118" s="176">
        <f t="shared" si="76"/>
        <v>23.519112</v>
      </c>
      <c r="AE118" s="49" t="s">
        <v>932</v>
      </c>
    </row>
    <row r="119" spans="1:31" s="1" customFormat="1" ht="74.099999999999994" customHeight="1" outlineLevel="1" x14ac:dyDescent="0.25">
      <c r="A119" s="205"/>
      <c r="B119" s="234"/>
      <c r="C119" s="63">
        <v>44242</v>
      </c>
      <c r="D119" s="48" t="s">
        <v>1142</v>
      </c>
      <c r="E119" s="49" t="s">
        <v>1143</v>
      </c>
      <c r="F119" s="124">
        <f t="shared" si="77"/>
        <v>0</v>
      </c>
      <c r="G119" s="52">
        <f t="shared" si="67"/>
        <v>0</v>
      </c>
      <c r="H119" s="52">
        <f t="shared" si="75"/>
        <v>0</v>
      </c>
      <c r="I119" s="52">
        <f t="shared" si="63"/>
        <v>0</v>
      </c>
      <c r="J119" s="53">
        <f t="shared" si="68"/>
        <v>0</v>
      </c>
      <c r="K119" s="165">
        <f t="shared" si="73"/>
        <v>0</v>
      </c>
      <c r="L119" s="252">
        <f t="shared" si="73"/>
        <v>0</v>
      </c>
      <c r="M119" s="252">
        <f t="shared" si="73"/>
        <v>0</v>
      </c>
      <c r="N119" s="94">
        <f t="shared" si="71"/>
        <v>0</v>
      </c>
      <c r="O119" s="95" t="s">
        <v>479</v>
      </c>
      <c r="P119" s="242" t="s">
        <v>129</v>
      </c>
      <c r="Q119" s="168">
        <f t="shared" si="74"/>
        <v>0</v>
      </c>
      <c r="R119" s="75">
        <f t="shared" si="74"/>
        <v>0</v>
      </c>
      <c r="S119" s="75">
        <f t="shared" si="65"/>
        <v>0</v>
      </c>
      <c r="T119" s="137">
        <f t="shared" si="65"/>
        <v>-9.6273459697247365E-4</v>
      </c>
      <c r="U119" s="75">
        <f t="shared" si="65"/>
        <v>0</v>
      </c>
      <c r="V119" s="75">
        <f t="shared" si="65"/>
        <v>0</v>
      </c>
      <c r="W119" s="169">
        <v>0</v>
      </c>
      <c r="X119" s="248">
        <v>0</v>
      </c>
      <c r="Y119" s="250">
        <v>0</v>
      </c>
      <c r="Z119" s="134">
        <v>-0.294875</v>
      </c>
      <c r="AA119" s="207">
        <v>0</v>
      </c>
      <c r="AB119" s="207">
        <v>0</v>
      </c>
      <c r="AC119" s="176">
        <v>0</v>
      </c>
      <c r="AD119" s="176">
        <f t="shared" si="76"/>
        <v>0</v>
      </c>
      <c r="AE119" s="49" t="s">
        <v>1146</v>
      </c>
    </row>
    <row r="120" spans="1:31" s="1" customFormat="1" ht="73.349999999999994" customHeight="1" outlineLevel="1" x14ac:dyDescent="0.25">
      <c r="A120" s="205"/>
      <c r="B120" s="234"/>
      <c r="C120" s="63">
        <v>44245</v>
      </c>
      <c r="D120" s="48" t="s">
        <v>1117</v>
      </c>
      <c r="E120" s="49" t="s">
        <v>1118</v>
      </c>
      <c r="F120" s="124">
        <f t="shared" si="77"/>
        <v>0</v>
      </c>
      <c r="G120" s="52">
        <f t="shared" si="67"/>
        <v>0</v>
      </c>
      <c r="H120" s="52">
        <f t="shared" si="75"/>
        <v>1.5802070197021694E-6</v>
      </c>
      <c r="I120" s="52">
        <f t="shared" si="63"/>
        <v>0</v>
      </c>
      <c r="J120" s="53">
        <f t="shared" si="68"/>
        <v>4.8399999999999999E-2</v>
      </c>
      <c r="K120" s="165">
        <f t="shared" si="73"/>
        <v>0</v>
      </c>
      <c r="L120" s="252">
        <f t="shared" si="73"/>
        <v>0</v>
      </c>
      <c r="M120" s="252">
        <f t="shared" si="73"/>
        <v>4.8399999999999999E-2</v>
      </c>
      <c r="N120" s="94">
        <f t="shared" si="71"/>
        <v>0</v>
      </c>
      <c r="O120" s="95" t="s">
        <v>479</v>
      </c>
      <c r="P120" s="242" t="s">
        <v>1119</v>
      </c>
      <c r="Q120" s="168">
        <f t="shared" si="74"/>
        <v>0</v>
      </c>
      <c r="R120" s="75">
        <f t="shared" si="74"/>
        <v>0</v>
      </c>
      <c r="S120" s="75">
        <f t="shared" si="65"/>
        <v>-1.5802070197021693E-4</v>
      </c>
      <c r="T120" s="137">
        <f t="shared" si="65"/>
        <v>-1.5802070197021693E-4</v>
      </c>
      <c r="U120" s="75">
        <f t="shared" si="65"/>
        <v>0</v>
      </c>
      <c r="V120" s="75">
        <f t="shared" si="65"/>
        <v>0</v>
      </c>
      <c r="W120" s="169">
        <v>0</v>
      </c>
      <c r="X120" s="248">
        <v>0</v>
      </c>
      <c r="Y120" s="250">
        <v>-4.8399999999999999E-2</v>
      </c>
      <c r="Z120" s="134">
        <v>-4.8399999999999999E-2</v>
      </c>
      <c r="AA120" s="207">
        <v>0</v>
      </c>
      <c r="AB120" s="207">
        <v>0</v>
      </c>
      <c r="AC120" s="176">
        <v>0</v>
      </c>
      <c r="AD120" s="176">
        <f t="shared" si="76"/>
        <v>0</v>
      </c>
      <c r="AE120" s="49" t="s">
        <v>1120</v>
      </c>
    </row>
    <row r="121" spans="1:31" s="1" customFormat="1" ht="103.35" customHeight="1" outlineLevel="1" x14ac:dyDescent="0.25">
      <c r="A121" s="205"/>
      <c r="B121" s="234"/>
      <c r="C121" s="63">
        <v>44245</v>
      </c>
      <c r="D121" s="48" t="s">
        <v>1121</v>
      </c>
      <c r="E121" s="49" t="s">
        <v>1122</v>
      </c>
      <c r="F121" s="124">
        <f t="shared" si="77"/>
        <v>0</v>
      </c>
      <c r="G121" s="52">
        <f t="shared" si="67"/>
        <v>0</v>
      </c>
      <c r="H121" s="52">
        <f t="shared" si="75"/>
        <v>2.7111788141119092E-3</v>
      </c>
      <c r="I121" s="52">
        <f t="shared" si="63"/>
        <v>0</v>
      </c>
      <c r="J121" s="53">
        <f t="shared" si="68"/>
        <v>83.040419999999997</v>
      </c>
      <c r="K121" s="165">
        <f t="shared" si="73"/>
        <v>0</v>
      </c>
      <c r="L121" s="252">
        <f t="shared" si="73"/>
        <v>0</v>
      </c>
      <c r="M121" s="252">
        <f t="shared" si="73"/>
        <v>83.040419999999997</v>
      </c>
      <c r="N121" s="94">
        <f t="shared" si="71"/>
        <v>0</v>
      </c>
      <c r="O121" s="95" t="s">
        <v>479</v>
      </c>
      <c r="P121" s="242" t="s">
        <v>1119</v>
      </c>
      <c r="Q121" s="168">
        <f t="shared" si="74"/>
        <v>0</v>
      </c>
      <c r="R121" s="75">
        <f t="shared" si="74"/>
        <v>0</v>
      </c>
      <c r="S121" s="75">
        <f t="shared" si="65"/>
        <v>-0.27111788141119092</v>
      </c>
      <c r="T121" s="137">
        <f t="shared" si="65"/>
        <v>-0.27111788141119092</v>
      </c>
      <c r="U121" s="75">
        <f t="shared" si="65"/>
        <v>0</v>
      </c>
      <c r="V121" s="75">
        <f t="shared" si="65"/>
        <v>0</v>
      </c>
      <c r="W121" s="169">
        <v>0</v>
      </c>
      <c r="X121" s="248">
        <v>0</v>
      </c>
      <c r="Y121" s="250">
        <v>-83.040419999999997</v>
      </c>
      <c r="Z121" s="134">
        <v>-83.040419999999997</v>
      </c>
      <c r="AA121" s="207">
        <v>0</v>
      </c>
      <c r="AB121" s="207">
        <v>0</v>
      </c>
      <c r="AC121" s="176">
        <v>0</v>
      </c>
      <c r="AD121" s="176">
        <f t="shared" si="76"/>
        <v>0</v>
      </c>
      <c r="AE121" s="49" t="s">
        <v>1123</v>
      </c>
    </row>
    <row r="122" spans="1:31" s="1" customFormat="1" ht="103.35" customHeight="1" outlineLevel="1" x14ac:dyDescent="0.25">
      <c r="A122" s="205"/>
      <c r="B122" s="234"/>
      <c r="C122" s="63">
        <v>44245</v>
      </c>
      <c r="D122" s="48" t="s">
        <v>1144</v>
      </c>
      <c r="E122" s="49" t="s">
        <v>1145</v>
      </c>
      <c r="F122" s="124">
        <f t="shared" si="77"/>
        <v>0</v>
      </c>
      <c r="G122" s="52">
        <f t="shared" si="67"/>
        <v>0</v>
      </c>
      <c r="H122" s="52">
        <f t="shared" si="75"/>
        <v>6.271462933895668E-6</v>
      </c>
      <c r="I122" s="52">
        <f t="shared" si="63"/>
        <v>0</v>
      </c>
      <c r="J122" s="53">
        <f t="shared" si="68"/>
        <v>0.19208800000000001</v>
      </c>
      <c r="K122" s="165">
        <f t="shared" ref="K122:M152" si="78">-W122</f>
        <v>0</v>
      </c>
      <c r="L122" s="252">
        <f t="shared" si="78"/>
        <v>0</v>
      </c>
      <c r="M122" s="252">
        <f t="shared" si="78"/>
        <v>0.19208800000000001</v>
      </c>
      <c r="N122" s="94">
        <f t="shared" si="71"/>
        <v>0</v>
      </c>
      <c r="O122" s="95" t="s">
        <v>479</v>
      </c>
      <c r="P122" s="242" t="s">
        <v>171</v>
      </c>
      <c r="Q122" s="168">
        <f t="shared" si="74"/>
        <v>0</v>
      </c>
      <c r="R122" s="75">
        <f t="shared" si="74"/>
        <v>0</v>
      </c>
      <c r="S122" s="75">
        <f t="shared" si="65"/>
        <v>-6.2714629338956685E-4</v>
      </c>
      <c r="T122" s="137">
        <f t="shared" si="65"/>
        <v>-6.2714629338956685E-4</v>
      </c>
      <c r="U122" s="75">
        <f t="shared" si="65"/>
        <v>0</v>
      </c>
      <c r="V122" s="75">
        <f t="shared" si="65"/>
        <v>0</v>
      </c>
      <c r="W122" s="169">
        <v>0</v>
      </c>
      <c r="X122" s="248">
        <v>0</v>
      </c>
      <c r="Y122" s="250">
        <v>-0.19208800000000001</v>
      </c>
      <c r="Z122" s="134">
        <v>-0.19208800000000001</v>
      </c>
      <c r="AA122" s="207">
        <v>0</v>
      </c>
      <c r="AB122" s="207">
        <v>0</v>
      </c>
      <c r="AC122" s="176">
        <v>0</v>
      </c>
      <c r="AD122" s="176">
        <f t="shared" si="76"/>
        <v>0</v>
      </c>
      <c r="AE122" s="49" t="s">
        <v>1147</v>
      </c>
    </row>
    <row r="123" spans="1:31" s="1" customFormat="1" ht="103.35" customHeight="1" outlineLevel="1" x14ac:dyDescent="0.25">
      <c r="A123" s="205"/>
      <c r="B123" s="234"/>
      <c r="C123" s="63">
        <v>44251</v>
      </c>
      <c r="D123" s="48" t="s">
        <v>1158</v>
      </c>
      <c r="E123" s="49" t="s">
        <v>1143</v>
      </c>
      <c r="F123" s="124">
        <f t="shared" si="77"/>
        <v>0</v>
      </c>
      <c r="G123" s="52">
        <f t="shared" si="67"/>
        <v>0</v>
      </c>
      <c r="H123" s="52">
        <f t="shared" si="75"/>
        <v>9.9120248351708339E-5</v>
      </c>
      <c r="I123" s="52">
        <f t="shared" si="63"/>
        <v>0</v>
      </c>
      <c r="J123" s="53">
        <f t="shared" si="68"/>
        <v>3.0359440000000002</v>
      </c>
      <c r="K123" s="165">
        <f t="shared" si="78"/>
        <v>0</v>
      </c>
      <c r="L123" s="252">
        <f t="shared" si="78"/>
        <v>0</v>
      </c>
      <c r="M123" s="252">
        <f t="shared" si="78"/>
        <v>3.0359440000000002</v>
      </c>
      <c r="N123" s="94">
        <f t="shared" si="71"/>
        <v>0</v>
      </c>
      <c r="O123" s="95" t="s">
        <v>479</v>
      </c>
      <c r="P123" s="242" t="s">
        <v>129</v>
      </c>
      <c r="Q123" s="168">
        <f t="shared" si="74"/>
        <v>0</v>
      </c>
      <c r="R123" s="75">
        <f t="shared" si="74"/>
        <v>0</v>
      </c>
      <c r="S123" s="75">
        <f t="shared" si="65"/>
        <v>-9.9120248351708337E-3</v>
      </c>
      <c r="T123" s="137">
        <f t="shared" si="65"/>
        <v>-9.9120248351708337E-3</v>
      </c>
      <c r="U123" s="75">
        <f t="shared" si="65"/>
        <v>0</v>
      </c>
      <c r="V123" s="75">
        <f t="shared" si="65"/>
        <v>0</v>
      </c>
      <c r="W123" s="169">
        <v>0</v>
      </c>
      <c r="X123" s="248">
        <v>0</v>
      </c>
      <c r="Y123" s="250">
        <v>-3.0359440000000002</v>
      </c>
      <c r="Z123" s="134">
        <v>-3.0359440000000002</v>
      </c>
      <c r="AA123" s="207">
        <v>0</v>
      </c>
      <c r="AB123" s="207">
        <v>0</v>
      </c>
      <c r="AC123" s="176">
        <v>-3.027876</v>
      </c>
      <c r="AD123" s="176">
        <f t="shared" si="76"/>
        <v>3.027876</v>
      </c>
      <c r="AE123" s="49" t="s">
        <v>1159</v>
      </c>
    </row>
    <row r="124" spans="1:31" s="1" customFormat="1" ht="172.5" customHeight="1" outlineLevel="1" x14ac:dyDescent="0.25">
      <c r="A124" s="205"/>
      <c r="B124" s="234"/>
      <c r="C124" s="63">
        <v>44273</v>
      </c>
      <c r="D124" s="48" t="s">
        <v>958</v>
      </c>
      <c r="E124" s="49" t="s">
        <v>1250</v>
      </c>
      <c r="F124" s="124">
        <f t="shared" si="77"/>
        <v>0</v>
      </c>
      <c r="G124" s="52">
        <f t="shared" si="67"/>
        <v>0</v>
      </c>
      <c r="H124" s="52">
        <f t="shared" si="55"/>
        <v>3.019496140020915E-4</v>
      </c>
      <c r="I124" s="52">
        <f t="shared" si="63"/>
        <v>0</v>
      </c>
      <c r="J124" s="53">
        <f t="shared" si="68"/>
        <v>9.2483839999999997</v>
      </c>
      <c r="K124" s="165">
        <f t="shared" si="78"/>
        <v>0</v>
      </c>
      <c r="L124" s="252">
        <f t="shared" si="78"/>
        <v>0</v>
      </c>
      <c r="M124" s="252">
        <f t="shared" si="78"/>
        <v>9.2483839999999997</v>
      </c>
      <c r="N124" s="94">
        <f t="shared" si="71"/>
        <v>0</v>
      </c>
      <c r="O124" s="95" t="s">
        <v>479</v>
      </c>
      <c r="P124" s="242" t="s">
        <v>129</v>
      </c>
      <c r="Q124" s="168">
        <f t="shared" si="74"/>
        <v>0</v>
      </c>
      <c r="R124" s="75">
        <f t="shared" si="74"/>
        <v>0</v>
      </c>
      <c r="S124" s="75">
        <f t="shared" si="65"/>
        <v>-3.019496140020915E-2</v>
      </c>
      <c r="T124" s="137">
        <f t="shared" si="65"/>
        <v>0</v>
      </c>
      <c r="U124" s="75">
        <f t="shared" si="65"/>
        <v>0</v>
      </c>
      <c r="V124" s="75">
        <f t="shared" si="65"/>
        <v>0</v>
      </c>
      <c r="W124" s="169">
        <v>0</v>
      </c>
      <c r="X124" s="248">
        <v>0</v>
      </c>
      <c r="Y124" s="250">
        <v>-9.2483839999999997</v>
      </c>
      <c r="Z124" s="134">
        <v>0</v>
      </c>
      <c r="AA124" s="207">
        <v>0</v>
      </c>
      <c r="AB124" s="207">
        <v>0</v>
      </c>
      <c r="AC124" s="176">
        <f>-6.446444-2.431635-0.039496-0.04474-0.28547</f>
        <v>-9.2477850000000004</v>
      </c>
      <c r="AD124" s="176">
        <f t="shared" si="76"/>
        <v>9.2477850000000004</v>
      </c>
      <c r="AE124" s="49" t="s">
        <v>1251</v>
      </c>
    </row>
    <row r="125" spans="1:31" s="1" customFormat="1" ht="57.75" customHeight="1" outlineLevel="1" x14ac:dyDescent="0.25">
      <c r="A125" s="205"/>
      <c r="B125" s="234"/>
      <c r="C125" s="63">
        <v>44279</v>
      </c>
      <c r="D125" s="48" t="s">
        <v>958</v>
      </c>
      <c r="E125" s="49" t="s">
        <v>1292</v>
      </c>
      <c r="F125" s="124">
        <f t="shared" si="77"/>
        <v>0</v>
      </c>
      <c r="G125" s="52">
        <f t="shared" si="67"/>
        <v>0</v>
      </c>
      <c r="H125" s="52">
        <f t="shared" si="55"/>
        <v>3.9278363546978389E-5</v>
      </c>
      <c r="I125" s="52">
        <f t="shared" si="63"/>
        <v>0</v>
      </c>
      <c r="J125" s="53">
        <f t="shared" si="68"/>
        <v>1.2030529999999999</v>
      </c>
      <c r="K125" s="165">
        <f t="shared" si="78"/>
        <v>0</v>
      </c>
      <c r="L125" s="252">
        <f t="shared" si="78"/>
        <v>0</v>
      </c>
      <c r="M125" s="252">
        <f t="shared" si="78"/>
        <v>1.2030529999999999</v>
      </c>
      <c r="N125" s="94">
        <f t="shared" si="71"/>
        <v>0</v>
      </c>
      <c r="O125" s="95" t="s">
        <v>479</v>
      </c>
      <c r="P125" s="242" t="s">
        <v>129</v>
      </c>
      <c r="Q125" s="168">
        <f t="shared" si="74"/>
        <v>0</v>
      </c>
      <c r="R125" s="75">
        <f t="shared" si="74"/>
        <v>0</v>
      </c>
      <c r="S125" s="75">
        <f t="shared" si="65"/>
        <v>-3.9278363546978385E-3</v>
      </c>
      <c r="T125" s="137">
        <f t="shared" si="65"/>
        <v>0</v>
      </c>
      <c r="U125" s="75">
        <f t="shared" si="65"/>
        <v>0</v>
      </c>
      <c r="V125" s="75">
        <f t="shared" si="65"/>
        <v>0</v>
      </c>
      <c r="W125" s="169">
        <v>0</v>
      </c>
      <c r="X125" s="248">
        <v>0</v>
      </c>
      <c r="Y125" s="250">
        <v>-1.2030529999999999</v>
      </c>
      <c r="Z125" s="134">
        <v>0</v>
      </c>
      <c r="AA125" s="207">
        <v>0</v>
      </c>
      <c r="AB125" s="207">
        <v>0</v>
      </c>
      <c r="AC125" s="176">
        <v>-4.1700000000000001E-3</v>
      </c>
      <c r="AD125" s="176">
        <f t="shared" si="76"/>
        <v>4.1700000000000001E-3</v>
      </c>
      <c r="AE125" s="49" t="s">
        <v>1296</v>
      </c>
    </row>
    <row r="126" spans="1:31" s="1" customFormat="1" ht="59.25" customHeight="1" outlineLevel="1" x14ac:dyDescent="0.25">
      <c r="A126" s="205"/>
      <c r="B126" s="234"/>
      <c r="C126" s="63">
        <v>44279</v>
      </c>
      <c r="D126" s="48" t="s">
        <v>958</v>
      </c>
      <c r="E126" s="49" t="s">
        <v>1293</v>
      </c>
      <c r="F126" s="124">
        <f t="shared" si="77"/>
        <v>0</v>
      </c>
      <c r="G126" s="52">
        <f t="shared" si="67"/>
        <v>0</v>
      </c>
      <c r="H126" s="52">
        <f t="shared" si="55"/>
        <v>0</v>
      </c>
      <c r="I126" s="52">
        <f t="shared" si="63"/>
        <v>0</v>
      </c>
      <c r="J126" s="53">
        <f t="shared" si="68"/>
        <v>0</v>
      </c>
      <c r="K126" s="165">
        <f t="shared" si="78"/>
        <v>0</v>
      </c>
      <c r="L126" s="252">
        <f t="shared" si="78"/>
        <v>0</v>
      </c>
      <c r="M126" s="252">
        <f t="shared" si="78"/>
        <v>0</v>
      </c>
      <c r="N126" s="94">
        <f t="shared" si="71"/>
        <v>0</v>
      </c>
      <c r="O126" s="95" t="s">
        <v>479</v>
      </c>
      <c r="P126" s="242" t="s">
        <v>129</v>
      </c>
      <c r="Q126" s="168">
        <f t="shared" si="74"/>
        <v>0</v>
      </c>
      <c r="R126" s="75">
        <f t="shared" si="74"/>
        <v>0</v>
      </c>
      <c r="S126" s="75">
        <f t="shared" si="65"/>
        <v>0</v>
      </c>
      <c r="T126" s="137">
        <f t="shared" si="65"/>
        <v>0</v>
      </c>
      <c r="U126" s="75">
        <f t="shared" si="65"/>
        <v>0</v>
      </c>
      <c r="V126" s="75">
        <f t="shared" si="65"/>
        <v>0</v>
      </c>
      <c r="W126" s="169">
        <v>0</v>
      </c>
      <c r="X126" s="248">
        <v>0</v>
      </c>
      <c r="Y126" s="250">
        <v>0</v>
      </c>
      <c r="Z126" s="134">
        <v>0</v>
      </c>
      <c r="AA126" s="207">
        <v>0</v>
      </c>
      <c r="AB126" s="207">
        <v>0</v>
      </c>
      <c r="AC126" s="176">
        <v>-1.6268999999999999E-2</v>
      </c>
      <c r="AD126" s="176">
        <f t="shared" si="76"/>
        <v>1.6268999999999999E-2</v>
      </c>
      <c r="AE126" s="49" t="s">
        <v>1297</v>
      </c>
    </row>
    <row r="127" spans="1:31" s="1" customFormat="1" ht="48" customHeight="1" outlineLevel="1" x14ac:dyDescent="0.25">
      <c r="A127" s="205"/>
      <c r="B127" s="234"/>
      <c r="C127" s="63">
        <v>44300</v>
      </c>
      <c r="D127" s="1551" t="s">
        <v>958</v>
      </c>
      <c r="E127" s="49" t="s">
        <v>1294</v>
      </c>
      <c r="F127" s="124">
        <f t="shared" si="77"/>
        <v>0</v>
      </c>
      <c r="G127" s="52">
        <f t="shared" si="67"/>
        <v>0</v>
      </c>
      <c r="H127" s="52">
        <f t="shared" si="55"/>
        <v>3.3854074409513129E-5</v>
      </c>
      <c r="I127" s="52">
        <f t="shared" si="63"/>
        <v>0</v>
      </c>
      <c r="J127" s="53">
        <f t="shared" si="68"/>
        <v>1.036913</v>
      </c>
      <c r="K127" s="165">
        <f t="shared" si="78"/>
        <v>0</v>
      </c>
      <c r="L127" s="252">
        <f t="shared" si="78"/>
        <v>0</v>
      </c>
      <c r="M127" s="252">
        <f t="shared" si="78"/>
        <v>1.036913</v>
      </c>
      <c r="N127" s="94">
        <f t="shared" si="71"/>
        <v>0</v>
      </c>
      <c r="O127" s="95" t="s">
        <v>479</v>
      </c>
      <c r="P127" s="242" t="s">
        <v>129</v>
      </c>
      <c r="Q127" s="168">
        <f t="shared" si="74"/>
        <v>0</v>
      </c>
      <c r="R127" s="75">
        <f t="shared" si="74"/>
        <v>0</v>
      </c>
      <c r="S127" s="75">
        <f t="shared" si="65"/>
        <v>-3.3854074409513128E-3</v>
      </c>
      <c r="T127" s="137">
        <f t="shared" si="65"/>
        <v>0</v>
      </c>
      <c r="U127" s="75">
        <f t="shared" si="65"/>
        <v>0</v>
      </c>
      <c r="V127" s="75">
        <f t="shared" si="65"/>
        <v>0</v>
      </c>
      <c r="W127" s="169">
        <v>0</v>
      </c>
      <c r="X127" s="248">
        <v>0</v>
      </c>
      <c r="Y127" s="250">
        <v>-1.036913</v>
      </c>
      <c r="Z127" s="134">
        <v>0</v>
      </c>
      <c r="AA127" s="207">
        <v>0</v>
      </c>
      <c r="AB127" s="207">
        <v>0</v>
      </c>
      <c r="AC127" s="176">
        <v>0</v>
      </c>
      <c r="AD127" s="176">
        <f t="shared" si="76"/>
        <v>0</v>
      </c>
      <c r="AE127" s="49" t="s">
        <v>1298</v>
      </c>
    </row>
    <row r="128" spans="1:31" s="1" customFormat="1" ht="55.5" customHeight="1" outlineLevel="1" x14ac:dyDescent="0.25">
      <c r="A128" s="205"/>
      <c r="B128" s="234"/>
      <c r="C128" s="63">
        <v>44300</v>
      </c>
      <c r="D128" s="1552"/>
      <c r="E128" s="49" t="s">
        <v>1295</v>
      </c>
      <c r="F128" s="124">
        <f t="shared" si="77"/>
        <v>0</v>
      </c>
      <c r="G128" s="52">
        <f t="shared" si="67"/>
        <v>0</v>
      </c>
      <c r="H128" s="52">
        <f t="shared" si="55"/>
        <v>1.4857263113985552E-4</v>
      </c>
      <c r="I128" s="52">
        <f t="shared" si="63"/>
        <v>0</v>
      </c>
      <c r="J128" s="53">
        <f t="shared" si="68"/>
        <v>4.5506159999999998</v>
      </c>
      <c r="K128" s="165">
        <f t="shared" si="78"/>
        <v>0</v>
      </c>
      <c r="L128" s="252">
        <f t="shared" si="78"/>
        <v>0</v>
      </c>
      <c r="M128" s="252">
        <f t="shared" si="78"/>
        <v>4.5506159999999998</v>
      </c>
      <c r="N128" s="94">
        <f t="shared" si="71"/>
        <v>0</v>
      </c>
      <c r="O128" s="95" t="s">
        <v>1004</v>
      </c>
      <c r="P128" s="242" t="s">
        <v>129</v>
      </c>
      <c r="Q128" s="168">
        <f t="shared" si="74"/>
        <v>0</v>
      </c>
      <c r="R128" s="75">
        <f t="shared" si="74"/>
        <v>0</v>
      </c>
      <c r="S128" s="75">
        <f t="shared" si="65"/>
        <v>-1.4857263113985553E-2</v>
      </c>
      <c r="T128" s="137">
        <f t="shared" si="65"/>
        <v>0</v>
      </c>
      <c r="U128" s="75">
        <f t="shared" si="65"/>
        <v>0</v>
      </c>
      <c r="V128" s="75">
        <f t="shared" si="65"/>
        <v>0</v>
      </c>
      <c r="W128" s="169">
        <v>0</v>
      </c>
      <c r="X128" s="248">
        <v>0</v>
      </c>
      <c r="Y128" s="250">
        <v>-4.5506159999999998</v>
      </c>
      <c r="Z128" s="134">
        <v>0</v>
      </c>
      <c r="AA128" s="207">
        <v>0</v>
      </c>
      <c r="AB128" s="207">
        <v>0</v>
      </c>
      <c r="AC128" s="176">
        <v>0</v>
      </c>
      <c r="AD128" s="176">
        <f t="shared" si="76"/>
        <v>0</v>
      </c>
      <c r="AE128" s="49" t="s">
        <v>1299</v>
      </c>
    </row>
    <row r="129" spans="1:31" s="1" customFormat="1" ht="148.5" customHeight="1" outlineLevel="1" x14ac:dyDescent="0.25">
      <c r="A129" s="205"/>
      <c r="B129" s="234"/>
      <c r="C129" s="63">
        <v>44306</v>
      </c>
      <c r="D129" s="233" t="s">
        <v>1382</v>
      </c>
      <c r="E129" s="49" t="s">
        <v>1383</v>
      </c>
      <c r="F129" s="124"/>
      <c r="G129" s="52">
        <f t="shared" si="67"/>
        <v>0</v>
      </c>
      <c r="H129" s="52">
        <f t="shared" si="55"/>
        <v>1.7058303108246715E-3</v>
      </c>
      <c r="I129" s="52">
        <f t="shared" si="63"/>
        <v>0</v>
      </c>
      <c r="J129" s="53">
        <f t="shared" si="68"/>
        <v>52.247703000000001</v>
      </c>
      <c r="K129" s="94">
        <f t="shared" si="78"/>
        <v>0</v>
      </c>
      <c r="L129" s="252">
        <f t="shared" si="78"/>
        <v>0</v>
      </c>
      <c r="M129" s="252">
        <f t="shared" si="78"/>
        <v>52.247703000000001</v>
      </c>
      <c r="N129" s="94">
        <f t="shared" si="71"/>
        <v>0</v>
      </c>
      <c r="O129" s="95" t="s">
        <v>479</v>
      </c>
      <c r="P129" s="242" t="s">
        <v>129</v>
      </c>
      <c r="Q129" s="75">
        <f t="shared" si="74"/>
        <v>0</v>
      </c>
      <c r="R129" s="75">
        <f t="shared" si="74"/>
        <v>0</v>
      </c>
      <c r="S129" s="75">
        <f t="shared" si="74"/>
        <v>-0.17058303108246714</v>
      </c>
      <c r="T129" s="256">
        <f t="shared" si="74"/>
        <v>0</v>
      </c>
      <c r="U129" s="75">
        <f t="shared" si="74"/>
        <v>0</v>
      </c>
      <c r="V129" s="75">
        <f t="shared" si="74"/>
        <v>0</v>
      </c>
      <c r="W129" s="207">
        <v>0</v>
      </c>
      <c r="X129" s="248">
        <v>0</v>
      </c>
      <c r="Y129" s="250">
        <v>-52.247703000000001</v>
      </c>
      <c r="Z129" s="257">
        <v>0</v>
      </c>
      <c r="AA129" s="207">
        <v>0</v>
      </c>
      <c r="AB129" s="207">
        <v>0</v>
      </c>
      <c r="AC129" s="176">
        <v>0</v>
      </c>
      <c r="AD129" s="176">
        <f t="shared" si="76"/>
        <v>0</v>
      </c>
      <c r="AE129" s="49" t="s">
        <v>1384</v>
      </c>
    </row>
    <row r="130" spans="1:31" s="1" customFormat="1" ht="55.5" customHeight="1" outlineLevel="1" x14ac:dyDescent="0.25">
      <c r="A130" s="205"/>
      <c r="B130" s="234"/>
      <c r="C130" s="63">
        <v>44306</v>
      </c>
      <c r="D130" s="233" t="s">
        <v>1382</v>
      </c>
      <c r="E130" s="49" t="s">
        <v>1383</v>
      </c>
      <c r="F130" s="124"/>
      <c r="G130" s="52">
        <f t="shared" si="67"/>
        <v>0</v>
      </c>
      <c r="H130" s="52">
        <f t="shared" si="55"/>
        <v>3.325330222836707E-3</v>
      </c>
      <c r="I130" s="52">
        <f t="shared" si="63"/>
        <v>0</v>
      </c>
      <c r="J130" s="53">
        <f t="shared" si="68"/>
        <v>101.851201</v>
      </c>
      <c r="K130" s="94">
        <f t="shared" si="78"/>
        <v>0</v>
      </c>
      <c r="L130" s="252">
        <f t="shared" si="78"/>
        <v>0</v>
      </c>
      <c r="M130" s="252">
        <f t="shared" si="78"/>
        <v>101.851201</v>
      </c>
      <c r="N130" s="94">
        <f t="shared" si="71"/>
        <v>0</v>
      </c>
      <c r="O130" s="95" t="s">
        <v>479</v>
      </c>
      <c r="P130" s="242" t="s">
        <v>129</v>
      </c>
      <c r="Q130" s="75">
        <f t="shared" si="74"/>
        <v>0</v>
      </c>
      <c r="R130" s="75">
        <f t="shared" si="74"/>
        <v>0</v>
      </c>
      <c r="S130" s="75">
        <f t="shared" si="74"/>
        <v>-0.33253302228367071</v>
      </c>
      <c r="T130" s="256">
        <f t="shared" si="74"/>
        <v>0</v>
      </c>
      <c r="U130" s="75">
        <f t="shared" si="74"/>
        <v>0</v>
      </c>
      <c r="V130" s="75">
        <f t="shared" si="74"/>
        <v>0</v>
      </c>
      <c r="W130" s="207">
        <v>0</v>
      </c>
      <c r="X130" s="248">
        <v>0</v>
      </c>
      <c r="Y130" s="250">
        <v>-101.851201</v>
      </c>
      <c r="Z130" s="257">
        <v>0</v>
      </c>
      <c r="AA130" s="207">
        <v>0</v>
      </c>
      <c r="AB130" s="207">
        <v>0</v>
      </c>
      <c r="AC130" s="176">
        <v>0</v>
      </c>
      <c r="AD130" s="176">
        <f t="shared" si="76"/>
        <v>0</v>
      </c>
      <c r="AE130" s="49" t="s">
        <v>1385</v>
      </c>
    </row>
    <row r="131" spans="1:31" s="1" customFormat="1" ht="55.5" customHeight="1" outlineLevel="1" x14ac:dyDescent="0.25">
      <c r="A131" s="205"/>
      <c r="B131" s="234"/>
      <c r="C131" s="63">
        <v>44313</v>
      </c>
      <c r="D131" s="233" t="s">
        <v>958</v>
      </c>
      <c r="E131" s="49" t="s">
        <v>1386</v>
      </c>
      <c r="F131" s="124"/>
      <c r="G131" s="52">
        <f t="shared" ref="G131:G132" si="79">L131/$R$8</f>
        <v>0</v>
      </c>
      <c r="H131" s="52">
        <f t="shared" ref="H131:H132" si="80">M131/$S$8</f>
        <v>1.7842886341178559E-3</v>
      </c>
      <c r="I131" s="52">
        <f t="shared" ref="I131:I132" si="81">N131/$U$8</f>
        <v>0</v>
      </c>
      <c r="J131" s="53">
        <f t="shared" ref="J131:J132" si="82">L131+M131+N131</f>
        <v>54.650795000000002</v>
      </c>
      <c r="K131" s="94">
        <f t="shared" ref="K131:M132" si="83">-W131</f>
        <v>0</v>
      </c>
      <c r="L131" s="252">
        <f t="shared" ref="L131" si="84">-X131</f>
        <v>0</v>
      </c>
      <c r="M131" s="252">
        <f t="shared" ref="M131" si="85">-Y131</f>
        <v>54.650795000000002</v>
      </c>
      <c r="N131" s="94">
        <f t="shared" ref="N131:N132" si="86">-AA131</f>
        <v>0</v>
      </c>
      <c r="O131" s="95" t="s">
        <v>479</v>
      </c>
      <c r="P131" s="242" t="s">
        <v>129</v>
      </c>
      <c r="Q131" s="75">
        <f t="shared" ref="Q131:V132" si="87">W131/Q$8*100</f>
        <v>0</v>
      </c>
      <c r="R131" s="75">
        <f t="shared" ref="R131" si="88">X131/R$8*100</f>
        <v>0</v>
      </c>
      <c r="S131" s="75">
        <f t="shared" ref="S131" si="89">Y131/S$8*100</f>
        <v>-0.1784288634117856</v>
      </c>
      <c r="T131" s="256">
        <f t="shared" ref="T131" si="90">Z131/T$8*100</f>
        <v>0</v>
      </c>
      <c r="U131" s="75">
        <f t="shared" ref="U131" si="91">AA131/U$8*100</f>
        <v>0</v>
      </c>
      <c r="V131" s="75">
        <f t="shared" ref="V131" si="92">AB131/V$8*100</f>
        <v>0</v>
      </c>
      <c r="W131" s="207">
        <v>0</v>
      </c>
      <c r="X131" s="248">
        <v>0</v>
      </c>
      <c r="Y131" s="250">
        <v>-54.650795000000002</v>
      </c>
      <c r="Z131" s="257">
        <v>0</v>
      </c>
      <c r="AA131" s="207">
        <v>0</v>
      </c>
      <c r="AB131" s="207">
        <v>0</v>
      </c>
      <c r="AC131" s="176">
        <v>0</v>
      </c>
      <c r="AD131" s="176">
        <f t="shared" si="76"/>
        <v>0</v>
      </c>
      <c r="AE131" s="49" t="s">
        <v>1387</v>
      </c>
    </row>
    <row r="132" spans="1:31" s="1" customFormat="1" ht="78" customHeight="1" outlineLevel="1" x14ac:dyDescent="0.25">
      <c r="A132" s="205"/>
      <c r="B132" s="234"/>
      <c r="C132" s="178">
        <v>44334</v>
      </c>
      <c r="D132" s="172" t="s">
        <v>958</v>
      </c>
      <c r="E132" s="49" t="s">
        <v>1413</v>
      </c>
      <c r="F132" s="27">
        <f t="shared" ref="F132" si="93">K132/$Q$8</f>
        <v>0</v>
      </c>
      <c r="G132" s="179">
        <f t="shared" si="79"/>
        <v>0</v>
      </c>
      <c r="H132" s="179">
        <f t="shared" si="80"/>
        <v>1.1960991778552256E-4</v>
      </c>
      <c r="I132" s="179">
        <f t="shared" si="81"/>
        <v>0</v>
      </c>
      <c r="J132" s="175">
        <f t="shared" si="82"/>
        <v>3.6635200000000001</v>
      </c>
      <c r="K132" s="183">
        <f t="shared" si="83"/>
        <v>0</v>
      </c>
      <c r="L132" s="185">
        <f t="shared" si="83"/>
        <v>0</v>
      </c>
      <c r="M132" s="185">
        <f t="shared" si="83"/>
        <v>3.6635200000000001</v>
      </c>
      <c r="N132" s="185">
        <f t="shared" si="86"/>
        <v>0</v>
      </c>
      <c r="O132" s="95" t="s">
        <v>479</v>
      </c>
      <c r="P132" s="186" t="s">
        <v>130</v>
      </c>
      <c r="Q132" s="187">
        <f t="shared" si="87"/>
        <v>0</v>
      </c>
      <c r="R132" s="188">
        <f t="shared" si="87"/>
        <v>0</v>
      </c>
      <c r="S132" s="188">
        <f t="shared" si="87"/>
        <v>-1.1960991778552256E-2</v>
      </c>
      <c r="T132" s="137">
        <f t="shared" si="87"/>
        <v>0</v>
      </c>
      <c r="U132" s="188">
        <f t="shared" si="87"/>
        <v>0</v>
      </c>
      <c r="V132" s="188">
        <f t="shared" si="87"/>
        <v>0</v>
      </c>
      <c r="W132" s="190">
        <v>0</v>
      </c>
      <c r="X132" s="176">
        <v>0</v>
      </c>
      <c r="Y132" s="191">
        <v>-3.6635200000000001</v>
      </c>
      <c r="Z132" s="134">
        <v>0</v>
      </c>
      <c r="AA132" s="176">
        <v>0</v>
      </c>
      <c r="AB132" s="176">
        <v>0</v>
      </c>
      <c r="AC132" s="176">
        <v>0</v>
      </c>
      <c r="AD132" s="176">
        <f t="shared" si="66"/>
        <v>0</v>
      </c>
      <c r="AE132" s="177"/>
    </row>
    <row r="133" spans="1:31" ht="60" outlineLevel="1" x14ac:dyDescent="0.25">
      <c r="A133" s="1439">
        <v>3</v>
      </c>
      <c r="B133" s="1441" t="s">
        <v>108</v>
      </c>
      <c r="C133" s="86" t="s">
        <v>648</v>
      </c>
      <c r="D133" s="48" t="s">
        <v>933</v>
      </c>
      <c r="E133" s="49" t="s">
        <v>934</v>
      </c>
      <c r="F133" s="124">
        <f t="shared" si="77"/>
        <v>1.2953394339221111E-5</v>
      </c>
      <c r="G133" s="52">
        <f t="shared" si="67"/>
        <v>1.244998807527264E-5</v>
      </c>
      <c r="H133" s="52">
        <f t="shared" si="55"/>
        <v>0</v>
      </c>
      <c r="I133" s="52">
        <f t="shared" si="63"/>
        <v>0</v>
      </c>
      <c r="J133" s="53">
        <f t="shared" si="68"/>
        <v>0.36520799999999998</v>
      </c>
      <c r="K133" s="165">
        <f t="shared" si="78"/>
        <v>0.36520799999999998</v>
      </c>
      <c r="L133" s="252">
        <f t="shared" si="78"/>
        <v>0.36520799999999998</v>
      </c>
      <c r="M133" s="252">
        <f t="shared" si="78"/>
        <v>0</v>
      </c>
      <c r="N133" s="94">
        <f t="shared" si="71"/>
        <v>0</v>
      </c>
      <c r="O133" s="242" t="s">
        <v>881</v>
      </c>
      <c r="P133" s="242" t="s">
        <v>129</v>
      </c>
      <c r="Q133" s="150">
        <f t="shared" si="74"/>
        <v>-1.2953394339221111E-3</v>
      </c>
      <c r="R133" s="82">
        <f t="shared" si="74"/>
        <v>-1.244998807527264E-3</v>
      </c>
      <c r="S133" s="75">
        <f t="shared" si="65"/>
        <v>0</v>
      </c>
      <c r="T133" s="137">
        <f t="shared" si="65"/>
        <v>0</v>
      </c>
      <c r="U133" s="75">
        <f t="shared" si="65"/>
        <v>0</v>
      </c>
      <c r="V133" s="75">
        <f t="shared" si="65"/>
        <v>0</v>
      </c>
      <c r="W133" s="151">
        <v>-0.36520799999999998</v>
      </c>
      <c r="X133" s="255">
        <v>-0.36520799999999998</v>
      </c>
      <c r="Y133" s="248">
        <v>0</v>
      </c>
      <c r="Z133" s="132">
        <v>0</v>
      </c>
      <c r="AA133" s="207">
        <v>0</v>
      </c>
      <c r="AB133" s="207">
        <v>0</v>
      </c>
      <c r="AC133" s="176">
        <v>0</v>
      </c>
      <c r="AD133" s="176">
        <f t="shared" si="66"/>
        <v>0</v>
      </c>
      <c r="AE133" s="51" t="s">
        <v>935</v>
      </c>
    </row>
    <row r="134" spans="1:31" ht="72" customHeight="1" outlineLevel="1" x14ac:dyDescent="0.25">
      <c r="A134" s="1443"/>
      <c r="B134" s="1444"/>
      <c r="C134" s="86">
        <v>43909</v>
      </c>
      <c r="D134" s="48" t="s">
        <v>109</v>
      </c>
      <c r="E134" s="49" t="s">
        <v>936</v>
      </c>
      <c r="F134" s="124">
        <f t="shared" si="77"/>
        <v>7.2057884656309858E-6</v>
      </c>
      <c r="G134" s="52">
        <f t="shared" si="67"/>
        <v>6.9257507430625555E-6</v>
      </c>
      <c r="H134" s="52">
        <f t="shared" si="55"/>
        <v>0</v>
      </c>
      <c r="I134" s="52">
        <f t="shared" si="63"/>
        <v>0</v>
      </c>
      <c r="J134" s="53">
        <f t="shared" si="68"/>
        <v>0.20316000000000001</v>
      </c>
      <c r="K134" s="165">
        <f t="shared" si="78"/>
        <v>0.20316000000000001</v>
      </c>
      <c r="L134" s="252">
        <f t="shared" si="78"/>
        <v>0.20316000000000001</v>
      </c>
      <c r="M134" s="252">
        <f t="shared" si="78"/>
        <v>0</v>
      </c>
      <c r="N134" s="94">
        <f t="shared" si="71"/>
        <v>0</v>
      </c>
      <c r="O134" s="95" t="s">
        <v>881</v>
      </c>
      <c r="P134" s="242" t="s">
        <v>129</v>
      </c>
      <c r="Q134" s="168">
        <f t="shared" si="74"/>
        <v>-7.2057884656309863E-4</v>
      </c>
      <c r="R134" s="75">
        <f t="shared" si="74"/>
        <v>-6.9257507430625555E-4</v>
      </c>
      <c r="S134" s="75">
        <f t="shared" si="65"/>
        <v>0</v>
      </c>
      <c r="T134" s="137">
        <f t="shared" si="65"/>
        <v>0</v>
      </c>
      <c r="U134" s="75">
        <f t="shared" si="65"/>
        <v>0</v>
      </c>
      <c r="V134" s="75">
        <f t="shared" si="65"/>
        <v>0</v>
      </c>
      <c r="W134" s="169">
        <v>-0.20316000000000001</v>
      </c>
      <c r="X134" s="248">
        <v>-0.20316000000000001</v>
      </c>
      <c r="Y134" s="248">
        <v>0</v>
      </c>
      <c r="Z134" s="132">
        <v>0</v>
      </c>
      <c r="AA134" s="207">
        <v>0</v>
      </c>
      <c r="AB134" s="207">
        <v>0</v>
      </c>
      <c r="AC134" s="176">
        <v>0</v>
      </c>
      <c r="AD134" s="176">
        <f t="shared" si="66"/>
        <v>0</v>
      </c>
      <c r="AE134" s="51" t="s">
        <v>937</v>
      </c>
    </row>
    <row r="135" spans="1:31" ht="77.25" customHeight="1" outlineLevel="1" x14ac:dyDescent="0.25">
      <c r="A135" s="1443"/>
      <c r="B135" s="1444"/>
      <c r="C135" s="86">
        <v>43914</v>
      </c>
      <c r="D135" s="49" t="s">
        <v>110</v>
      </c>
      <c r="E135" s="49" t="s">
        <v>938</v>
      </c>
      <c r="F135" s="124">
        <f t="shared" si="77"/>
        <v>8.2844576860324897E-6</v>
      </c>
      <c r="G135" s="52">
        <f t="shared" si="67"/>
        <v>7.9624997664826104E-6</v>
      </c>
      <c r="H135" s="52">
        <f t="shared" si="55"/>
        <v>0</v>
      </c>
      <c r="I135" s="52">
        <f t="shared" si="63"/>
        <v>0</v>
      </c>
      <c r="J135" s="53">
        <f t="shared" si="68"/>
        <v>0.233572</v>
      </c>
      <c r="K135" s="165">
        <f t="shared" si="78"/>
        <v>0.233572</v>
      </c>
      <c r="L135" s="252">
        <f t="shared" si="78"/>
        <v>0.233572</v>
      </c>
      <c r="M135" s="252">
        <f t="shared" si="78"/>
        <v>0</v>
      </c>
      <c r="N135" s="94">
        <f t="shared" si="71"/>
        <v>0</v>
      </c>
      <c r="O135" s="95" t="s">
        <v>881</v>
      </c>
      <c r="P135" s="242" t="s">
        <v>129</v>
      </c>
      <c r="Q135" s="168">
        <f t="shared" si="74"/>
        <v>-8.28445768603249E-4</v>
      </c>
      <c r="R135" s="75">
        <f t="shared" si="74"/>
        <v>-7.9624997664826103E-4</v>
      </c>
      <c r="S135" s="75">
        <f t="shared" si="65"/>
        <v>0</v>
      </c>
      <c r="T135" s="137">
        <f t="shared" si="65"/>
        <v>0</v>
      </c>
      <c r="U135" s="75">
        <f t="shared" si="65"/>
        <v>0</v>
      </c>
      <c r="V135" s="75">
        <f t="shared" si="65"/>
        <v>0</v>
      </c>
      <c r="W135" s="169">
        <v>-0.233572</v>
      </c>
      <c r="X135" s="248">
        <v>-0.233572</v>
      </c>
      <c r="Y135" s="248">
        <v>0</v>
      </c>
      <c r="Z135" s="132">
        <v>0</v>
      </c>
      <c r="AA135" s="207">
        <v>0</v>
      </c>
      <c r="AB135" s="207">
        <v>0</v>
      </c>
      <c r="AC135" s="176">
        <v>0</v>
      </c>
      <c r="AD135" s="176">
        <f t="shared" si="66"/>
        <v>0</v>
      </c>
      <c r="AE135" s="51" t="s">
        <v>120</v>
      </c>
    </row>
    <row r="136" spans="1:31" ht="77.25" customHeight="1" outlineLevel="1" x14ac:dyDescent="0.25">
      <c r="A136" s="1443"/>
      <c r="B136" s="1444"/>
      <c r="C136" s="63">
        <v>44082</v>
      </c>
      <c r="D136" s="48" t="s">
        <v>939</v>
      </c>
      <c r="E136" s="49" t="s">
        <v>940</v>
      </c>
      <c r="F136" s="124">
        <f t="shared" si="77"/>
        <v>7.0937078811094566E-6</v>
      </c>
      <c r="G136" s="52">
        <f t="shared" si="67"/>
        <v>6.8136623967188371E-6</v>
      </c>
      <c r="H136" s="52">
        <f t="shared" si="55"/>
        <v>9.1416935024092434E-5</v>
      </c>
      <c r="I136" s="52">
        <f t="shared" si="63"/>
        <v>0</v>
      </c>
      <c r="J136" s="53">
        <f t="shared" si="68"/>
        <v>2.9998719999999999</v>
      </c>
      <c r="K136" s="165">
        <f t="shared" si="78"/>
        <v>0.2</v>
      </c>
      <c r="L136" s="252">
        <f t="shared" si="78"/>
        <v>0.19987199999999999</v>
      </c>
      <c r="M136" s="252">
        <f t="shared" si="78"/>
        <v>2.8</v>
      </c>
      <c r="N136" s="94">
        <f t="shared" si="71"/>
        <v>0</v>
      </c>
      <c r="O136" s="95" t="s">
        <v>881</v>
      </c>
      <c r="P136" s="242" t="s">
        <v>129</v>
      </c>
      <c r="Q136" s="168">
        <f t="shared" si="74"/>
        <v>-7.0937078811094561E-4</v>
      </c>
      <c r="R136" s="75">
        <f t="shared" si="74"/>
        <v>-6.8136623967188367E-4</v>
      </c>
      <c r="S136" s="75">
        <f t="shared" si="65"/>
        <v>-9.1416935024092438E-3</v>
      </c>
      <c r="T136" s="137">
        <f t="shared" si="65"/>
        <v>-9.1416935024092438E-3</v>
      </c>
      <c r="U136" s="75">
        <f t="shared" si="65"/>
        <v>0</v>
      </c>
      <c r="V136" s="75">
        <f t="shared" si="65"/>
        <v>0</v>
      </c>
      <c r="W136" s="169">
        <v>-0.2</v>
      </c>
      <c r="X136" s="248">
        <v>-0.19987199999999999</v>
      </c>
      <c r="Y136" s="248">
        <v>-2.8</v>
      </c>
      <c r="Z136" s="132">
        <v>-2.8</v>
      </c>
      <c r="AA136" s="207">
        <v>0</v>
      </c>
      <c r="AB136" s="207">
        <v>0</v>
      </c>
      <c r="AC136" s="176">
        <f>-1.539693</f>
        <v>-1.539693</v>
      </c>
      <c r="AD136" s="176">
        <f t="shared" si="66"/>
        <v>1.539693</v>
      </c>
      <c r="AE136" s="51" t="s">
        <v>941</v>
      </c>
    </row>
    <row r="137" spans="1:31" ht="72.75" customHeight="1" outlineLevel="1" x14ac:dyDescent="0.25">
      <c r="A137" s="1443"/>
      <c r="B137" s="1444"/>
      <c r="C137" s="63">
        <v>44159</v>
      </c>
      <c r="D137" s="48" t="s">
        <v>464</v>
      </c>
      <c r="E137" s="49" t="s">
        <v>942</v>
      </c>
      <c r="F137" s="124">
        <f t="shared" si="77"/>
        <v>3.912101865645173E-5</v>
      </c>
      <c r="G137" s="52">
        <f t="shared" si="67"/>
        <v>3.7600663039385961E-5</v>
      </c>
      <c r="H137" s="52">
        <f t="shared" si="55"/>
        <v>0</v>
      </c>
      <c r="I137" s="52">
        <f t="shared" si="63"/>
        <v>0</v>
      </c>
      <c r="J137" s="53">
        <f t="shared" si="68"/>
        <v>1.102978</v>
      </c>
      <c r="K137" s="165">
        <f t="shared" si="78"/>
        <v>1.102978</v>
      </c>
      <c r="L137" s="252">
        <f t="shared" si="78"/>
        <v>1.102978</v>
      </c>
      <c r="M137" s="252">
        <f t="shared" si="78"/>
        <v>0</v>
      </c>
      <c r="N137" s="94">
        <f t="shared" si="71"/>
        <v>0</v>
      </c>
      <c r="O137" s="95" t="s">
        <v>881</v>
      </c>
      <c r="P137" s="242" t="s">
        <v>130</v>
      </c>
      <c r="Q137" s="168">
        <f t="shared" si="74"/>
        <v>-3.912101865645173E-3</v>
      </c>
      <c r="R137" s="75">
        <f t="shared" si="74"/>
        <v>-3.7600663039385959E-3</v>
      </c>
      <c r="S137" s="75">
        <f t="shared" si="65"/>
        <v>0</v>
      </c>
      <c r="T137" s="137">
        <f t="shared" si="65"/>
        <v>0</v>
      </c>
      <c r="U137" s="75">
        <f t="shared" si="65"/>
        <v>0</v>
      </c>
      <c r="V137" s="75">
        <f t="shared" si="65"/>
        <v>0</v>
      </c>
      <c r="W137" s="169">
        <v>-1.102978</v>
      </c>
      <c r="X137" s="248">
        <v>-1.102978</v>
      </c>
      <c r="Y137" s="248">
        <v>0</v>
      </c>
      <c r="Z137" s="132">
        <v>0</v>
      </c>
      <c r="AA137" s="207">
        <v>0</v>
      </c>
      <c r="AB137" s="207">
        <v>0</v>
      </c>
      <c r="AC137" s="176">
        <v>0</v>
      </c>
      <c r="AD137" s="176">
        <f t="shared" si="66"/>
        <v>0</v>
      </c>
      <c r="AE137" s="51" t="s">
        <v>120</v>
      </c>
    </row>
    <row r="138" spans="1:31" ht="121.5" customHeight="1" outlineLevel="1" x14ac:dyDescent="0.25">
      <c r="A138" s="1443"/>
      <c r="B138" s="1444"/>
      <c r="C138" s="63">
        <v>44224</v>
      </c>
      <c r="D138" s="48" t="s">
        <v>943</v>
      </c>
      <c r="E138" s="49" t="s">
        <v>944</v>
      </c>
      <c r="F138" s="124">
        <f t="shared" si="77"/>
        <v>0</v>
      </c>
      <c r="G138" s="52">
        <f t="shared" si="67"/>
        <v>0</v>
      </c>
      <c r="H138" s="52">
        <f t="shared" si="55"/>
        <v>2.0699464769913446E-4</v>
      </c>
      <c r="I138" s="52">
        <f t="shared" si="63"/>
        <v>0</v>
      </c>
      <c r="J138" s="53">
        <f t="shared" si="68"/>
        <v>6.3400179999999997</v>
      </c>
      <c r="K138" s="165">
        <f t="shared" si="78"/>
        <v>0</v>
      </c>
      <c r="L138" s="252">
        <f t="shared" si="78"/>
        <v>0</v>
      </c>
      <c r="M138" s="252">
        <f t="shared" si="78"/>
        <v>6.3400179999999997</v>
      </c>
      <c r="N138" s="94">
        <f t="shared" si="71"/>
        <v>0</v>
      </c>
      <c r="O138" s="95" t="s">
        <v>881</v>
      </c>
      <c r="P138" s="242" t="s">
        <v>130</v>
      </c>
      <c r="Q138" s="168">
        <f t="shared" si="74"/>
        <v>0</v>
      </c>
      <c r="R138" s="75">
        <f t="shared" si="74"/>
        <v>0</v>
      </c>
      <c r="S138" s="75">
        <f t="shared" si="65"/>
        <v>-2.0699464769913446E-2</v>
      </c>
      <c r="T138" s="137">
        <f t="shared" si="65"/>
        <v>-2.0699464769913446E-2</v>
      </c>
      <c r="U138" s="75">
        <f t="shared" si="65"/>
        <v>0</v>
      </c>
      <c r="V138" s="75">
        <f t="shared" si="65"/>
        <v>0</v>
      </c>
      <c r="W138" s="169">
        <v>0</v>
      </c>
      <c r="X138" s="248">
        <v>0</v>
      </c>
      <c r="Y138" s="248">
        <v>-6.3400179999999997</v>
      </c>
      <c r="Z138" s="132">
        <v>-6.3400179999999997</v>
      </c>
      <c r="AA138" s="207">
        <v>0</v>
      </c>
      <c r="AB138" s="207">
        <v>0</v>
      </c>
      <c r="AC138" s="176">
        <f>-6.332491-0.004227-0.0006-0.003478</f>
        <v>-6.340796000000001</v>
      </c>
      <c r="AD138" s="176">
        <f t="shared" si="66"/>
        <v>6.340796000000001</v>
      </c>
      <c r="AE138" s="51" t="s">
        <v>945</v>
      </c>
    </row>
    <row r="139" spans="1:31" ht="121.5" customHeight="1" outlineLevel="1" x14ac:dyDescent="0.25">
      <c r="A139" s="1443"/>
      <c r="B139" s="1444"/>
      <c r="C139" s="63">
        <v>44250</v>
      </c>
      <c r="D139" s="48" t="s">
        <v>1252</v>
      </c>
      <c r="E139" s="49" t="s">
        <v>1124</v>
      </c>
      <c r="F139" s="124">
        <f t="shared" si="77"/>
        <v>0</v>
      </c>
      <c r="G139" s="52">
        <f t="shared" si="67"/>
        <v>0</v>
      </c>
      <c r="H139" s="52">
        <f t="shared" si="55"/>
        <v>4.0196927439881542E-4</v>
      </c>
      <c r="I139" s="52">
        <f t="shared" si="63"/>
        <v>0</v>
      </c>
      <c r="J139" s="53">
        <f t="shared" si="68"/>
        <v>12.311876</v>
      </c>
      <c r="K139" s="165">
        <f t="shared" si="78"/>
        <v>0</v>
      </c>
      <c r="L139" s="252">
        <f>-X139</f>
        <v>0</v>
      </c>
      <c r="M139" s="252">
        <f t="shared" si="78"/>
        <v>12.311876</v>
      </c>
      <c r="N139" s="94">
        <f t="shared" si="71"/>
        <v>0</v>
      </c>
      <c r="O139" s="95" t="s">
        <v>881</v>
      </c>
      <c r="P139" s="242" t="s">
        <v>1119</v>
      </c>
      <c r="Q139" s="168">
        <f t="shared" si="74"/>
        <v>0</v>
      </c>
      <c r="R139" s="75">
        <f t="shared" si="74"/>
        <v>0</v>
      </c>
      <c r="S139" s="75">
        <f t="shared" si="65"/>
        <v>-4.0196927439881541E-2</v>
      </c>
      <c r="T139" s="137">
        <f t="shared" si="65"/>
        <v>-4.0196927439881541E-2</v>
      </c>
      <c r="U139" s="75">
        <f t="shared" si="65"/>
        <v>0</v>
      </c>
      <c r="V139" s="75">
        <f t="shared" si="65"/>
        <v>0</v>
      </c>
      <c r="W139" s="169">
        <v>0</v>
      </c>
      <c r="X139" s="248">
        <v>0</v>
      </c>
      <c r="Y139" s="248">
        <v>-12.311876</v>
      </c>
      <c r="Z139" s="132">
        <v>-12.311876</v>
      </c>
      <c r="AA139" s="207">
        <v>0</v>
      </c>
      <c r="AB139" s="207">
        <v>0</v>
      </c>
      <c r="AC139" s="176">
        <f>-11.976984-0.00031-0.004883-0.041036-0.003084-0.000527-0.002138-0.003387-0.002602-0.000484-0.000286-0.000311-0.000265-0.000258-0.000888-0.023758-0.002012-0.000132-0.003996-0.008277-0.0031-0.03268-0.000498-0.016912-0.000941-0.00204-0.000977-0.001297-0.001803-0.007091-0.001458-0.014874-0.006361-0.002803-0.007609-0.001589-0.001307-0.000739-0.001558-0.001474-0.014912-0.02645-0.016353-0.092531-0.012403</f>
        <v>-12.345378000000002</v>
      </c>
      <c r="AD139" s="176">
        <f t="shared" si="66"/>
        <v>12.345378000000002</v>
      </c>
      <c r="AE139" s="51" t="s">
        <v>1125</v>
      </c>
    </row>
    <row r="140" spans="1:31" ht="121.5" customHeight="1" outlineLevel="1" x14ac:dyDescent="0.25">
      <c r="A140" s="1440"/>
      <c r="B140" s="1442"/>
      <c r="C140" s="63">
        <v>44294</v>
      </c>
      <c r="D140" s="48" t="s">
        <v>958</v>
      </c>
      <c r="E140" s="49" t="s">
        <v>1300</v>
      </c>
      <c r="F140" s="124">
        <f t="shared" si="77"/>
        <v>0</v>
      </c>
      <c r="G140" s="52">
        <f t="shared" si="67"/>
        <v>0</v>
      </c>
      <c r="H140" s="52">
        <f t="shared" si="55"/>
        <v>6.9133012346998211E-5</v>
      </c>
      <c r="I140" s="52">
        <f t="shared" si="63"/>
        <v>0</v>
      </c>
      <c r="J140" s="53">
        <f t="shared" si="68"/>
        <v>2.1174680000000001</v>
      </c>
      <c r="K140" s="165">
        <f t="shared" si="78"/>
        <v>0</v>
      </c>
      <c r="L140" s="252">
        <f>-X140</f>
        <v>0</v>
      </c>
      <c r="M140" s="252">
        <f t="shared" si="78"/>
        <v>2.1174680000000001</v>
      </c>
      <c r="N140" s="94">
        <f t="shared" si="71"/>
        <v>0</v>
      </c>
      <c r="O140" s="95" t="s">
        <v>881</v>
      </c>
      <c r="P140" s="242" t="s">
        <v>127</v>
      </c>
      <c r="Q140" s="168">
        <f t="shared" si="74"/>
        <v>0</v>
      </c>
      <c r="R140" s="75">
        <f t="shared" si="74"/>
        <v>0</v>
      </c>
      <c r="S140" s="75">
        <f t="shared" si="65"/>
        <v>-6.9133012346998214E-3</v>
      </c>
      <c r="T140" s="137">
        <f t="shared" si="65"/>
        <v>0</v>
      </c>
      <c r="U140" s="75">
        <f t="shared" si="65"/>
        <v>0</v>
      </c>
      <c r="V140" s="75">
        <f t="shared" si="65"/>
        <v>0</v>
      </c>
      <c r="W140" s="169">
        <v>0</v>
      </c>
      <c r="X140" s="248">
        <v>0</v>
      </c>
      <c r="Y140" s="248">
        <v>-2.1174680000000001</v>
      </c>
      <c r="Z140" s="132">
        <v>0</v>
      </c>
      <c r="AA140" s="207">
        <v>0</v>
      </c>
      <c r="AB140" s="207">
        <v>0</v>
      </c>
      <c r="AC140" s="176">
        <f>-0.010089-0.49849-0.027541-0.0003-0.027987-0.011974-0.000336-0.0003-0.018075-0.035114-0.026037-0.044724-0.032124-0.00524-0.025644-0.015609-0.054371-0.085301-0.589985</f>
        <v>-1.5092409999999998</v>
      </c>
      <c r="AD140" s="176">
        <f t="shared" si="66"/>
        <v>1.5092409999999998</v>
      </c>
      <c r="AE140" s="51" t="s">
        <v>1301</v>
      </c>
    </row>
    <row r="141" spans="1:31" ht="61.5" customHeight="1" outlineLevel="1" x14ac:dyDescent="0.25">
      <c r="A141" s="1439">
        <v>4</v>
      </c>
      <c r="B141" s="1441" t="s">
        <v>946</v>
      </c>
      <c r="C141" s="86" t="s">
        <v>704</v>
      </c>
      <c r="D141" s="89" t="s">
        <v>10</v>
      </c>
      <c r="E141" s="49" t="s">
        <v>111</v>
      </c>
      <c r="F141" s="124">
        <f t="shared" si="77"/>
        <v>2.2345179825494785E-6</v>
      </c>
      <c r="G141" s="52">
        <f t="shared" si="67"/>
        <v>2.1476781689945905E-6</v>
      </c>
      <c r="H141" s="52">
        <f t="shared" si="55"/>
        <v>2.7751569560885207E-6</v>
      </c>
      <c r="I141" s="52">
        <f t="shared" si="63"/>
        <v>0</v>
      </c>
      <c r="J141" s="53">
        <f t="shared" si="68"/>
        <v>0.14800000000000002</v>
      </c>
      <c r="K141" s="165">
        <f t="shared" si="78"/>
        <v>6.3E-2</v>
      </c>
      <c r="L141" s="252">
        <f>-X141</f>
        <v>6.3E-2</v>
      </c>
      <c r="M141" s="252">
        <f t="shared" si="78"/>
        <v>8.5000000000000006E-2</v>
      </c>
      <c r="N141" s="94">
        <f t="shared" si="71"/>
        <v>0</v>
      </c>
      <c r="O141" s="242" t="s">
        <v>483</v>
      </c>
      <c r="P141" s="242" t="s">
        <v>127</v>
      </c>
      <c r="Q141" s="168">
        <f t="shared" si="74"/>
        <v>-2.2345179825494785E-4</v>
      </c>
      <c r="R141" s="75">
        <f t="shared" si="74"/>
        <v>-2.1476781689945906E-4</v>
      </c>
      <c r="S141" s="75">
        <f t="shared" si="65"/>
        <v>-2.7751569560885208E-4</v>
      </c>
      <c r="T141" s="137">
        <f t="shared" si="65"/>
        <v>-2.7751569560885208E-4</v>
      </c>
      <c r="U141" s="75">
        <f t="shared" si="65"/>
        <v>0</v>
      </c>
      <c r="V141" s="75">
        <f t="shared" si="65"/>
        <v>0</v>
      </c>
      <c r="W141" s="169">
        <v>-6.3E-2</v>
      </c>
      <c r="X141" s="248">
        <v>-6.3E-2</v>
      </c>
      <c r="Y141" s="248">
        <v>-8.5000000000000006E-2</v>
      </c>
      <c r="Z141" s="132">
        <v>-8.5000000000000006E-2</v>
      </c>
      <c r="AA141" s="207">
        <v>0</v>
      </c>
      <c r="AB141" s="207">
        <v>0</v>
      </c>
      <c r="AC141" s="176">
        <v>-4.4742999999999998E-2</v>
      </c>
      <c r="AD141" s="176">
        <f t="shared" si="66"/>
        <v>4.4742999999999998E-2</v>
      </c>
      <c r="AE141" s="51" t="s">
        <v>947</v>
      </c>
    </row>
    <row r="142" spans="1:31" ht="95.25" customHeight="1" outlineLevel="1" x14ac:dyDescent="0.25">
      <c r="A142" s="1443"/>
      <c r="B142" s="1444"/>
      <c r="C142" s="86">
        <v>43909</v>
      </c>
      <c r="D142" s="48" t="s">
        <v>948</v>
      </c>
      <c r="E142" s="49" t="s">
        <v>112</v>
      </c>
      <c r="F142" s="124">
        <f t="shared" si="77"/>
        <v>9.1956089948215948E-6</v>
      </c>
      <c r="G142" s="52">
        <f t="shared" si="67"/>
        <v>7.1663929683789486E-6</v>
      </c>
      <c r="H142" s="52">
        <f t="shared" si="55"/>
        <v>0</v>
      </c>
      <c r="I142" s="52">
        <f t="shared" si="63"/>
        <v>0</v>
      </c>
      <c r="J142" s="53">
        <f t="shared" si="68"/>
        <v>0.21021899999999999</v>
      </c>
      <c r="K142" s="165">
        <f t="shared" si="78"/>
        <v>0.25926100000000002</v>
      </c>
      <c r="L142" s="252">
        <f t="shared" si="78"/>
        <v>0.21021899999999999</v>
      </c>
      <c r="M142" s="252">
        <v>0</v>
      </c>
      <c r="N142" s="94">
        <v>0</v>
      </c>
      <c r="O142" s="242" t="s">
        <v>484</v>
      </c>
      <c r="P142" s="242" t="s">
        <v>129</v>
      </c>
      <c r="Q142" s="150">
        <f t="shared" si="74"/>
        <v>-9.1956089948215948E-4</v>
      </c>
      <c r="R142" s="82">
        <f t="shared" si="74"/>
        <v>-7.166392968378949E-4</v>
      </c>
      <c r="S142" s="75">
        <f t="shared" si="65"/>
        <v>0</v>
      </c>
      <c r="T142" s="137">
        <f t="shared" si="65"/>
        <v>0</v>
      </c>
      <c r="U142" s="75">
        <f t="shared" si="65"/>
        <v>0</v>
      </c>
      <c r="V142" s="75">
        <f t="shared" si="65"/>
        <v>0</v>
      </c>
      <c r="W142" s="151">
        <v>-0.25926100000000002</v>
      </c>
      <c r="X142" s="255">
        <v>-0.21021899999999999</v>
      </c>
      <c r="Y142" s="248">
        <v>0</v>
      </c>
      <c r="Z142" s="132">
        <v>0</v>
      </c>
      <c r="AA142" s="207">
        <v>0</v>
      </c>
      <c r="AB142" s="207">
        <v>0</v>
      </c>
      <c r="AC142" s="176">
        <v>0</v>
      </c>
      <c r="AD142" s="176">
        <f t="shared" si="66"/>
        <v>0</v>
      </c>
      <c r="AE142" s="51" t="s">
        <v>949</v>
      </c>
    </row>
    <row r="143" spans="1:31" ht="148.5" customHeight="1" outlineLevel="1" x14ac:dyDescent="0.25">
      <c r="A143" s="1443"/>
      <c r="B143" s="1444"/>
      <c r="C143" s="86">
        <v>43928</v>
      </c>
      <c r="D143" s="48" t="s">
        <v>950</v>
      </c>
      <c r="E143" s="49" t="s">
        <v>145</v>
      </c>
      <c r="F143" s="124">
        <f t="shared" si="77"/>
        <v>3.692019578633752E-5</v>
      </c>
      <c r="G143" s="52">
        <f t="shared" si="67"/>
        <v>3.5456359793228353E-5</v>
      </c>
      <c r="H143" s="52">
        <f t="shared" si="55"/>
        <v>0</v>
      </c>
      <c r="I143" s="52">
        <f t="shared" si="63"/>
        <v>0</v>
      </c>
      <c r="J143" s="53">
        <f t="shared" si="68"/>
        <v>1.0400769999999999</v>
      </c>
      <c r="K143" s="165">
        <f t="shared" si="78"/>
        <v>1.0409280000000001</v>
      </c>
      <c r="L143" s="252">
        <f t="shared" si="78"/>
        <v>1.0400769999999999</v>
      </c>
      <c r="M143" s="252">
        <v>0</v>
      </c>
      <c r="N143" s="94">
        <v>0</v>
      </c>
      <c r="O143" s="242" t="s">
        <v>485</v>
      </c>
      <c r="P143" s="242" t="s">
        <v>127</v>
      </c>
      <c r="Q143" s="150">
        <f t="shared" si="74"/>
        <v>-3.692019578633752E-3</v>
      </c>
      <c r="R143" s="82">
        <f t="shared" si="74"/>
        <v>-3.5456359793228352E-3</v>
      </c>
      <c r="S143" s="75">
        <f t="shared" si="65"/>
        <v>0</v>
      </c>
      <c r="T143" s="137">
        <f t="shared" si="65"/>
        <v>0</v>
      </c>
      <c r="U143" s="75">
        <f t="shared" si="65"/>
        <v>0</v>
      </c>
      <c r="V143" s="75">
        <f t="shared" si="65"/>
        <v>0</v>
      </c>
      <c r="W143" s="151">
        <v>-1.0409280000000001</v>
      </c>
      <c r="X143" s="255">
        <v>-1.0400769999999999</v>
      </c>
      <c r="Y143" s="248">
        <v>0</v>
      </c>
      <c r="Z143" s="132">
        <v>0</v>
      </c>
      <c r="AA143" s="207">
        <v>0</v>
      </c>
      <c r="AB143" s="207">
        <v>0</v>
      </c>
      <c r="AC143" s="176">
        <v>0</v>
      </c>
      <c r="AD143" s="176">
        <f t="shared" si="66"/>
        <v>0</v>
      </c>
      <c r="AE143" s="51" t="s">
        <v>321</v>
      </c>
    </row>
    <row r="144" spans="1:31" ht="90" outlineLevel="1" x14ac:dyDescent="0.25">
      <c r="A144" s="1443"/>
      <c r="B144" s="1444"/>
      <c r="C144" s="86">
        <v>43928</v>
      </c>
      <c r="D144" s="48" t="s">
        <v>950</v>
      </c>
      <c r="E144" s="90" t="s">
        <v>113</v>
      </c>
      <c r="F144" s="124">
        <f t="shared" si="77"/>
        <v>3.5468539405547281E-5</v>
      </c>
      <c r="G144" s="52">
        <f t="shared" si="67"/>
        <v>3.4090129666580798E-5</v>
      </c>
      <c r="H144" s="52">
        <f t="shared" ref="H144:H216" si="94">M144/$S$8</f>
        <v>0</v>
      </c>
      <c r="I144" s="52">
        <f t="shared" si="63"/>
        <v>0</v>
      </c>
      <c r="J144" s="53">
        <f t="shared" si="68"/>
        <v>1</v>
      </c>
      <c r="K144" s="165">
        <f t="shared" si="78"/>
        <v>1</v>
      </c>
      <c r="L144" s="252">
        <f t="shared" si="78"/>
        <v>1</v>
      </c>
      <c r="M144" s="252">
        <f t="shared" si="78"/>
        <v>0</v>
      </c>
      <c r="N144" s="94">
        <f t="shared" ref="N144:N151" si="95">-AA144</f>
        <v>0</v>
      </c>
      <c r="O144" s="242" t="s">
        <v>484</v>
      </c>
      <c r="P144" s="242" t="s">
        <v>127</v>
      </c>
      <c r="Q144" s="150">
        <f t="shared" si="74"/>
        <v>-3.5468539405547278E-3</v>
      </c>
      <c r="R144" s="82">
        <f t="shared" si="74"/>
        <v>-3.4090129666580799E-3</v>
      </c>
      <c r="S144" s="75">
        <f t="shared" si="65"/>
        <v>0</v>
      </c>
      <c r="T144" s="137">
        <f t="shared" si="65"/>
        <v>0</v>
      </c>
      <c r="U144" s="75">
        <f t="shared" si="65"/>
        <v>0</v>
      </c>
      <c r="V144" s="75">
        <f t="shared" si="65"/>
        <v>0</v>
      </c>
      <c r="W144" s="151">
        <v>-1</v>
      </c>
      <c r="X144" s="255">
        <v>-1</v>
      </c>
      <c r="Y144" s="248">
        <v>0</v>
      </c>
      <c r="Z144" s="132">
        <v>0</v>
      </c>
      <c r="AA144" s="207">
        <v>0</v>
      </c>
      <c r="AB144" s="207">
        <v>0</v>
      </c>
      <c r="AC144" s="176">
        <v>0</v>
      </c>
      <c r="AD144" s="176">
        <f t="shared" si="66"/>
        <v>0</v>
      </c>
      <c r="AE144" s="51" t="s">
        <v>951</v>
      </c>
    </row>
    <row r="145" spans="1:31" ht="90" outlineLevel="1" x14ac:dyDescent="0.25">
      <c r="A145" s="1443"/>
      <c r="B145" s="1444"/>
      <c r="C145" s="86">
        <v>43938</v>
      </c>
      <c r="D145" s="91" t="s">
        <v>148</v>
      </c>
      <c r="E145" s="90" t="s">
        <v>149</v>
      </c>
      <c r="F145" s="124">
        <f t="shared" si="77"/>
        <v>5.4945023763921396E-6</v>
      </c>
      <c r="G145" s="52">
        <f t="shared" si="67"/>
        <v>5.2809701669093647E-6</v>
      </c>
      <c r="H145" s="52">
        <f t="shared" si="94"/>
        <v>0</v>
      </c>
      <c r="I145" s="52">
        <f t="shared" si="63"/>
        <v>0</v>
      </c>
      <c r="J145" s="53">
        <f t="shared" si="68"/>
        <v>0.15491199999999999</v>
      </c>
      <c r="K145" s="165">
        <f t="shared" si="78"/>
        <v>0.15491199999999999</v>
      </c>
      <c r="L145" s="252">
        <f t="shared" si="78"/>
        <v>0.15491199999999999</v>
      </c>
      <c r="M145" s="252">
        <f t="shared" si="78"/>
        <v>0</v>
      </c>
      <c r="N145" s="94">
        <f t="shared" si="95"/>
        <v>0</v>
      </c>
      <c r="O145" s="242" t="s">
        <v>485</v>
      </c>
      <c r="P145" s="242" t="s">
        <v>127</v>
      </c>
      <c r="Q145" s="150">
        <f t="shared" si="74"/>
        <v>-5.4945023763921402E-4</v>
      </c>
      <c r="R145" s="82">
        <f t="shared" si="74"/>
        <v>-5.2809701669093644E-4</v>
      </c>
      <c r="S145" s="75">
        <f t="shared" si="65"/>
        <v>0</v>
      </c>
      <c r="T145" s="137">
        <f t="shared" si="65"/>
        <v>0</v>
      </c>
      <c r="U145" s="75">
        <f t="shared" si="65"/>
        <v>0</v>
      </c>
      <c r="V145" s="75">
        <f t="shared" si="65"/>
        <v>0</v>
      </c>
      <c r="W145" s="151">
        <v>-0.15491199999999999</v>
      </c>
      <c r="X145" s="255">
        <v>-0.15491199999999999</v>
      </c>
      <c r="Y145" s="248">
        <v>0</v>
      </c>
      <c r="Z145" s="132">
        <v>0</v>
      </c>
      <c r="AA145" s="207">
        <v>0</v>
      </c>
      <c r="AB145" s="207">
        <v>0</v>
      </c>
      <c r="AC145" s="176">
        <v>0</v>
      </c>
      <c r="AD145" s="176">
        <f t="shared" si="66"/>
        <v>0</v>
      </c>
      <c r="AE145" s="51" t="s">
        <v>120</v>
      </c>
    </row>
    <row r="146" spans="1:31" ht="120" outlineLevel="1" x14ac:dyDescent="0.25">
      <c r="A146" s="1443"/>
      <c r="B146" s="1444"/>
      <c r="C146" s="86">
        <v>44123</v>
      </c>
      <c r="D146" s="48" t="s">
        <v>952</v>
      </c>
      <c r="E146" s="51" t="s">
        <v>391</v>
      </c>
      <c r="F146" s="124">
        <f t="shared" si="77"/>
        <v>1.0970419238135772E-6</v>
      </c>
      <c r="G146" s="52">
        <f t="shared" si="67"/>
        <v>1.0544077105873441E-6</v>
      </c>
      <c r="H146" s="52">
        <f t="shared" si="94"/>
        <v>0</v>
      </c>
      <c r="I146" s="52">
        <f t="shared" si="63"/>
        <v>0</v>
      </c>
      <c r="J146" s="53">
        <f t="shared" si="68"/>
        <v>3.0929999999999999E-2</v>
      </c>
      <c r="K146" s="165">
        <f t="shared" si="78"/>
        <v>3.0929999999999999E-2</v>
      </c>
      <c r="L146" s="252">
        <f t="shared" si="78"/>
        <v>3.0929999999999999E-2</v>
      </c>
      <c r="M146" s="252">
        <f t="shared" si="78"/>
        <v>0</v>
      </c>
      <c r="N146" s="94">
        <f t="shared" si="95"/>
        <v>0</v>
      </c>
      <c r="O146" s="242" t="s">
        <v>484</v>
      </c>
      <c r="P146" s="242" t="s">
        <v>127</v>
      </c>
      <c r="Q146" s="150">
        <f t="shared" si="74"/>
        <v>-1.0970419238135772E-4</v>
      </c>
      <c r="R146" s="82">
        <f t="shared" si="74"/>
        <v>-1.0544077105873441E-4</v>
      </c>
      <c r="S146" s="75">
        <f t="shared" si="65"/>
        <v>0</v>
      </c>
      <c r="T146" s="137">
        <f t="shared" si="65"/>
        <v>0</v>
      </c>
      <c r="U146" s="75">
        <f t="shared" si="65"/>
        <v>0</v>
      </c>
      <c r="V146" s="75">
        <f t="shared" si="65"/>
        <v>0</v>
      </c>
      <c r="W146" s="151">
        <v>-3.0929999999999999E-2</v>
      </c>
      <c r="X146" s="255">
        <v>-3.0929999999999999E-2</v>
      </c>
      <c r="Y146" s="248">
        <v>0</v>
      </c>
      <c r="Z146" s="132">
        <v>0</v>
      </c>
      <c r="AA146" s="207">
        <v>0</v>
      </c>
      <c r="AB146" s="207">
        <v>0</v>
      </c>
      <c r="AC146" s="176">
        <v>0</v>
      </c>
      <c r="AD146" s="176">
        <f t="shared" si="66"/>
        <v>0</v>
      </c>
      <c r="AE146" s="51" t="s">
        <v>953</v>
      </c>
    </row>
    <row r="147" spans="1:31" ht="60" outlineLevel="1" x14ac:dyDescent="0.25">
      <c r="A147" s="1443"/>
      <c r="B147" s="1444"/>
      <c r="C147" s="63" t="s">
        <v>714</v>
      </c>
      <c r="D147" s="48" t="s">
        <v>1253</v>
      </c>
      <c r="E147" s="49" t="s">
        <v>954</v>
      </c>
      <c r="F147" s="124">
        <f t="shared" si="77"/>
        <v>1.5793431226502092E-6</v>
      </c>
      <c r="G147" s="52">
        <f>L147/$Q$8</f>
        <v>0</v>
      </c>
      <c r="H147" s="52">
        <f>M147/$S$8</f>
        <v>1.5328008091111043E-6</v>
      </c>
      <c r="I147" s="52">
        <f t="shared" si="63"/>
        <v>0</v>
      </c>
      <c r="J147" s="53">
        <f t="shared" si="68"/>
        <v>4.6947999999999997E-2</v>
      </c>
      <c r="K147" s="149">
        <f t="shared" si="78"/>
        <v>4.4527999999999998E-2</v>
      </c>
      <c r="L147" s="254">
        <f t="shared" si="78"/>
        <v>0</v>
      </c>
      <c r="M147" s="252">
        <f t="shared" si="78"/>
        <v>4.6947999999999997E-2</v>
      </c>
      <c r="N147" s="94">
        <f t="shared" si="95"/>
        <v>0</v>
      </c>
      <c r="O147" s="242" t="s">
        <v>486</v>
      </c>
      <c r="P147" s="242" t="s">
        <v>127</v>
      </c>
      <c r="Q147" s="150">
        <f t="shared" si="74"/>
        <v>-1.5793431226502093E-4</v>
      </c>
      <c r="R147" s="82">
        <f t="shared" si="74"/>
        <v>0</v>
      </c>
      <c r="S147" s="75">
        <f>Y147/S$8*100</f>
        <v>-1.5328008091111044E-4</v>
      </c>
      <c r="T147" s="137">
        <f>Z147/T$8*100</f>
        <v>-1.5328008091111044E-4</v>
      </c>
      <c r="U147" s="75">
        <f>AA147/U$8*100</f>
        <v>0</v>
      </c>
      <c r="V147" s="75">
        <f t="shared" si="65"/>
        <v>0</v>
      </c>
      <c r="W147" s="151">
        <v>-4.4527999999999998E-2</v>
      </c>
      <c r="X147" s="255">
        <v>0</v>
      </c>
      <c r="Y147" s="248">
        <v>-4.6947999999999997E-2</v>
      </c>
      <c r="Z147" s="132">
        <v>-4.6947999999999997E-2</v>
      </c>
      <c r="AA147" s="207">
        <v>0</v>
      </c>
      <c r="AB147" s="207">
        <v>0</v>
      </c>
      <c r="AC147" s="176">
        <v>-4.6947999999999997E-2</v>
      </c>
      <c r="AD147" s="176">
        <f t="shared" si="66"/>
        <v>4.6947999999999997E-2</v>
      </c>
      <c r="AE147" s="49" t="s">
        <v>955</v>
      </c>
    </row>
    <row r="148" spans="1:31" ht="75" outlineLevel="1" x14ac:dyDescent="0.25">
      <c r="A148" s="1443"/>
      <c r="B148" s="1444"/>
      <c r="C148" s="63">
        <v>44253</v>
      </c>
      <c r="D148" s="48" t="s">
        <v>1161</v>
      </c>
      <c r="E148" s="49" t="s">
        <v>1162</v>
      </c>
      <c r="F148" s="124">
        <f t="shared" si="77"/>
        <v>0</v>
      </c>
      <c r="G148" s="52">
        <f>L148/$Q$8</f>
        <v>0</v>
      </c>
      <c r="H148" s="52">
        <f>M148/$S$8</f>
        <v>1.0638211582987393E-4</v>
      </c>
      <c r="I148" s="52">
        <f t="shared" si="63"/>
        <v>0</v>
      </c>
      <c r="J148" s="53">
        <f t="shared" si="68"/>
        <v>3.2583669999999998</v>
      </c>
      <c r="K148" s="149">
        <f t="shared" si="78"/>
        <v>0</v>
      </c>
      <c r="L148" s="254">
        <f t="shared" si="78"/>
        <v>0</v>
      </c>
      <c r="M148" s="252">
        <f t="shared" si="78"/>
        <v>3.2583669999999998</v>
      </c>
      <c r="N148" s="94">
        <f t="shared" si="95"/>
        <v>0</v>
      </c>
      <c r="O148" s="242" t="s">
        <v>1164</v>
      </c>
      <c r="P148" s="242" t="s">
        <v>127</v>
      </c>
      <c r="Q148" s="150">
        <f t="shared" si="74"/>
        <v>0</v>
      </c>
      <c r="R148" s="82">
        <f t="shared" si="74"/>
        <v>0</v>
      </c>
      <c r="S148" s="75">
        <f t="shared" si="74"/>
        <v>-1.0638211582987393E-2</v>
      </c>
      <c r="T148" s="137">
        <f t="shared" si="74"/>
        <v>-1.0638211582987393E-2</v>
      </c>
      <c r="U148" s="75">
        <f t="shared" si="74"/>
        <v>0</v>
      </c>
      <c r="V148" s="75">
        <f t="shared" si="65"/>
        <v>0</v>
      </c>
      <c r="W148" s="151">
        <v>0</v>
      </c>
      <c r="X148" s="255">
        <v>0</v>
      </c>
      <c r="Y148" s="248">
        <v>-3.2583669999999998</v>
      </c>
      <c r="Z148" s="132">
        <v>-3.2583669999999998</v>
      </c>
      <c r="AA148" s="207">
        <v>0</v>
      </c>
      <c r="AB148" s="207">
        <v>0</v>
      </c>
      <c r="AC148" s="176">
        <v>0</v>
      </c>
      <c r="AD148" s="176">
        <f t="shared" si="66"/>
        <v>0</v>
      </c>
      <c r="AE148" s="49" t="s">
        <v>1163</v>
      </c>
    </row>
    <row r="149" spans="1:31" ht="77.25" customHeight="1" outlineLevel="1" x14ac:dyDescent="0.25">
      <c r="A149" s="1443"/>
      <c r="B149" s="1444"/>
      <c r="C149" s="63">
        <v>44260</v>
      </c>
      <c r="D149" s="48" t="s">
        <v>1254</v>
      </c>
      <c r="E149" s="49" t="s">
        <v>1175</v>
      </c>
      <c r="F149" s="124">
        <f t="shared" si="77"/>
        <v>0</v>
      </c>
      <c r="G149" s="52">
        <f>L149/$Q$8</f>
        <v>0</v>
      </c>
      <c r="H149" s="52">
        <f>M149/$S$8</f>
        <v>3.8695809128537359E-6</v>
      </c>
      <c r="I149" s="52">
        <f t="shared" si="63"/>
        <v>0</v>
      </c>
      <c r="J149" s="53">
        <f t="shared" si="68"/>
        <v>0.118521</v>
      </c>
      <c r="K149" s="149">
        <f t="shared" si="78"/>
        <v>0</v>
      </c>
      <c r="L149" s="254">
        <f t="shared" si="78"/>
        <v>0</v>
      </c>
      <c r="M149" s="252">
        <f t="shared" si="78"/>
        <v>0.118521</v>
      </c>
      <c r="N149" s="94">
        <f t="shared" si="95"/>
        <v>0</v>
      </c>
      <c r="O149" s="242" t="s">
        <v>459</v>
      </c>
      <c r="P149" s="242" t="s">
        <v>127</v>
      </c>
      <c r="Q149" s="150">
        <f t="shared" si="74"/>
        <v>0</v>
      </c>
      <c r="R149" s="82">
        <f t="shared" si="74"/>
        <v>0</v>
      </c>
      <c r="S149" s="75">
        <f t="shared" si="74"/>
        <v>-3.8695809128537359E-4</v>
      </c>
      <c r="T149" s="137">
        <f t="shared" si="74"/>
        <v>-3.8695809128537359E-4</v>
      </c>
      <c r="U149" s="75">
        <f t="shared" si="74"/>
        <v>0</v>
      </c>
      <c r="V149" s="75">
        <f t="shared" si="65"/>
        <v>0</v>
      </c>
      <c r="W149" s="151">
        <v>0</v>
      </c>
      <c r="X149" s="255">
        <v>0</v>
      </c>
      <c r="Y149" s="248">
        <v>-0.118521</v>
      </c>
      <c r="Z149" s="132">
        <v>-0.118521</v>
      </c>
      <c r="AA149" s="207">
        <v>0</v>
      </c>
      <c r="AB149" s="207">
        <v>0</v>
      </c>
      <c r="AC149" s="176">
        <v>0</v>
      </c>
      <c r="AD149" s="176">
        <f t="shared" si="66"/>
        <v>0</v>
      </c>
      <c r="AE149" s="49" t="s">
        <v>1176</v>
      </c>
    </row>
    <row r="150" spans="1:31" ht="77.25" customHeight="1" outlineLevel="1" x14ac:dyDescent="0.25">
      <c r="A150" s="1443"/>
      <c r="B150" s="1444"/>
      <c r="C150" s="63">
        <v>44265</v>
      </c>
      <c r="D150" s="48" t="s">
        <v>1255</v>
      </c>
      <c r="E150" s="49" t="s">
        <v>1256</v>
      </c>
      <c r="F150" s="124">
        <f t="shared" si="77"/>
        <v>0</v>
      </c>
      <c r="G150" s="52">
        <f>L150/$Q$8</f>
        <v>0</v>
      </c>
      <c r="H150" s="52">
        <f>M150/$S$8</f>
        <v>1.077413877069661E-5</v>
      </c>
      <c r="I150" s="52">
        <f t="shared" si="63"/>
        <v>0</v>
      </c>
      <c r="J150" s="53">
        <f t="shared" si="68"/>
        <v>0.33</v>
      </c>
      <c r="K150" s="149">
        <f t="shared" si="78"/>
        <v>0</v>
      </c>
      <c r="L150" s="254">
        <f t="shared" si="78"/>
        <v>0</v>
      </c>
      <c r="M150" s="252">
        <f t="shared" si="78"/>
        <v>0.33</v>
      </c>
      <c r="N150" s="94">
        <f t="shared" si="95"/>
        <v>0</v>
      </c>
      <c r="O150" s="242" t="s">
        <v>483</v>
      </c>
      <c r="P150" s="242" t="s">
        <v>127</v>
      </c>
      <c r="Q150" s="150">
        <f t="shared" si="74"/>
        <v>0</v>
      </c>
      <c r="R150" s="82">
        <f t="shared" si="74"/>
        <v>0</v>
      </c>
      <c r="S150" s="75">
        <f t="shared" si="74"/>
        <v>-1.077413877069661E-3</v>
      </c>
      <c r="T150" s="137">
        <f t="shared" si="74"/>
        <v>-1.077413877069661E-3</v>
      </c>
      <c r="U150" s="75">
        <f t="shared" si="74"/>
        <v>0</v>
      </c>
      <c r="V150" s="75">
        <f t="shared" si="65"/>
        <v>0</v>
      </c>
      <c r="W150" s="151">
        <v>0</v>
      </c>
      <c r="X150" s="255">
        <v>0</v>
      </c>
      <c r="Y150" s="248">
        <v>-0.33</v>
      </c>
      <c r="Z150" s="132">
        <v>-0.33</v>
      </c>
      <c r="AA150" s="207">
        <v>0</v>
      </c>
      <c r="AB150" s="207">
        <v>0</v>
      </c>
      <c r="AC150" s="176">
        <v>0</v>
      </c>
      <c r="AD150" s="176">
        <f t="shared" si="66"/>
        <v>0</v>
      </c>
      <c r="AE150" s="49" t="s">
        <v>1257</v>
      </c>
    </row>
    <row r="151" spans="1:31" ht="77.25" customHeight="1" outlineLevel="1" x14ac:dyDescent="0.25">
      <c r="A151" s="1440"/>
      <c r="B151" s="1442"/>
      <c r="C151" s="63">
        <v>44287</v>
      </c>
      <c r="D151" s="48" t="s">
        <v>1302</v>
      </c>
      <c r="E151" s="49" t="s">
        <v>1303</v>
      </c>
      <c r="F151" s="124">
        <f>K151/$Q$8</f>
        <v>0</v>
      </c>
      <c r="G151" s="52">
        <f>L151/$R$8</f>
        <v>0</v>
      </c>
      <c r="H151" s="52">
        <f>M151/$S$8</f>
        <v>9.1061061955605796E-7</v>
      </c>
      <c r="I151" s="52">
        <f t="shared" si="63"/>
        <v>0</v>
      </c>
      <c r="J151" s="53">
        <f t="shared" si="68"/>
        <v>2.7890999999999999E-2</v>
      </c>
      <c r="K151" s="149">
        <f t="shared" si="78"/>
        <v>0</v>
      </c>
      <c r="L151" s="254">
        <f t="shared" si="78"/>
        <v>0</v>
      </c>
      <c r="M151" s="252">
        <f t="shared" si="78"/>
        <v>2.7890999999999999E-2</v>
      </c>
      <c r="N151" s="94">
        <f t="shared" si="95"/>
        <v>0</v>
      </c>
      <c r="O151" s="242" t="s">
        <v>486</v>
      </c>
      <c r="P151" s="242" t="s">
        <v>127</v>
      </c>
      <c r="Q151" s="150">
        <f t="shared" si="74"/>
        <v>0</v>
      </c>
      <c r="R151" s="82">
        <f t="shared" si="74"/>
        <v>0</v>
      </c>
      <c r="S151" s="75">
        <f t="shared" si="74"/>
        <v>-9.1061061955605794E-5</v>
      </c>
      <c r="T151" s="137">
        <f t="shared" si="74"/>
        <v>0</v>
      </c>
      <c r="U151" s="75">
        <f t="shared" si="74"/>
        <v>0</v>
      </c>
      <c r="V151" s="75">
        <f t="shared" si="65"/>
        <v>0</v>
      </c>
      <c r="W151" s="151">
        <v>0</v>
      </c>
      <c r="X151" s="255">
        <v>0</v>
      </c>
      <c r="Y151" s="248">
        <v>-2.7890999999999999E-2</v>
      </c>
      <c r="Z151" s="132">
        <v>0</v>
      </c>
      <c r="AA151" s="207">
        <v>0</v>
      </c>
      <c r="AB151" s="207">
        <v>0</v>
      </c>
      <c r="AC151" s="176">
        <v>-2.6759000000000002E-2</v>
      </c>
      <c r="AD151" s="176">
        <f t="shared" si="66"/>
        <v>2.6759000000000002E-2</v>
      </c>
      <c r="AE151" s="49" t="s">
        <v>1304</v>
      </c>
    </row>
    <row r="152" spans="1:31" ht="150" customHeight="1" outlineLevel="1" x14ac:dyDescent="0.25">
      <c r="A152" s="92">
        <v>5</v>
      </c>
      <c r="B152" s="171" t="s">
        <v>956</v>
      </c>
      <c r="C152" s="86" t="s">
        <v>498</v>
      </c>
      <c r="D152" s="48" t="s">
        <v>114</v>
      </c>
      <c r="E152" s="49" t="s">
        <v>115</v>
      </c>
      <c r="F152" s="124">
        <f t="shared" si="77"/>
        <v>0</v>
      </c>
      <c r="G152" s="52">
        <f t="shared" ref="G152:G229" si="96">L152/$R$8</f>
        <v>0</v>
      </c>
      <c r="H152" s="52">
        <f t="shared" si="94"/>
        <v>0</v>
      </c>
      <c r="I152" s="52">
        <f t="shared" si="63"/>
        <v>0</v>
      </c>
      <c r="J152" s="53">
        <f t="shared" si="68"/>
        <v>0</v>
      </c>
      <c r="K152" s="149">
        <v>0</v>
      </c>
      <c r="L152" s="254">
        <f t="shared" si="78"/>
        <v>0</v>
      </c>
      <c r="M152" s="252">
        <v>0</v>
      </c>
      <c r="N152" s="94">
        <v>0</v>
      </c>
      <c r="O152" s="242" t="s">
        <v>185</v>
      </c>
      <c r="P152" s="242" t="s">
        <v>127</v>
      </c>
      <c r="Q152" s="150">
        <f t="shared" si="74"/>
        <v>0</v>
      </c>
      <c r="R152" s="82">
        <f t="shared" si="74"/>
        <v>0</v>
      </c>
      <c r="S152" s="75">
        <f t="shared" si="65"/>
        <v>0</v>
      </c>
      <c r="T152" s="137">
        <f t="shared" si="74"/>
        <v>0</v>
      </c>
      <c r="U152" s="75">
        <f t="shared" si="65"/>
        <v>0</v>
      </c>
      <c r="V152" s="75">
        <f t="shared" si="65"/>
        <v>0</v>
      </c>
      <c r="W152" s="151">
        <v>0</v>
      </c>
      <c r="X152" s="255">
        <v>0</v>
      </c>
      <c r="Y152" s="248">
        <v>0</v>
      </c>
      <c r="Z152" s="132">
        <v>0</v>
      </c>
      <c r="AA152" s="207">
        <v>0</v>
      </c>
      <c r="AB152" s="207">
        <v>0</v>
      </c>
      <c r="AC152" s="176">
        <v>0</v>
      </c>
      <c r="AD152" s="176">
        <f t="shared" si="66"/>
        <v>0</v>
      </c>
      <c r="AE152" s="51" t="s">
        <v>957</v>
      </c>
    </row>
    <row r="153" spans="1:31" ht="171.75" customHeight="1" outlineLevel="1" x14ac:dyDescent="0.25">
      <c r="A153" s="1439">
        <v>6</v>
      </c>
      <c r="B153" s="1441" t="s">
        <v>116</v>
      </c>
      <c r="C153" s="63">
        <v>43938</v>
      </c>
      <c r="D153" s="93" t="s">
        <v>151</v>
      </c>
      <c r="E153" s="49" t="s">
        <v>117</v>
      </c>
      <c r="F153" s="124">
        <f t="shared" si="77"/>
        <v>1.6138185429524013E-3</v>
      </c>
      <c r="G153" s="52">
        <f t="shared" si="96"/>
        <v>1.2797697170832865E-3</v>
      </c>
      <c r="H153" s="52">
        <f t="shared" si="94"/>
        <v>0</v>
      </c>
      <c r="I153" s="52">
        <f t="shared" si="63"/>
        <v>0</v>
      </c>
      <c r="J153" s="53">
        <f t="shared" si="68"/>
        <v>37.540770000000002</v>
      </c>
      <c r="K153" s="149">
        <f t="shared" ref="K153:M180" si="97">-W153</f>
        <v>45.5</v>
      </c>
      <c r="L153" s="254">
        <f t="shared" si="97"/>
        <v>37.540770000000002</v>
      </c>
      <c r="M153" s="252">
        <f t="shared" si="97"/>
        <v>0</v>
      </c>
      <c r="N153" s="94">
        <f t="shared" ref="N153:N225" si="98">-AA153</f>
        <v>0</v>
      </c>
      <c r="O153" s="242" t="s">
        <v>186</v>
      </c>
      <c r="P153" s="242" t="s">
        <v>131</v>
      </c>
      <c r="Q153" s="150">
        <f t="shared" si="74"/>
        <v>-0.16138185429524013</v>
      </c>
      <c r="R153" s="82">
        <f t="shared" si="74"/>
        <v>-0.12797697170832864</v>
      </c>
      <c r="S153" s="75">
        <f t="shared" si="65"/>
        <v>0</v>
      </c>
      <c r="T153" s="137">
        <f t="shared" si="74"/>
        <v>0</v>
      </c>
      <c r="U153" s="75">
        <f t="shared" si="65"/>
        <v>0</v>
      </c>
      <c r="V153" s="75">
        <f t="shared" si="65"/>
        <v>0</v>
      </c>
      <c r="W153" s="151">
        <v>-45.5</v>
      </c>
      <c r="X153" s="255">
        <v>-37.540770000000002</v>
      </c>
      <c r="Y153" s="248">
        <v>0</v>
      </c>
      <c r="Z153" s="132">
        <v>0</v>
      </c>
      <c r="AA153" s="207">
        <v>0</v>
      </c>
      <c r="AB153" s="207">
        <v>0</v>
      </c>
      <c r="AC153" s="176">
        <v>0</v>
      </c>
      <c r="AD153" s="176">
        <f t="shared" si="66"/>
        <v>0</v>
      </c>
      <c r="AE153" s="51" t="s">
        <v>121</v>
      </c>
    </row>
    <row r="154" spans="1:31" ht="171.75" customHeight="1" outlineLevel="1" x14ac:dyDescent="0.25">
      <c r="A154" s="1440"/>
      <c r="B154" s="1442"/>
      <c r="C154" s="63">
        <v>44244</v>
      </c>
      <c r="D154" s="93" t="s">
        <v>1258</v>
      </c>
      <c r="E154" s="49" t="s">
        <v>959</v>
      </c>
      <c r="F154" s="124">
        <f t="shared" si="77"/>
        <v>0</v>
      </c>
      <c r="G154" s="52">
        <f t="shared" si="96"/>
        <v>0</v>
      </c>
      <c r="H154" s="52">
        <f t="shared" si="94"/>
        <v>1.4855251941415023E-3</v>
      </c>
      <c r="I154" s="52">
        <f t="shared" si="63"/>
        <v>0</v>
      </c>
      <c r="J154" s="53">
        <f t="shared" si="68"/>
        <v>45.5</v>
      </c>
      <c r="K154" s="149">
        <f t="shared" si="97"/>
        <v>0</v>
      </c>
      <c r="L154" s="254">
        <f t="shared" si="97"/>
        <v>0</v>
      </c>
      <c r="M154" s="252">
        <f t="shared" si="97"/>
        <v>45.5</v>
      </c>
      <c r="N154" s="94">
        <f t="shared" si="98"/>
        <v>0</v>
      </c>
      <c r="O154" s="242" t="s">
        <v>186</v>
      </c>
      <c r="P154" s="242" t="s">
        <v>131</v>
      </c>
      <c r="Q154" s="150">
        <f t="shared" si="74"/>
        <v>0</v>
      </c>
      <c r="R154" s="82">
        <f t="shared" si="74"/>
        <v>0</v>
      </c>
      <c r="S154" s="75">
        <f t="shared" si="65"/>
        <v>-0.14855251941415024</v>
      </c>
      <c r="T154" s="137">
        <f t="shared" si="74"/>
        <v>-0.14855251941415024</v>
      </c>
      <c r="U154" s="75">
        <f t="shared" si="65"/>
        <v>0</v>
      </c>
      <c r="V154" s="75">
        <f t="shared" si="65"/>
        <v>0</v>
      </c>
      <c r="W154" s="151">
        <v>0</v>
      </c>
      <c r="X154" s="255">
        <v>0</v>
      </c>
      <c r="Y154" s="248">
        <v>-45.5</v>
      </c>
      <c r="Z154" s="132">
        <v>-45.5</v>
      </c>
      <c r="AA154" s="207">
        <v>0</v>
      </c>
      <c r="AB154" s="207">
        <v>0</v>
      </c>
      <c r="AC154" s="176">
        <v>0</v>
      </c>
      <c r="AD154" s="176">
        <f t="shared" ref="AD154:AD202" si="99">-AC154</f>
        <v>0</v>
      </c>
      <c r="AE154" s="51" t="s">
        <v>960</v>
      </c>
    </row>
    <row r="155" spans="1:31" ht="74.25" customHeight="1" outlineLevel="1" x14ac:dyDescent="0.25">
      <c r="A155" s="1439">
        <v>7</v>
      </c>
      <c r="B155" s="1441" t="s">
        <v>320</v>
      </c>
      <c r="C155" s="63">
        <v>44056</v>
      </c>
      <c r="D155" s="93" t="s">
        <v>961</v>
      </c>
      <c r="E155" s="90" t="s">
        <v>962</v>
      </c>
      <c r="F155" s="124">
        <f t="shared" si="77"/>
        <v>2.3661169043058806E-5</v>
      </c>
      <c r="G155" s="52">
        <f t="shared" si="96"/>
        <v>2.2741627770965052E-5</v>
      </c>
      <c r="H155" s="52">
        <f t="shared" si="94"/>
        <v>0</v>
      </c>
      <c r="I155" s="52">
        <f t="shared" si="63"/>
        <v>0</v>
      </c>
      <c r="J155" s="53">
        <f t="shared" si="68"/>
        <v>0.667103</v>
      </c>
      <c r="K155" s="149">
        <f t="shared" si="97"/>
        <v>0.667103</v>
      </c>
      <c r="L155" s="254">
        <f t="shared" si="97"/>
        <v>0.667103</v>
      </c>
      <c r="M155" s="252">
        <f t="shared" si="97"/>
        <v>0</v>
      </c>
      <c r="N155" s="94">
        <f t="shared" si="98"/>
        <v>0</v>
      </c>
      <c r="O155" s="242" t="s">
        <v>480</v>
      </c>
      <c r="P155" s="242" t="s">
        <v>130</v>
      </c>
      <c r="Q155" s="150">
        <f t="shared" si="74"/>
        <v>-2.3661169043058808E-3</v>
      </c>
      <c r="R155" s="82">
        <f t="shared" si="74"/>
        <v>-2.2741627770965053E-3</v>
      </c>
      <c r="S155" s="75">
        <f t="shared" si="65"/>
        <v>0</v>
      </c>
      <c r="T155" s="137">
        <f t="shared" si="74"/>
        <v>0</v>
      </c>
      <c r="U155" s="75">
        <f t="shared" si="65"/>
        <v>0</v>
      </c>
      <c r="V155" s="75">
        <f t="shared" si="65"/>
        <v>0</v>
      </c>
      <c r="W155" s="151">
        <v>-0.667103</v>
      </c>
      <c r="X155" s="255">
        <v>-0.667103</v>
      </c>
      <c r="Y155" s="248">
        <v>0</v>
      </c>
      <c r="Z155" s="132">
        <v>0</v>
      </c>
      <c r="AA155" s="207">
        <v>0</v>
      </c>
      <c r="AB155" s="207">
        <v>0</v>
      </c>
      <c r="AC155" s="176">
        <v>0</v>
      </c>
      <c r="AD155" s="176">
        <f t="shared" si="99"/>
        <v>0</v>
      </c>
      <c r="AE155" s="84" t="s">
        <v>963</v>
      </c>
    </row>
    <row r="156" spans="1:31" ht="167.25" customHeight="1" outlineLevel="1" x14ac:dyDescent="0.25">
      <c r="A156" s="1443"/>
      <c r="B156" s="1444"/>
      <c r="C156" s="63" t="s">
        <v>645</v>
      </c>
      <c r="D156" s="93" t="s">
        <v>964</v>
      </c>
      <c r="E156" s="90" t="s">
        <v>465</v>
      </c>
      <c r="F156" s="124">
        <f t="shared" si="77"/>
        <v>2.4877385259275026E-5</v>
      </c>
      <c r="G156" s="52">
        <f t="shared" si="96"/>
        <v>2.3910578317232108E-5</v>
      </c>
      <c r="H156" s="52">
        <f>M156/$S$8</f>
        <v>0</v>
      </c>
      <c r="I156" s="52">
        <f t="shared" si="63"/>
        <v>0</v>
      </c>
      <c r="J156" s="53">
        <f t="shared" si="68"/>
        <v>0.70139300000000004</v>
      </c>
      <c r="K156" s="149">
        <f t="shared" si="97"/>
        <v>0.70139300000000004</v>
      </c>
      <c r="L156" s="254">
        <f>-X156</f>
        <v>0.70139300000000004</v>
      </c>
      <c r="M156" s="252">
        <f t="shared" si="97"/>
        <v>0</v>
      </c>
      <c r="N156" s="94">
        <f t="shared" si="98"/>
        <v>0</v>
      </c>
      <c r="O156" s="242" t="s">
        <v>480</v>
      </c>
      <c r="P156" s="242" t="s">
        <v>130</v>
      </c>
      <c r="Q156" s="150">
        <f t="shared" si="74"/>
        <v>-2.4877385259275027E-3</v>
      </c>
      <c r="R156" s="82">
        <f t="shared" si="74"/>
        <v>-2.391057831723211E-3</v>
      </c>
      <c r="S156" s="75">
        <f>Y156/S$8*100</f>
        <v>0</v>
      </c>
      <c r="T156" s="137">
        <f>Z156/T$8*100</f>
        <v>0</v>
      </c>
      <c r="U156" s="75">
        <f>AA156/U$8*100</f>
        <v>0</v>
      </c>
      <c r="V156" s="75">
        <f t="shared" si="65"/>
        <v>0</v>
      </c>
      <c r="W156" s="151">
        <v>-0.70139300000000004</v>
      </c>
      <c r="X156" s="255">
        <v>-0.70139300000000004</v>
      </c>
      <c r="Y156" s="248">
        <v>0</v>
      </c>
      <c r="Z156" s="132">
        <v>0</v>
      </c>
      <c r="AA156" s="207">
        <v>0</v>
      </c>
      <c r="AB156" s="207">
        <v>0</v>
      </c>
      <c r="AC156" s="176">
        <v>0</v>
      </c>
      <c r="AD156" s="176">
        <f t="shared" si="99"/>
        <v>0</v>
      </c>
      <c r="AE156" s="51" t="s">
        <v>1259</v>
      </c>
    </row>
    <row r="157" spans="1:31" ht="167.25" customHeight="1" outlineLevel="1" x14ac:dyDescent="0.25">
      <c r="A157" s="1443"/>
      <c r="B157" s="1444"/>
      <c r="C157" s="63">
        <v>44232</v>
      </c>
      <c r="D157" s="93" t="s">
        <v>965</v>
      </c>
      <c r="E157" s="90" t="s">
        <v>966</v>
      </c>
      <c r="F157" s="124">
        <f t="shared" si="77"/>
        <v>0</v>
      </c>
      <c r="G157" s="52">
        <f t="shared" si="96"/>
        <v>0</v>
      </c>
      <c r="H157" s="52">
        <f>M157/$S$8</f>
        <v>3.4702292970915249E-5</v>
      </c>
      <c r="I157" s="52">
        <f t="shared" si="63"/>
        <v>0</v>
      </c>
      <c r="J157" s="53">
        <f>L157+M157+N157</f>
        <v>1.0628930000000001</v>
      </c>
      <c r="K157" s="149">
        <f t="shared" si="97"/>
        <v>0</v>
      </c>
      <c r="L157" s="254">
        <f t="shared" si="97"/>
        <v>0</v>
      </c>
      <c r="M157" s="252">
        <f t="shared" si="97"/>
        <v>1.0628930000000001</v>
      </c>
      <c r="N157" s="94">
        <f t="shared" si="98"/>
        <v>0</v>
      </c>
      <c r="O157" s="242" t="s">
        <v>480</v>
      </c>
      <c r="P157" s="242" t="s">
        <v>130</v>
      </c>
      <c r="Q157" s="150">
        <f t="shared" si="74"/>
        <v>0</v>
      </c>
      <c r="R157" s="82">
        <f t="shared" si="74"/>
        <v>0</v>
      </c>
      <c r="S157" s="75">
        <f t="shared" si="74"/>
        <v>-3.470229297091525E-3</v>
      </c>
      <c r="T157" s="137">
        <f t="shared" si="74"/>
        <v>-3.470229297091525E-3</v>
      </c>
      <c r="U157" s="75">
        <f t="shared" si="74"/>
        <v>0</v>
      </c>
      <c r="V157" s="75">
        <f t="shared" si="65"/>
        <v>0</v>
      </c>
      <c r="W157" s="151">
        <v>0</v>
      </c>
      <c r="X157" s="255">
        <v>0</v>
      </c>
      <c r="Y157" s="248">
        <f>-1.062893</f>
        <v>-1.0628930000000001</v>
      </c>
      <c r="Z157" s="132">
        <f>-1.062893</f>
        <v>-1.0628930000000001</v>
      </c>
      <c r="AA157" s="207">
        <v>0</v>
      </c>
      <c r="AB157" s="207">
        <v>0</v>
      </c>
      <c r="AC157" s="232">
        <v>-1.0628930000000001</v>
      </c>
      <c r="AD157" s="232">
        <f>-AC157</f>
        <v>1.0628930000000001</v>
      </c>
      <c r="AE157" s="51" t="s">
        <v>1260</v>
      </c>
    </row>
    <row r="158" spans="1:31" ht="94.5" customHeight="1" outlineLevel="1" x14ac:dyDescent="0.25">
      <c r="A158" s="1443"/>
      <c r="B158" s="1444"/>
      <c r="C158" s="63">
        <v>44260</v>
      </c>
      <c r="D158" s="93" t="s">
        <v>1261</v>
      </c>
      <c r="E158" s="90" t="s">
        <v>1262</v>
      </c>
      <c r="F158" s="124">
        <f t="shared" si="77"/>
        <v>0</v>
      </c>
      <c r="G158" s="52">
        <f t="shared" si="96"/>
        <v>0</v>
      </c>
      <c r="H158" s="52">
        <f t="shared" ref="H158:H161" si="100">M158/$S$8</f>
        <v>3.7261901853779103E-5</v>
      </c>
      <c r="I158" s="52">
        <f t="shared" si="63"/>
        <v>0</v>
      </c>
      <c r="J158" s="53">
        <f t="shared" ref="J158:J161" si="101">L158+M158+N158</f>
        <v>1.1412910000000001</v>
      </c>
      <c r="K158" s="149">
        <f t="shared" si="97"/>
        <v>0</v>
      </c>
      <c r="L158" s="254">
        <f t="shared" si="97"/>
        <v>0</v>
      </c>
      <c r="M158" s="252">
        <f t="shared" si="97"/>
        <v>1.1412910000000001</v>
      </c>
      <c r="N158" s="94">
        <f t="shared" si="98"/>
        <v>0</v>
      </c>
      <c r="O158" s="242" t="s">
        <v>480</v>
      </c>
      <c r="P158" s="242" t="s">
        <v>130</v>
      </c>
      <c r="Q158" s="150">
        <f>W158/Q$8*100</f>
        <v>0</v>
      </c>
      <c r="R158" s="82">
        <f>X158/R$8*100</f>
        <v>0</v>
      </c>
      <c r="S158" s="75">
        <f t="shared" si="74"/>
        <v>-3.7261901853779104E-3</v>
      </c>
      <c r="T158" s="137">
        <f t="shared" si="74"/>
        <v>-3.7261901853779104E-3</v>
      </c>
      <c r="U158" s="75">
        <f t="shared" si="74"/>
        <v>0</v>
      </c>
      <c r="V158" s="75">
        <f t="shared" si="65"/>
        <v>0</v>
      </c>
      <c r="W158" s="151">
        <v>0</v>
      </c>
      <c r="X158" s="255">
        <v>0</v>
      </c>
      <c r="Y158" s="248">
        <f>-1.141291</f>
        <v>-1.1412910000000001</v>
      </c>
      <c r="Z158" s="132">
        <f>-1.141291</f>
        <v>-1.1412910000000001</v>
      </c>
      <c r="AA158" s="207">
        <v>0</v>
      </c>
      <c r="AB158" s="207">
        <v>0</v>
      </c>
      <c r="AC158" s="232">
        <v>-1.104309</v>
      </c>
      <c r="AD158" s="232">
        <f>-AC158</f>
        <v>1.104309</v>
      </c>
      <c r="AE158" s="51" t="s">
        <v>1263</v>
      </c>
    </row>
    <row r="159" spans="1:31" ht="105" outlineLevel="1" x14ac:dyDescent="0.25">
      <c r="A159" s="1443"/>
      <c r="B159" s="1444"/>
      <c r="C159" s="63">
        <v>44287</v>
      </c>
      <c r="D159" s="93" t="s">
        <v>1302</v>
      </c>
      <c r="E159" s="90" t="s">
        <v>1305</v>
      </c>
      <c r="F159" s="124">
        <f t="shared" ref="F159:F161" si="102">K159/$Q$8</f>
        <v>0</v>
      </c>
      <c r="G159" s="52">
        <f t="shared" ref="G159:G161" si="103">L159/$R$8</f>
        <v>0</v>
      </c>
      <c r="H159" s="52">
        <f t="shared" si="100"/>
        <v>2.5347140925224747E-5</v>
      </c>
      <c r="I159" s="52">
        <f t="shared" ref="I159:I161" si="104">N159/$U$8</f>
        <v>0</v>
      </c>
      <c r="J159" s="53">
        <f t="shared" si="101"/>
        <v>0.77635500000000002</v>
      </c>
      <c r="K159" s="149">
        <f t="shared" ref="K159:M161" si="105">-W159</f>
        <v>0</v>
      </c>
      <c r="L159" s="254">
        <f t="shared" ref="L159:L160" si="106">-X159</f>
        <v>0</v>
      </c>
      <c r="M159" s="252">
        <f t="shared" ref="M159:M160" si="107">-Y159</f>
        <v>0.77635500000000002</v>
      </c>
      <c r="N159" s="94">
        <f t="shared" ref="N159:N161" si="108">-AA159</f>
        <v>0</v>
      </c>
      <c r="O159" s="242" t="s">
        <v>480</v>
      </c>
      <c r="P159" s="242" t="s">
        <v>130</v>
      </c>
      <c r="Q159" s="150">
        <f>W159/Q$8*100</f>
        <v>0</v>
      </c>
      <c r="R159" s="82">
        <f>X159/R$8*100</f>
        <v>0</v>
      </c>
      <c r="S159" s="75">
        <f t="shared" si="74"/>
        <v>-2.5347140925224745E-3</v>
      </c>
      <c r="T159" s="137">
        <f t="shared" si="74"/>
        <v>0</v>
      </c>
      <c r="U159" s="75">
        <f t="shared" si="74"/>
        <v>0</v>
      </c>
      <c r="V159" s="75">
        <f t="shared" ref="V159:V160" si="109">AB159/V$8*100</f>
        <v>0</v>
      </c>
      <c r="W159" s="151">
        <v>0</v>
      </c>
      <c r="X159" s="255">
        <v>0</v>
      </c>
      <c r="Y159" s="248">
        <f>-0.776355</f>
        <v>-0.77635500000000002</v>
      </c>
      <c r="Z159" s="132">
        <v>0</v>
      </c>
      <c r="AA159" s="207">
        <v>0</v>
      </c>
      <c r="AB159" s="207">
        <v>0</v>
      </c>
      <c r="AC159" s="232">
        <f>-0.333883-0.454898</f>
        <v>-0.78878099999999995</v>
      </c>
      <c r="AD159" s="232">
        <f>-AC159</f>
        <v>0.78878099999999995</v>
      </c>
      <c r="AE159" s="51" t="s">
        <v>1306</v>
      </c>
    </row>
    <row r="160" spans="1:31" ht="75" outlineLevel="1" x14ac:dyDescent="0.25">
      <c r="A160" s="1443"/>
      <c r="B160" s="1444"/>
      <c r="C160" s="63">
        <v>44329</v>
      </c>
      <c r="D160" s="93" t="s">
        <v>1302</v>
      </c>
      <c r="E160" s="90" t="s">
        <v>1414</v>
      </c>
      <c r="F160" s="27">
        <f t="shared" si="102"/>
        <v>0</v>
      </c>
      <c r="G160" s="179">
        <f t="shared" si="103"/>
        <v>0</v>
      </c>
      <c r="H160" s="179">
        <f t="shared" si="100"/>
        <v>3.4540909431692359E-6</v>
      </c>
      <c r="I160" s="179">
        <f t="shared" si="104"/>
        <v>0</v>
      </c>
      <c r="J160" s="175">
        <f t="shared" si="101"/>
        <v>0.105795</v>
      </c>
      <c r="K160" s="20">
        <f t="shared" si="105"/>
        <v>0</v>
      </c>
      <c r="L160" s="173">
        <f t="shared" si="106"/>
        <v>0</v>
      </c>
      <c r="M160" s="185">
        <f t="shared" si="107"/>
        <v>0.105795</v>
      </c>
      <c r="N160" s="185">
        <f t="shared" si="108"/>
        <v>0</v>
      </c>
      <c r="O160" s="242" t="s">
        <v>480</v>
      </c>
      <c r="P160" s="186" t="s">
        <v>130</v>
      </c>
      <c r="Q160" s="28">
        <f t="shared" ref="Q160:R161" si="110">W160/Q$8*100</f>
        <v>0</v>
      </c>
      <c r="R160" s="189">
        <f t="shared" si="110"/>
        <v>0</v>
      </c>
      <c r="S160" s="188">
        <f t="shared" si="74"/>
        <v>-3.454090943169236E-4</v>
      </c>
      <c r="T160" s="137">
        <f t="shared" si="74"/>
        <v>0</v>
      </c>
      <c r="U160" s="188">
        <f t="shared" si="74"/>
        <v>0</v>
      </c>
      <c r="V160" s="188">
        <f t="shared" si="109"/>
        <v>0</v>
      </c>
      <c r="W160" s="29">
        <v>0</v>
      </c>
      <c r="X160" s="192">
        <v>0</v>
      </c>
      <c r="Y160" s="176">
        <v>-0.105795</v>
      </c>
      <c r="Z160" s="132">
        <v>0</v>
      </c>
      <c r="AA160" s="176">
        <v>0</v>
      </c>
      <c r="AB160" s="176">
        <v>0</v>
      </c>
      <c r="AC160" s="232">
        <v>0</v>
      </c>
      <c r="AD160" s="232">
        <f>-AC160</f>
        <v>0</v>
      </c>
      <c r="AE160" s="174"/>
    </row>
    <row r="161" spans="1:31" ht="94.5" customHeight="1" outlineLevel="1" x14ac:dyDescent="0.25">
      <c r="A161" s="1440"/>
      <c r="B161" s="1442"/>
      <c r="C161" s="63">
        <v>44329</v>
      </c>
      <c r="D161" s="93" t="s">
        <v>1302</v>
      </c>
      <c r="E161" s="90" t="s">
        <v>1415</v>
      </c>
      <c r="F161" s="27">
        <f t="shared" si="102"/>
        <v>0</v>
      </c>
      <c r="G161" s="179">
        <f t="shared" si="103"/>
        <v>0</v>
      </c>
      <c r="H161" s="179">
        <f t="shared" si="100"/>
        <v>2.7775762399761223E-5</v>
      </c>
      <c r="I161" s="179">
        <f t="shared" si="104"/>
        <v>0</v>
      </c>
      <c r="J161" s="175">
        <f t="shared" si="101"/>
        <v>0.85074099999999997</v>
      </c>
      <c r="K161" s="20">
        <f t="shared" si="105"/>
        <v>0</v>
      </c>
      <c r="L161" s="173">
        <f t="shared" si="105"/>
        <v>0</v>
      </c>
      <c r="M161" s="185">
        <f t="shared" si="105"/>
        <v>0.85074099999999997</v>
      </c>
      <c r="N161" s="185">
        <f t="shared" si="108"/>
        <v>0</v>
      </c>
      <c r="O161" s="242" t="s">
        <v>480</v>
      </c>
      <c r="P161" s="186" t="s">
        <v>130</v>
      </c>
      <c r="Q161" s="28">
        <f t="shared" si="110"/>
        <v>0</v>
      </c>
      <c r="R161" s="189">
        <f t="shared" si="110"/>
        <v>0</v>
      </c>
      <c r="S161" s="188">
        <f t="shared" si="74"/>
        <v>-2.7775762399761222E-3</v>
      </c>
      <c r="T161" s="137">
        <f t="shared" si="74"/>
        <v>0</v>
      </c>
      <c r="U161" s="188">
        <f t="shared" si="74"/>
        <v>0</v>
      </c>
      <c r="V161" s="188">
        <f t="shared" si="74"/>
        <v>0</v>
      </c>
      <c r="W161" s="29">
        <v>0</v>
      </c>
      <c r="X161" s="192">
        <v>0</v>
      </c>
      <c r="Y161" s="176">
        <v>-0.85074099999999997</v>
      </c>
      <c r="Z161" s="132">
        <v>0</v>
      </c>
      <c r="AA161" s="176">
        <v>0</v>
      </c>
      <c r="AB161" s="176">
        <v>0</v>
      </c>
      <c r="AC161" s="232">
        <v>-0.371006</v>
      </c>
      <c r="AD161" s="232">
        <f>-AC161</f>
        <v>0.371006</v>
      </c>
      <c r="AE161" s="174"/>
    </row>
    <row r="162" spans="1:31" ht="64.5" customHeight="1" outlineLevel="1" x14ac:dyDescent="0.25">
      <c r="A162" s="1439">
        <v>8</v>
      </c>
      <c r="B162" s="1441" t="s">
        <v>180</v>
      </c>
      <c r="C162" s="63">
        <v>43950</v>
      </c>
      <c r="D162" s="48" t="s">
        <v>967</v>
      </c>
      <c r="E162" s="49" t="s">
        <v>181</v>
      </c>
      <c r="F162" s="124">
        <f t="shared" si="77"/>
        <v>2.6601404554160461E-3</v>
      </c>
      <c r="G162" s="52">
        <f t="shared" si="96"/>
        <v>2.4719519367352645E-3</v>
      </c>
      <c r="H162" s="52">
        <f t="shared" si="94"/>
        <v>0</v>
      </c>
      <c r="I162" s="52">
        <f t="shared" si="63"/>
        <v>0</v>
      </c>
      <c r="J162" s="53">
        <f t="shared" si="68"/>
        <v>72.512248</v>
      </c>
      <c r="K162" s="149">
        <f t="shared" si="97"/>
        <v>75</v>
      </c>
      <c r="L162" s="254">
        <f t="shared" si="97"/>
        <v>72.512248</v>
      </c>
      <c r="M162" s="252">
        <f t="shared" si="97"/>
        <v>0</v>
      </c>
      <c r="N162" s="94">
        <f t="shared" si="98"/>
        <v>0</v>
      </c>
      <c r="O162" s="242" t="s">
        <v>478</v>
      </c>
      <c r="P162" s="242" t="s">
        <v>171</v>
      </c>
      <c r="Q162" s="150">
        <f t="shared" si="74"/>
        <v>-0.26601404554160463</v>
      </c>
      <c r="R162" s="82">
        <f t="shared" si="74"/>
        <v>-0.24719519367352644</v>
      </c>
      <c r="S162" s="75">
        <f t="shared" si="65"/>
        <v>0</v>
      </c>
      <c r="T162" s="137">
        <f t="shared" si="74"/>
        <v>0</v>
      </c>
      <c r="U162" s="75">
        <f t="shared" si="65"/>
        <v>0</v>
      </c>
      <c r="V162" s="75">
        <f t="shared" si="65"/>
        <v>0</v>
      </c>
      <c r="W162" s="151">
        <v>-75</v>
      </c>
      <c r="X162" s="255">
        <v>-72.512248</v>
      </c>
      <c r="Y162" s="248">
        <v>0</v>
      </c>
      <c r="Z162" s="132">
        <v>0</v>
      </c>
      <c r="AA162" s="207">
        <v>0</v>
      </c>
      <c r="AB162" s="207">
        <v>0</v>
      </c>
      <c r="AC162" s="176">
        <v>0</v>
      </c>
      <c r="AD162" s="176">
        <f t="shared" ref="AD162:AD164" si="111">-AC162</f>
        <v>0</v>
      </c>
      <c r="AE162" s="51" t="s">
        <v>182</v>
      </c>
    </row>
    <row r="163" spans="1:31" ht="84.75" customHeight="1" outlineLevel="1" x14ac:dyDescent="0.25">
      <c r="A163" s="1443"/>
      <c r="B163" s="1444"/>
      <c r="C163" s="63">
        <v>44273</v>
      </c>
      <c r="D163" s="48" t="s">
        <v>1264</v>
      </c>
      <c r="E163" s="49" t="s">
        <v>1265</v>
      </c>
      <c r="F163" s="124">
        <f t="shared" si="77"/>
        <v>0</v>
      </c>
      <c r="G163" s="52">
        <f>L163/$R$8</f>
        <v>0</v>
      </c>
      <c r="H163" s="52">
        <f t="shared" si="94"/>
        <v>1.7956897951161015E-3</v>
      </c>
      <c r="I163" s="52">
        <f t="shared" si="63"/>
        <v>0</v>
      </c>
      <c r="J163" s="53">
        <f t="shared" si="68"/>
        <v>55</v>
      </c>
      <c r="K163" s="149">
        <f t="shared" si="97"/>
        <v>0</v>
      </c>
      <c r="L163" s="254">
        <f t="shared" si="97"/>
        <v>0</v>
      </c>
      <c r="M163" s="252">
        <f t="shared" si="97"/>
        <v>55</v>
      </c>
      <c r="N163" s="94">
        <f t="shared" si="98"/>
        <v>0</v>
      </c>
      <c r="O163" s="242" t="s">
        <v>478</v>
      </c>
      <c r="P163" s="242" t="s">
        <v>171</v>
      </c>
      <c r="Q163" s="150">
        <f t="shared" si="74"/>
        <v>0</v>
      </c>
      <c r="R163" s="82"/>
      <c r="S163" s="75">
        <f t="shared" ref="S163:V194" si="112">Y163/S$8*100</f>
        <v>-0.17956897951161016</v>
      </c>
      <c r="T163" s="137">
        <f t="shared" si="74"/>
        <v>0</v>
      </c>
      <c r="U163" s="75">
        <f t="shared" si="74"/>
        <v>0</v>
      </c>
      <c r="V163" s="75">
        <f t="shared" si="74"/>
        <v>0</v>
      </c>
      <c r="W163" s="151">
        <v>0</v>
      </c>
      <c r="X163" s="255">
        <v>0</v>
      </c>
      <c r="Y163" s="248">
        <v>-55</v>
      </c>
      <c r="Z163" s="132">
        <v>0</v>
      </c>
      <c r="AA163" s="207">
        <v>0</v>
      </c>
      <c r="AB163" s="207">
        <v>0</v>
      </c>
      <c r="AC163" s="176">
        <v>0</v>
      </c>
      <c r="AD163" s="176">
        <f t="shared" si="111"/>
        <v>0</v>
      </c>
      <c r="AE163" s="51" t="s">
        <v>1266</v>
      </c>
    </row>
    <row r="164" spans="1:31" ht="64.5" customHeight="1" outlineLevel="1" x14ac:dyDescent="0.25">
      <c r="A164" s="1440"/>
      <c r="B164" s="1442"/>
      <c r="C164" s="63">
        <v>44294</v>
      </c>
      <c r="D164" s="48" t="s">
        <v>1264</v>
      </c>
      <c r="E164" s="49" t="s">
        <v>1267</v>
      </c>
      <c r="F164" s="124">
        <f t="shared" si="77"/>
        <v>0</v>
      </c>
      <c r="G164" s="52">
        <f t="shared" si="96"/>
        <v>0</v>
      </c>
      <c r="H164" s="52">
        <f t="shared" si="94"/>
        <v>3.2648905365747303E-3</v>
      </c>
      <c r="I164" s="52">
        <f t="shared" si="63"/>
        <v>0</v>
      </c>
      <c r="J164" s="53">
        <f t="shared" si="68"/>
        <v>100</v>
      </c>
      <c r="K164" s="149">
        <f t="shared" si="97"/>
        <v>0</v>
      </c>
      <c r="L164" s="254">
        <f t="shared" si="97"/>
        <v>0</v>
      </c>
      <c r="M164" s="252">
        <f t="shared" si="97"/>
        <v>100</v>
      </c>
      <c r="N164" s="94">
        <f t="shared" si="98"/>
        <v>0</v>
      </c>
      <c r="O164" s="242" t="s">
        <v>478</v>
      </c>
      <c r="P164" s="242" t="s">
        <v>171</v>
      </c>
      <c r="Q164" s="150">
        <f t="shared" si="74"/>
        <v>0</v>
      </c>
      <c r="R164" s="82"/>
      <c r="S164" s="75">
        <f t="shared" si="112"/>
        <v>-0.32648905365747305</v>
      </c>
      <c r="T164" s="137">
        <f t="shared" si="74"/>
        <v>-0.32648905365747305</v>
      </c>
      <c r="U164" s="75">
        <f t="shared" si="74"/>
        <v>0</v>
      </c>
      <c r="V164" s="75">
        <f t="shared" si="74"/>
        <v>0</v>
      </c>
      <c r="W164" s="151">
        <v>0</v>
      </c>
      <c r="X164" s="255">
        <v>0</v>
      </c>
      <c r="Y164" s="248">
        <v>-100</v>
      </c>
      <c r="Z164" s="132">
        <v>-100</v>
      </c>
      <c r="AA164" s="207">
        <v>0</v>
      </c>
      <c r="AB164" s="207">
        <v>0</v>
      </c>
      <c r="AC164" s="176">
        <v>-1.082587</v>
      </c>
      <c r="AD164" s="176">
        <f t="shared" si="111"/>
        <v>1.082587</v>
      </c>
      <c r="AE164" s="51" t="s">
        <v>1268</v>
      </c>
    </row>
    <row r="165" spans="1:31" ht="115.5" customHeight="1" outlineLevel="1" x14ac:dyDescent="0.25">
      <c r="A165" s="1439">
        <v>9</v>
      </c>
      <c r="B165" s="1441" t="s">
        <v>245</v>
      </c>
      <c r="C165" s="63">
        <v>43956</v>
      </c>
      <c r="D165" s="48" t="s">
        <v>968</v>
      </c>
      <c r="E165" s="49" t="s">
        <v>183</v>
      </c>
      <c r="F165" s="124">
        <f t="shared" si="77"/>
        <v>1.773426970277364E-4</v>
      </c>
      <c r="G165" s="52">
        <f t="shared" si="96"/>
        <v>1.697066994331902E-4</v>
      </c>
      <c r="H165" s="52">
        <f t="shared" si="94"/>
        <v>0</v>
      </c>
      <c r="I165" s="52">
        <f t="shared" si="63"/>
        <v>0</v>
      </c>
      <c r="J165" s="53">
        <f t="shared" si="68"/>
        <v>4.9781769999999996</v>
      </c>
      <c r="K165" s="149">
        <f t="shared" si="97"/>
        <v>5</v>
      </c>
      <c r="L165" s="254">
        <f t="shared" si="97"/>
        <v>4.9781769999999996</v>
      </c>
      <c r="M165" s="252">
        <f t="shared" si="97"/>
        <v>0</v>
      </c>
      <c r="N165" s="94">
        <f t="shared" si="98"/>
        <v>0</v>
      </c>
      <c r="O165" s="242" t="s">
        <v>881</v>
      </c>
      <c r="P165" s="242" t="s">
        <v>129</v>
      </c>
      <c r="Q165" s="150">
        <f t="shared" si="74"/>
        <v>-1.7734269702773642E-2</v>
      </c>
      <c r="R165" s="82">
        <f t="shared" si="74"/>
        <v>-1.6970669943319021E-2</v>
      </c>
      <c r="S165" s="75">
        <f t="shared" si="112"/>
        <v>0</v>
      </c>
      <c r="T165" s="137">
        <f t="shared" si="74"/>
        <v>0</v>
      </c>
      <c r="U165" s="75">
        <f t="shared" si="74"/>
        <v>0</v>
      </c>
      <c r="V165" s="75">
        <f t="shared" si="74"/>
        <v>0</v>
      </c>
      <c r="W165" s="151">
        <v>-5</v>
      </c>
      <c r="X165" s="255">
        <v>-4.9781769999999996</v>
      </c>
      <c r="Y165" s="248">
        <v>0</v>
      </c>
      <c r="Z165" s="132">
        <v>0</v>
      </c>
      <c r="AA165" s="207">
        <v>0</v>
      </c>
      <c r="AB165" s="207">
        <v>0</v>
      </c>
      <c r="AC165" s="176">
        <v>0</v>
      </c>
      <c r="AD165" s="176">
        <f t="shared" si="99"/>
        <v>0</v>
      </c>
      <c r="AE165" s="51" t="s">
        <v>184</v>
      </c>
    </row>
    <row r="166" spans="1:31" ht="90" outlineLevel="1" x14ac:dyDescent="0.25">
      <c r="A166" s="1443"/>
      <c r="B166" s="1444"/>
      <c r="C166" s="63">
        <v>44069</v>
      </c>
      <c r="D166" s="48" t="s">
        <v>969</v>
      </c>
      <c r="E166" s="49" t="s">
        <v>970</v>
      </c>
      <c r="F166" s="124">
        <f t="shared" si="77"/>
        <v>7.2355820387316451E-5</v>
      </c>
      <c r="G166" s="52">
        <f t="shared" si="96"/>
        <v>3.4000857844022924E-4</v>
      </c>
      <c r="H166" s="52">
        <f t="shared" si="94"/>
        <v>0</v>
      </c>
      <c r="I166" s="52">
        <f t="shared" ref="I166:I235" si="113">N166/$U$8</f>
        <v>0</v>
      </c>
      <c r="J166" s="1453">
        <f>SUM(L166:N169)</f>
        <v>9.9738129999999998</v>
      </c>
      <c r="K166" s="149">
        <f t="shared" si="97"/>
        <v>2.04</v>
      </c>
      <c r="L166" s="1456">
        <f>-X166</f>
        <v>9.9738129999999998</v>
      </c>
      <c r="M166" s="252">
        <f t="shared" si="97"/>
        <v>0</v>
      </c>
      <c r="N166" s="94">
        <f t="shared" si="98"/>
        <v>0</v>
      </c>
      <c r="O166" s="242" t="s">
        <v>881</v>
      </c>
      <c r="P166" s="242" t="s">
        <v>129</v>
      </c>
      <c r="Q166" s="150">
        <f t="shared" si="74"/>
        <v>-7.2355820387316454E-3</v>
      </c>
      <c r="R166" s="1467">
        <f t="shared" si="74"/>
        <v>-3.4000857844022923E-2</v>
      </c>
      <c r="S166" s="75">
        <f t="shared" si="112"/>
        <v>0</v>
      </c>
      <c r="T166" s="137">
        <f t="shared" si="74"/>
        <v>0</v>
      </c>
      <c r="U166" s="75">
        <f t="shared" si="74"/>
        <v>0</v>
      </c>
      <c r="V166" s="75">
        <f t="shared" si="74"/>
        <v>0</v>
      </c>
      <c r="W166" s="151">
        <f>-2.04</f>
        <v>-2.04</v>
      </c>
      <c r="X166" s="1554">
        <v>-9.9738129999999998</v>
      </c>
      <c r="Y166" s="248">
        <v>0</v>
      </c>
      <c r="Z166" s="132">
        <v>0</v>
      </c>
      <c r="AA166" s="207">
        <v>0</v>
      </c>
      <c r="AB166" s="207">
        <v>0</v>
      </c>
      <c r="AC166" s="176">
        <v>0</v>
      </c>
      <c r="AD166" s="176">
        <f t="shared" si="99"/>
        <v>0</v>
      </c>
      <c r="AE166" s="51" t="s">
        <v>971</v>
      </c>
    </row>
    <row r="167" spans="1:31" ht="75" outlineLevel="1" x14ac:dyDescent="0.25">
      <c r="A167" s="1443"/>
      <c r="B167" s="1444"/>
      <c r="C167" s="63">
        <v>44069</v>
      </c>
      <c r="D167" s="48" t="s">
        <v>972</v>
      </c>
      <c r="E167" s="49" t="s">
        <v>973</v>
      </c>
      <c r="F167" s="124">
        <f t="shared" si="77"/>
        <v>5.7851032134496702E-5</v>
      </c>
      <c r="G167" s="52">
        <f t="shared" si="96"/>
        <v>0</v>
      </c>
      <c r="H167" s="52">
        <f t="shared" si="94"/>
        <v>0</v>
      </c>
      <c r="I167" s="52">
        <f t="shared" si="113"/>
        <v>0</v>
      </c>
      <c r="J167" s="1454"/>
      <c r="K167" s="149">
        <f t="shared" si="97"/>
        <v>1.6310519999999999</v>
      </c>
      <c r="L167" s="1457"/>
      <c r="M167" s="252">
        <f t="shared" si="97"/>
        <v>0</v>
      </c>
      <c r="N167" s="94">
        <f t="shared" si="98"/>
        <v>0</v>
      </c>
      <c r="O167" s="242" t="s">
        <v>881</v>
      </c>
      <c r="P167" s="242" t="s">
        <v>129</v>
      </c>
      <c r="Q167" s="150">
        <f t="shared" ref="Q167:V205" si="114">W167/Q$8*100</f>
        <v>-5.78510321344967E-3</v>
      </c>
      <c r="R167" s="1553"/>
      <c r="S167" s="75">
        <f t="shared" si="112"/>
        <v>0</v>
      </c>
      <c r="T167" s="137">
        <f t="shared" si="112"/>
        <v>0</v>
      </c>
      <c r="U167" s="75">
        <f t="shared" si="112"/>
        <v>0</v>
      </c>
      <c r="V167" s="75">
        <f t="shared" si="112"/>
        <v>0</v>
      </c>
      <c r="W167" s="151">
        <v>-1.6310519999999999</v>
      </c>
      <c r="X167" s="1555"/>
      <c r="Y167" s="248">
        <v>0</v>
      </c>
      <c r="Z167" s="132">
        <v>0</v>
      </c>
      <c r="AA167" s="207">
        <v>0</v>
      </c>
      <c r="AB167" s="207">
        <v>0</v>
      </c>
      <c r="AC167" s="176">
        <v>0</v>
      </c>
      <c r="AD167" s="176">
        <f t="shared" si="99"/>
        <v>0</v>
      </c>
      <c r="AE167" s="49" t="s">
        <v>973</v>
      </c>
    </row>
    <row r="168" spans="1:31" ht="105" outlineLevel="1" x14ac:dyDescent="0.25">
      <c r="A168" s="1443"/>
      <c r="B168" s="1444"/>
      <c r="C168" s="63">
        <v>44082</v>
      </c>
      <c r="D168" s="48" t="s">
        <v>974</v>
      </c>
      <c r="E168" s="49" t="s">
        <v>975</v>
      </c>
      <c r="F168" s="124">
        <f t="shared" si="77"/>
        <v>8.7110129814854217E-5</v>
      </c>
      <c r="G168" s="52">
        <f t="shared" si="96"/>
        <v>0</v>
      </c>
      <c r="H168" s="52">
        <f t="shared" si="94"/>
        <v>0</v>
      </c>
      <c r="I168" s="52">
        <f t="shared" si="113"/>
        <v>0</v>
      </c>
      <c r="J168" s="1454"/>
      <c r="K168" s="149">
        <f t="shared" si="97"/>
        <v>2.4559829999999998</v>
      </c>
      <c r="L168" s="1457"/>
      <c r="M168" s="252">
        <f t="shared" si="97"/>
        <v>0</v>
      </c>
      <c r="N168" s="94">
        <f t="shared" si="98"/>
        <v>0</v>
      </c>
      <c r="O168" s="242" t="s">
        <v>881</v>
      </c>
      <c r="P168" s="242" t="s">
        <v>129</v>
      </c>
      <c r="Q168" s="150">
        <f t="shared" si="114"/>
        <v>-8.7110129814854213E-3</v>
      </c>
      <c r="R168" s="1553"/>
      <c r="S168" s="75">
        <f t="shared" si="112"/>
        <v>0</v>
      </c>
      <c r="T168" s="137">
        <f t="shared" si="112"/>
        <v>0</v>
      </c>
      <c r="U168" s="75">
        <f t="shared" si="112"/>
        <v>0</v>
      </c>
      <c r="V168" s="75">
        <f t="shared" si="112"/>
        <v>0</v>
      </c>
      <c r="W168" s="151">
        <v>-2.4559829999999998</v>
      </c>
      <c r="X168" s="1555"/>
      <c r="Y168" s="248">
        <v>0</v>
      </c>
      <c r="Z168" s="132">
        <v>0</v>
      </c>
      <c r="AA168" s="207">
        <v>0</v>
      </c>
      <c r="AB168" s="207">
        <v>0</v>
      </c>
      <c r="AC168" s="176">
        <v>0</v>
      </c>
      <c r="AD168" s="176">
        <f t="shared" si="99"/>
        <v>0</v>
      </c>
      <c r="AE168" s="49" t="s">
        <v>975</v>
      </c>
    </row>
    <row r="169" spans="1:31" ht="60" outlineLevel="1" x14ac:dyDescent="0.25">
      <c r="A169" s="1443"/>
      <c r="B169" s="1444"/>
      <c r="C169" s="63">
        <v>44090</v>
      </c>
      <c r="D169" s="48" t="s">
        <v>976</v>
      </c>
      <c r="E169" s="49" t="s">
        <v>977</v>
      </c>
      <c r="F169" s="124">
        <f t="shared" si="77"/>
        <v>1.408101014400227E-4</v>
      </c>
      <c r="G169" s="52">
        <f t="shared" si="96"/>
        <v>0</v>
      </c>
      <c r="H169" s="52">
        <f t="shared" si="94"/>
        <v>0</v>
      </c>
      <c r="I169" s="52">
        <f t="shared" si="113"/>
        <v>0</v>
      </c>
      <c r="J169" s="1455"/>
      <c r="K169" s="149">
        <f t="shared" si="97"/>
        <v>3.97</v>
      </c>
      <c r="L169" s="1458"/>
      <c r="M169" s="252">
        <f t="shared" si="97"/>
        <v>0</v>
      </c>
      <c r="N169" s="94">
        <f t="shared" si="98"/>
        <v>0</v>
      </c>
      <c r="O169" s="242" t="s">
        <v>881</v>
      </c>
      <c r="P169" s="242" t="s">
        <v>129</v>
      </c>
      <c r="Q169" s="150">
        <f t="shared" si="114"/>
        <v>-1.408101014400227E-2</v>
      </c>
      <c r="R169" s="1468"/>
      <c r="S169" s="75">
        <f t="shared" si="112"/>
        <v>0</v>
      </c>
      <c r="T169" s="137">
        <f t="shared" si="112"/>
        <v>0</v>
      </c>
      <c r="U169" s="75">
        <f t="shared" si="112"/>
        <v>0</v>
      </c>
      <c r="V169" s="75">
        <f t="shared" si="112"/>
        <v>0</v>
      </c>
      <c r="W169" s="151">
        <v>-3.97</v>
      </c>
      <c r="X169" s="1556"/>
      <c r="Y169" s="248">
        <v>0</v>
      </c>
      <c r="Z169" s="132">
        <v>0</v>
      </c>
      <c r="AA169" s="207">
        <v>0</v>
      </c>
      <c r="AB169" s="207">
        <v>0</v>
      </c>
      <c r="AC169" s="176">
        <v>0</v>
      </c>
      <c r="AD169" s="176">
        <f t="shared" si="99"/>
        <v>0</v>
      </c>
      <c r="AE169" s="49" t="s">
        <v>977</v>
      </c>
    </row>
    <row r="170" spans="1:31" ht="90" outlineLevel="1" x14ac:dyDescent="0.25">
      <c r="A170" s="1443"/>
      <c r="B170" s="1444"/>
      <c r="C170" s="63" t="s">
        <v>599</v>
      </c>
      <c r="D170" s="48" t="s">
        <v>247</v>
      </c>
      <c r="E170" s="49" t="s">
        <v>978</v>
      </c>
      <c r="F170" s="124">
        <f t="shared" si="77"/>
        <v>0</v>
      </c>
      <c r="G170" s="52">
        <f t="shared" si="96"/>
        <v>0</v>
      </c>
      <c r="H170" s="52">
        <f t="shared" si="94"/>
        <v>2.8552643102939179E-4</v>
      </c>
      <c r="I170" s="52">
        <f t="shared" si="113"/>
        <v>0</v>
      </c>
      <c r="J170" s="53">
        <f t="shared" ref="J170:J201" si="115">L170+M170+N170</f>
        <v>8.7453599999999998</v>
      </c>
      <c r="K170" s="149">
        <f t="shared" si="97"/>
        <v>0</v>
      </c>
      <c r="L170" s="254">
        <f>-X170</f>
        <v>0</v>
      </c>
      <c r="M170" s="252">
        <f t="shared" si="97"/>
        <v>8.7453599999999998</v>
      </c>
      <c r="N170" s="94">
        <f t="shared" si="98"/>
        <v>0</v>
      </c>
      <c r="O170" s="242" t="s">
        <v>881</v>
      </c>
      <c r="P170" s="242" t="s">
        <v>129</v>
      </c>
      <c r="Q170" s="150">
        <f t="shared" si="114"/>
        <v>0</v>
      </c>
      <c r="R170" s="82">
        <f t="shared" si="114"/>
        <v>0</v>
      </c>
      <c r="S170" s="75">
        <f t="shared" si="112"/>
        <v>-2.8552643102939181E-2</v>
      </c>
      <c r="T170" s="137">
        <f t="shared" si="112"/>
        <v>-2.8552643102939181E-2</v>
      </c>
      <c r="U170" s="75">
        <f t="shared" si="112"/>
        <v>0</v>
      </c>
      <c r="V170" s="75">
        <f t="shared" si="112"/>
        <v>0</v>
      </c>
      <c r="W170" s="151">
        <v>0</v>
      </c>
      <c r="X170" s="255">
        <v>0</v>
      </c>
      <c r="Y170" s="248">
        <v>-8.7453599999999998</v>
      </c>
      <c r="Z170" s="132">
        <v>-8.7453599999999998</v>
      </c>
      <c r="AA170" s="207">
        <v>0</v>
      </c>
      <c r="AB170" s="207">
        <v>0</v>
      </c>
      <c r="AC170" s="176">
        <f>-2.675-2.354</f>
        <v>-5.0289999999999999</v>
      </c>
      <c r="AD170" s="176">
        <f t="shared" si="99"/>
        <v>5.0289999999999999</v>
      </c>
      <c r="AE170" s="49" t="s">
        <v>979</v>
      </c>
    </row>
    <row r="171" spans="1:31" ht="60" outlineLevel="1" x14ac:dyDescent="0.25">
      <c r="A171" s="1443"/>
      <c r="B171" s="1444"/>
      <c r="C171" s="63" t="s">
        <v>599</v>
      </c>
      <c r="D171" s="48" t="s">
        <v>247</v>
      </c>
      <c r="E171" s="49" t="s">
        <v>980</v>
      </c>
      <c r="F171" s="124">
        <f t="shared" si="77"/>
        <v>0</v>
      </c>
      <c r="G171" s="52">
        <f t="shared" si="96"/>
        <v>0</v>
      </c>
      <c r="H171" s="52">
        <f t="shared" si="94"/>
        <v>7.1135598255417051E-5</v>
      </c>
      <c r="I171" s="52">
        <f t="shared" si="113"/>
        <v>0</v>
      </c>
      <c r="J171" s="53">
        <f t="shared" si="115"/>
        <v>2.1788050000000001</v>
      </c>
      <c r="K171" s="149">
        <f t="shared" si="97"/>
        <v>0</v>
      </c>
      <c r="L171" s="254">
        <f>-X171</f>
        <v>0</v>
      </c>
      <c r="M171" s="252">
        <f t="shared" si="97"/>
        <v>2.1788050000000001</v>
      </c>
      <c r="N171" s="94">
        <f t="shared" si="98"/>
        <v>0</v>
      </c>
      <c r="O171" s="242" t="s">
        <v>881</v>
      </c>
      <c r="P171" s="242" t="s">
        <v>129</v>
      </c>
      <c r="Q171" s="150">
        <f t="shared" si="114"/>
        <v>0</v>
      </c>
      <c r="R171" s="82">
        <f t="shared" si="114"/>
        <v>0</v>
      </c>
      <c r="S171" s="75">
        <f t="shared" si="112"/>
        <v>-7.1135598255417046E-3</v>
      </c>
      <c r="T171" s="137">
        <f t="shared" si="112"/>
        <v>-7.1135598255417046E-3</v>
      </c>
      <c r="U171" s="75">
        <f t="shared" si="112"/>
        <v>0</v>
      </c>
      <c r="V171" s="75">
        <f t="shared" si="112"/>
        <v>0</v>
      </c>
      <c r="W171" s="151">
        <v>0</v>
      </c>
      <c r="X171" s="255">
        <v>0</v>
      </c>
      <c r="Y171" s="248">
        <v>-2.1788050000000001</v>
      </c>
      <c r="Z171" s="132">
        <v>-2.1788050000000001</v>
      </c>
      <c r="AA171" s="207">
        <v>0</v>
      </c>
      <c r="AB171" s="207">
        <v>0</v>
      </c>
      <c r="AC171" s="176">
        <v>-0.33075599999999999</v>
      </c>
      <c r="AD171" s="176">
        <f t="shared" si="99"/>
        <v>0.33075599999999999</v>
      </c>
      <c r="AE171" s="49" t="s">
        <v>981</v>
      </c>
    </row>
    <row r="172" spans="1:31" ht="75" outlineLevel="1" x14ac:dyDescent="0.25">
      <c r="A172" s="1443"/>
      <c r="B172" s="1444"/>
      <c r="C172" s="63" t="s">
        <v>599</v>
      </c>
      <c r="D172" s="48" t="s">
        <v>247</v>
      </c>
      <c r="E172" s="49" t="s">
        <v>982</v>
      </c>
      <c r="F172" s="124">
        <f t="shared" si="77"/>
        <v>0</v>
      </c>
      <c r="G172" s="52">
        <f t="shared" si="96"/>
        <v>0</v>
      </c>
      <c r="H172" s="52">
        <f t="shared" si="94"/>
        <v>9.9905650419186744E-5</v>
      </c>
      <c r="I172" s="52">
        <f t="shared" si="113"/>
        <v>0</v>
      </c>
      <c r="J172" s="53">
        <f t="shared" si="115"/>
        <v>3.06</v>
      </c>
      <c r="K172" s="149">
        <f t="shared" si="97"/>
        <v>0</v>
      </c>
      <c r="L172" s="254">
        <f t="shared" si="97"/>
        <v>0</v>
      </c>
      <c r="M172" s="252">
        <f t="shared" si="97"/>
        <v>3.06</v>
      </c>
      <c r="N172" s="94">
        <f t="shared" si="98"/>
        <v>0</v>
      </c>
      <c r="O172" s="242" t="s">
        <v>881</v>
      </c>
      <c r="P172" s="242" t="s">
        <v>129</v>
      </c>
      <c r="Q172" s="150">
        <f t="shared" si="114"/>
        <v>0</v>
      </c>
      <c r="R172" s="82">
        <f t="shared" si="114"/>
        <v>0</v>
      </c>
      <c r="S172" s="75">
        <f t="shared" si="112"/>
        <v>-9.990565041918675E-3</v>
      </c>
      <c r="T172" s="137">
        <f t="shared" si="112"/>
        <v>-9.990565041918675E-3</v>
      </c>
      <c r="U172" s="75">
        <f t="shared" si="112"/>
        <v>0</v>
      </c>
      <c r="V172" s="75">
        <f t="shared" si="112"/>
        <v>0</v>
      </c>
      <c r="W172" s="151">
        <v>0</v>
      </c>
      <c r="X172" s="255">
        <v>0</v>
      </c>
      <c r="Y172" s="248">
        <v>-3.06</v>
      </c>
      <c r="Z172" s="132">
        <v>-3.06</v>
      </c>
      <c r="AA172" s="207">
        <v>0</v>
      </c>
      <c r="AB172" s="207">
        <v>0</v>
      </c>
      <c r="AC172" s="176">
        <v>0</v>
      </c>
      <c r="AD172" s="176">
        <f t="shared" si="99"/>
        <v>0</v>
      </c>
      <c r="AE172" s="51" t="s">
        <v>983</v>
      </c>
    </row>
    <row r="173" spans="1:31" ht="60" outlineLevel="1" x14ac:dyDescent="0.25">
      <c r="A173" s="1443"/>
      <c r="B173" s="1444"/>
      <c r="C173" s="63">
        <v>44266</v>
      </c>
      <c r="D173" s="48" t="s">
        <v>958</v>
      </c>
      <c r="E173" s="49" t="s">
        <v>1269</v>
      </c>
      <c r="F173" s="124">
        <f t="shared" si="77"/>
        <v>0</v>
      </c>
      <c r="G173" s="52">
        <f t="shared" si="96"/>
        <v>0</v>
      </c>
      <c r="H173" s="52">
        <f t="shared" si="94"/>
        <v>1.2183265526282264E-6</v>
      </c>
      <c r="I173" s="52">
        <f t="shared" si="113"/>
        <v>0</v>
      </c>
      <c r="J173" s="53">
        <f t="shared" si="115"/>
        <v>3.7316000000000002E-2</v>
      </c>
      <c r="K173" s="149">
        <f t="shared" si="97"/>
        <v>0</v>
      </c>
      <c r="L173" s="254">
        <f t="shared" si="97"/>
        <v>0</v>
      </c>
      <c r="M173" s="252">
        <f t="shared" si="97"/>
        <v>3.7316000000000002E-2</v>
      </c>
      <c r="N173" s="94">
        <f t="shared" si="98"/>
        <v>0</v>
      </c>
      <c r="O173" s="242" t="s">
        <v>186</v>
      </c>
      <c r="P173" s="242" t="s">
        <v>129</v>
      </c>
      <c r="Q173" s="150">
        <f t="shared" si="114"/>
        <v>0</v>
      </c>
      <c r="R173" s="82"/>
      <c r="S173" s="75">
        <f t="shared" si="112"/>
        <v>-1.2183265526282263E-4</v>
      </c>
      <c r="T173" s="137">
        <f t="shared" si="112"/>
        <v>-1.2183265526282263E-4</v>
      </c>
      <c r="U173" s="75">
        <f t="shared" si="112"/>
        <v>0</v>
      </c>
      <c r="V173" s="75">
        <f t="shared" si="112"/>
        <v>0</v>
      </c>
      <c r="W173" s="151">
        <v>0</v>
      </c>
      <c r="X173" s="255">
        <v>0</v>
      </c>
      <c r="Y173" s="248">
        <v>-3.7316000000000002E-2</v>
      </c>
      <c r="Z173" s="132">
        <v>-3.7316000000000002E-2</v>
      </c>
      <c r="AA173" s="207">
        <v>0</v>
      </c>
      <c r="AB173" s="207">
        <v>0</v>
      </c>
      <c r="AC173" s="176">
        <v>0</v>
      </c>
      <c r="AD173" s="176">
        <f t="shared" si="99"/>
        <v>0</v>
      </c>
      <c r="AE173" s="51" t="s">
        <v>1270</v>
      </c>
    </row>
    <row r="174" spans="1:31" ht="90" customHeight="1" outlineLevel="1" x14ac:dyDescent="0.25">
      <c r="A174" s="1440"/>
      <c r="B174" s="1442"/>
      <c r="C174" s="63">
        <v>44273</v>
      </c>
      <c r="D174" s="48" t="s">
        <v>1307</v>
      </c>
      <c r="E174" s="49" t="s">
        <v>1271</v>
      </c>
      <c r="F174" s="124">
        <f t="shared" si="77"/>
        <v>0</v>
      </c>
      <c r="G174" s="52">
        <f t="shared" si="96"/>
        <v>0</v>
      </c>
      <c r="H174" s="52">
        <f t="shared" si="94"/>
        <v>1.632445268287365E-5</v>
      </c>
      <c r="I174" s="52">
        <f t="shared" si="113"/>
        <v>0</v>
      </c>
      <c r="J174" s="53">
        <f t="shared" si="115"/>
        <v>0.5</v>
      </c>
      <c r="K174" s="149">
        <f t="shared" si="97"/>
        <v>0</v>
      </c>
      <c r="L174" s="254">
        <f t="shared" si="97"/>
        <v>0</v>
      </c>
      <c r="M174" s="252">
        <f t="shared" si="97"/>
        <v>0.5</v>
      </c>
      <c r="N174" s="94">
        <f t="shared" si="98"/>
        <v>0</v>
      </c>
      <c r="O174" s="242" t="s">
        <v>881</v>
      </c>
      <c r="P174" s="242" t="s">
        <v>129</v>
      </c>
      <c r="Q174" s="150">
        <f t="shared" si="114"/>
        <v>0</v>
      </c>
      <c r="R174" s="82"/>
      <c r="S174" s="75">
        <f t="shared" si="112"/>
        <v>-1.6324452682873651E-3</v>
      </c>
      <c r="T174" s="137">
        <f t="shared" si="112"/>
        <v>0</v>
      </c>
      <c r="U174" s="75">
        <f t="shared" si="112"/>
        <v>0</v>
      </c>
      <c r="V174" s="75">
        <f t="shared" si="112"/>
        <v>0</v>
      </c>
      <c r="W174" s="151">
        <v>0</v>
      </c>
      <c r="X174" s="255">
        <v>0</v>
      </c>
      <c r="Y174" s="248">
        <v>-0.5</v>
      </c>
      <c r="Z174" s="132">
        <v>0</v>
      </c>
      <c r="AA174" s="207">
        <v>0</v>
      </c>
      <c r="AB174" s="207">
        <v>0</v>
      </c>
      <c r="AC174" s="176">
        <v>-4.2059999999999997E-3</v>
      </c>
      <c r="AD174" s="176">
        <f t="shared" si="99"/>
        <v>4.2059999999999997E-3</v>
      </c>
      <c r="AE174" s="51" t="s">
        <v>1272</v>
      </c>
    </row>
    <row r="175" spans="1:31" ht="60" outlineLevel="1" x14ac:dyDescent="0.25">
      <c r="A175" s="1439">
        <v>10</v>
      </c>
      <c r="B175" s="1441" t="s">
        <v>202</v>
      </c>
      <c r="C175" s="63">
        <v>43965</v>
      </c>
      <c r="D175" s="48" t="s">
        <v>1308</v>
      </c>
      <c r="E175" s="49" t="s">
        <v>207</v>
      </c>
      <c r="F175" s="124">
        <f t="shared" si="77"/>
        <v>8.3847627154713774E-6</v>
      </c>
      <c r="G175" s="52">
        <f t="shared" si="96"/>
        <v>2.3343898091784531E-6</v>
      </c>
      <c r="H175" s="52">
        <f t="shared" si="94"/>
        <v>0</v>
      </c>
      <c r="I175" s="52">
        <f t="shared" si="113"/>
        <v>0</v>
      </c>
      <c r="J175" s="53">
        <f t="shared" si="115"/>
        <v>6.8476999999999996E-2</v>
      </c>
      <c r="K175" s="149">
        <f t="shared" si="97"/>
        <v>0.2364</v>
      </c>
      <c r="L175" s="254">
        <f t="shared" si="97"/>
        <v>6.8476999999999996E-2</v>
      </c>
      <c r="M175" s="252">
        <f t="shared" si="97"/>
        <v>0</v>
      </c>
      <c r="N175" s="94">
        <f t="shared" si="98"/>
        <v>0</v>
      </c>
      <c r="O175" s="242" t="s">
        <v>486</v>
      </c>
      <c r="P175" s="242" t="s">
        <v>127</v>
      </c>
      <c r="Q175" s="150">
        <f t="shared" si="114"/>
        <v>-8.3847627154713775E-4</v>
      </c>
      <c r="R175" s="82">
        <f t="shared" si="114"/>
        <v>-2.3343898091784531E-4</v>
      </c>
      <c r="S175" s="75">
        <f t="shared" si="112"/>
        <v>0</v>
      </c>
      <c r="T175" s="137">
        <f t="shared" si="112"/>
        <v>0</v>
      </c>
      <c r="U175" s="75">
        <f t="shared" si="112"/>
        <v>0</v>
      </c>
      <c r="V175" s="75">
        <f t="shared" si="112"/>
        <v>0</v>
      </c>
      <c r="W175" s="151">
        <v>-0.2364</v>
      </c>
      <c r="X175" s="255">
        <v>-6.8476999999999996E-2</v>
      </c>
      <c r="Y175" s="248">
        <v>0</v>
      </c>
      <c r="Z175" s="132">
        <v>0</v>
      </c>
      <c r="AA175" s="207">
        <v>0</v>
      </c>
      <c r="AB175" s="207">
        <v>0</v>
      </c>
      <c r="AC175" s="176">
        <v>0</v>
      </c>
      <c r="AD175" s="176">
        <f t="shared" si="99"/>
        <v>0</v>
      </c>
      <c r="AE175" s="51" t="s">
        <v>207</v>
      </c>
    </row>
    <row r="176" spans="1:31" ht="89.25" customHeight="1" outlineLevel="1" x14ac:dyDescent="0.25">
      <c r="A176" s="1440"/>
      <c r="B176" s="1442"/>
      <c r="C176" s="63">
        <v>44287</v>
      </c>
      <c r="D176" s="48" t="s">
        <v>1309</v>
      </c>
      <c r="E176" s="49" t="s">
        <v>1310</v>
      </c>
      <c r="F176" s="124">
        <f t="shared" si="77"/>
        <v>0</v>
      </c>
      <c r="G176" s="52">
        <f t="shared" si="96"/>
        <v>0</v>
      </c>
      <c r="H176" s="52">
        <f t="shared" si="94"/>
        <v>8.2895570723632411E-6</v>
      </c>
      <c r="I176" s="52">
        <f t="shared" si="113"/>
        <v>0</v>
      </c>
      <c r="J176" s="53">
        <f t="shared" si="115"/>
        <v>0.25390000000000001</v>
      </c>
      <c r="K176" s="149">
        <f t="shared" si="97"/>
        <v>0</v>
      </c>
      <c r="L176" s="254">
        <f t="shared" si="97"/>
        <v>0</v>
      </c>
      <c r="M176" s="252">
        <f t="shared" si="97"/>
        <v>0.25390000000000001</v>
      </c>
      <c r="N176" s="94">
        <f t="shared" si="98"/>
        <v>0</v>
      </c>
      <c r="O176" s="242" t="s">
        <v>486</v>
      </c>
      <c r="P176" s="242" t="s">
        <v>127</v>
      </c>
      <c r="Q176" s="150">
        <f t="shared" si="114"/>
        <v>0</v>
      </c>
      <c r="R176" s="82">
        <f t="shared" si="114"/>
        <v>0</v>
      </c>
      <c r="S176" s="75">
        <f t="shared" si="112"/>
        <v>-8.2895570723632412E-4</v>
      </c>
      <c r="T176" s="137">
        <f t="shared" si="112"/>
        <v>0</v>
      </c>
      <c r="U176" s="75">
        <f t="shared" si="112"/>
        <v>0</v>
      </c>
      <c r="V176" s="75">
        <f t="shared" si="112"/>
        <v>0</v>
      </c>
      <c r="W176" s="151">
        <v>0</v>
      </c>
      <c r="X176" s="255">
        <v>0</v>
      </c>
      <c r="Y176" s="248">
        <v>-0.25390000000000001</v>
      </c>
      <c r="Z176" s="132">
        <v>0</v>
      </c>
      <c r="AA176" s="207">
        <v>0</v>
      </c>
      <c r="AB176" s="207">
        <v>0</v>
      </c>
      <c r="AC176" s="176">
        <v>-0.2319</v>
      </c>
      <c r="AD176" s="176">
        <f t="shared" si="99"/>
        <v>0.2319</v>
      </c>
      <c r="AE176" s="51" t="s">
        <v>1311</v>
      </c>
    </row>
    <row r="177" spans="1:31" ht="60" outlineLevel="1" x14ac:dyDescent="0.25">
      <c r="A177" s="1439">
        <v>11</v>
      </c>
      <c r="B177" s="1441" t="s">
        <v>984</v>
      </c>
      <c r="C177" s="63">
        <v>43959</v>
      </c>
      <c r="D177" s="48" t="s">
        <v>985</v>
      </c>
      <c r="E177" s="49" t="s">
        <v>986</v>
      </c>
      <c r="F177" s="124">
        <f t="shared" si="77"/>
        <v>8.8653614244165423E-7</v>
      </c>
      <c r="G177" s="52">
        <f t="shared" si="96"/>
        <v>8.5208279101618712E-7</v>
      </c>
      <c r="H177" s="52">
        <f t="shared" si="94"/>
        <v>0</v>
      </c>
      <c r="I177" s="52">
        <f t="shared" si="113"/>
        <v>0</v>
      </c>
      <c r="J177" s="53">
        <f t="shared" si="115"/>
        <v>2.4995E-2</v>
      </c>
      <c r="K177" s="149">
        <f t="shared" si="97"/>
        <v>2.4995E-2</v>
      </c>
      <c r="L177" s="254">
        <f t="shared" si="97"/>
        <v>2.4995E-2</v>
      </c>
      <c r="M177" s="252">
        <f t="shared" si="97"/>
        <v>0</v>
      </c>
      <c r="N177" s="94">
        <f t="shared" si="98"/>
        <v>0</v>
      </c>
      <c r="O177" s="242" t="s">
        <v>486</v>
      </c>
      <c r="P177" s="242" t="s">
        <v>127</v>
      </c>
      <c r="Q177" s="150">
        <f t="shared" si="114"/>
        <v>-8.8653614244165425E-5</v>
      </c>
      <c r="R177" s="82">
        <f t="shared" si="114"/>
        <v>-8.5208279101618717E-5</v>
      </c>
      <c r="S177" s="75">
        <f t="shared" si="112"/>
        <v>0</v>
      </c>
      <c r="T177" s="137">
        <f t="shared" si="112"/>
        <v>0</v>
      </c>
      <c r="U177" s="75">
        <f t="shared" si="112"/>
        <v>0</v>
      </c>
      <c r="V177" s="75">
        <f t="shared" si="112"/>
        <v>0</v>
      </c>
      <c r="W177" s="151">
        <v>-2.4995E-2</v>
      </c>
      <c r="X177" s="255">
        <v>-2.4995E-2</v>
      </c>
      <c r="Y177" s="248">
        <v>0</v>
      </c>
      <c r="Z177" s="132">
        <v>0</v>
      </c>
      <c r="AA177" s="207">
        <v>0</v>
      </c>
      <c r="AB177" s="207">
        <v>0</v>
      </c>
      <c r="AC177" s="176">
        <v>0</v>
      </c>
      <c r="AD177" s="176">
        <f t="shared" si="99"/>
        <v>0</v>
      </c>
      <c r="AE177" s="51" t="s">
        <v>987</v>
      </c>
    </row>
    <row r="178" spans="1:31" ht="48.75" customHeight="1" outlineLevel="1" x14ac:dyDescent="0.25">
      <c r="A178" s="1443"/>
      <c r="B178" s="1444"/>
      <c r="C178" s="63">
        <v>44076</v>
      </c>
      <c r="D178" s="48" t="s">
        <v>247</v>
      </c>
      <c r="E178" s="49" t="s">
        <v>988</v>
      </c>
      <c r="F178" s="124">
        <f t="shared" si="77"/>
        <v>0</v>
      </c>
      <c r="G178" s="52">
        <f t="shared" si="96"/>
        <v>0</v>
      </c>
      <c r="H178" s="52">
        <f t="shared" si="94"/>
        <v>8.0938268846955843E-6</v>
      </c>
      <c r="I178" s="52">
        <f t="shared" si="113"/>
        <v>0</v>
      </c>
      <c r="J178" s="53">
        <f t="shared" si="115"/>
        <v>0.24790499999999999</v>
      </c>
      <c r="K178" s="149">
        <f t="shared" si="97"/>
        <v>0</v>
      </c>
      <c r="L178" s="254">
        <f t="shared" si="97"/>
        <v>0</v>
      </c>
      <c r="M178" s="252">
        <f t="shared" si="97"/>
        <v>0.24790499999999999</v>
      </c>
      <c r="N178" s="94">
        <f t="shared" si="98"/>
        <v>0</v>
      </c>
      <c r="O178" s="242" t="s">
        <v>483</v>
      </c>
      <c r="P178" s="242" t="s">
        <v>129</v>
      </c>
      <c r="Q178" s="150">
        <f t="shared" si="114"/>
        <v>0</v>
      </c>
      <c r="R178" s="82">
        <f t="shared" si="114"/>
        <v>0</v>
      </c>
      <c r="S178" s="75">
        <f t="shared" si="112"/>
        <v>-8.0938268846955847E-4</v>
      </c>
      <c r="T178" s="137">
        <f t="shared" si="112"/>
        <v>-8.0938268846955847E-4</v>
      </c>
      <c r="U178" s="75">
        <f t="shared" si="112"/>
        <v>0</v>
      </c>
      <c r="V178" s="75">
        <f t="shared" si="112"/>
        <v>0</v>
      </c>
      <c r="W178" s="151">
        <v>0</v>
      </c>
      <c r="X178" s="255">
        <v>0</v>
      </c>
      <c r="Y178" s="248">
        <v>-0.24790499999999999</v>
      </c>
      <c r="Z178" s="132">
        <v>-0.24790499999999999</v>
      </c>
      <c r="AA178" s="207">
        <v>0</v>
      </c>
      <c r="AB178" s="207">
        <v>0</v>
      </c>
      <c r="AC178" s="176">
        <v>-2.4535000000000001E-2</v>
      </c>
      <c r="AD178" s="176">
        <f t="shared" si="99"/>
        <v>2.4535000000000001E-2</v>
      </c>
      <c r="AE178" s="51" t="s">
        <v>989</v>
      </c>
    </row>
    <row r="179" spans="1:31" ht="60" outlineLevel="1" x14ac:dyDescent="0.25">
      <c r="A179" s="1443"/>
      <c r="B179" s="1444"/>
      <c r="C179" s="63" t="s">
        <v>374</v>
      </c>
      <c r="D179" s="48" t="s">
        <v>990</v>
      </c>
      <c r="E179" s="49" t="s">
        <v>991</v>
      </c>
      <c r="F179" s="124">
        <f t="shared" si="77"/>
        <v>7.4838618145704761E-6</v>
      </c>
      <c r="G179" s="52">
        <f t="shared" si="96"/>
        <v>7.1482229292666621E-6</v>
      </c>
      <c r="H179" s="52">
        <f t="shared" si="94"/>
        <v>0</v>
      </c>
      <c r="I179" s="52">
        <f t="shared" si="113"/>
        <v>0</v>
      </c>
      <c r="J179" s="53">
        <f t="shared" si="115"/>
        <v>0.20968600000000001</v>
      </c>
      <c r="K179" s="149">
        <f t="shared" si="97"/>
        <v>0.21099999999999999</v>
      </c>
      <c r="L179" s="254">
        <f t="shared" si="97"/>
        <v>0.20968600000000001</v>
      </c>
      <c r="M179" s="252">
        <f t="shared" si="97"/>
        <v>0</v>
      </c>
      <c r="N179" s="94">
        <f t="shared" si="98"/>
        <v>0</v>
      </c>
      <c r="O179" s="242" t="s">
        <v>489</v>
      </c>
      <c r="P179" s="242" t="s">
        <v>129</v>
      </c>
      <c r="Q179" s="150">
        <f t="shared" si="114"/>
        <v>-7.483861814570476E-4</v>
      </c>
      <c r="R179" s="82">
        <f t="shared" si="114"/>
        <v>-7.1482229292666626E-4</v>
      </c>
      <c r="S179" s="75">
        <f t="shared" si="112"/>
        <v>0</v>
      </c>
      <c r="T179" s="137">
        <f t="shared" si="112"/>
        <v>0</v>
      </c>
      <c r="U179" s="75">
        <f t="shared" si="112"/>
        <v>0</v>
      </c>
      <c r="V179" s="75">
        <f t="shared" si="112"/>
        <v>0</v>
      </c>
      <c r="W179" s="151">
        <v>-0.21099999999999999</v>
      </c>
      <c r="X179" s="255">
        <v>-0.20968600000000001</v>
      </c>
      <c r="Y179" s="248">
        <v>0</v>
      </c>
      <c r="Z179" s="132">
        <v>0</v>
      </c>
      <c r="AA179" s="207">
        <v>0</v>
      </c>
      <c r="AB179" s="207">
        <v>0</v>
      </c>
      <c r="AC179" s="176">
        <v>0</v>
      </c>
      <c r="AD179" s="176">
        <f t="shared" si="99"/>
        <v>0</v>
      </c>
      <c r="AE179" s="51" t="s">
        <v>991</v>
      </c>
    </row>
    <row r="180" spans="1:31" ht="105" outlineLevel="1" x14ac:dyDescent="0.25">
      <c r="A180" s="1443"/>
      <c r="B180" s="1444"/>
      <c r="C180" s="63" t="s">
        <v>374</v>
      </c>
      <c r="D180" s="48" t="s">
        <v>992</v>
      </c>
      <c r="E180" s="49" t="s">
        <v>396</v>
      </c>
      <c r="F180" s="124">
        <f t="shared" si="77"/>
        <v>1.230651911754274E-5</v>
      </c>
      <c r="G180" s="52">
        <f t="shared" si="96"/>
        <v>1.182825229041354E-5</v>
      </c>
      <c r="H180" s="52">
        <f t="shared" si="94"/>
        <v>0</v>
      </c>
      <c r="I180" s="52">
        <f t="shared" si="113"/>
        <v>0</v>
      </c>
      <c r="J180" s="53">
        <f t="shared" si="115"/>
        <v>0.34697</v>
      </c>
      <c r="K180" s="149">
        <f t="shared" si="97"/>
        <v>0.34697</v>
      </c>
      <c r="L180" s="254">
        <f t="shared" si="97"/>
        <v>0.34697</v>
      </c>
      <c r="M180" s="252">
        <f t="shared" si="97"/>
        <v>0</v>
      </c>
      <c r="N180" s="94">
        <f t="shared" si="98"/>
        <v>0</v>
      </c>
      <c r="O180" s="242" t="s">
        <v>459</v>
      </c>
      <c r="P180" s="242" t="s">
        <v>129</v>
      </c>
      <c r="Q180" s="150">
        <f t="shared" si="114"/>
        <v>-1.230651911754274E-3</v>
      </c>
      <c r="R180" s="82">
        <f t="shared" si="114"/>
        <v>-1.182825229041354E-3</v>
      </c>
      <c r="S180" s="75">
        <f t="shared" si="112"/>
        <v>0</v>
      </c>
      <c r="T180" s="137">
        <f t="shared" si="112"/>
        <v>0</v>
      </c>
      <c r="U180" s="75">
        <f t="shared" si="112"/>
        <v>0</v>
      </c>
      <c r="V180" s="75">
        <f t="shared" si="112"/>
        <v>0</v>
      </c>
      <c r="W180" s="151">
        <v>-0.34697</v>
      </c>
      <c r="X180" s="255">
        <f>-0.08697-0.26</f>
        <v>-0.34697</v>
      </c>
      <c r="Y180" s="248">
        <v>0</v>
      </c>
      <c r="Z180" s="132">
        <v>0</v>
      </c>
      <c r="AA180" s="207">
        <v>0</v>
      </c>
      <c r="AB180" s="207">
        <v>0</v>
      </c>
      <c r="AC180" s="176">
        <v>0</v>
      </c>
      <c r="AD180" s="176">
        <f t="shared" si="99"/>
        <v>0</v>
      </c>
      <c r="AE180" s="51" t="s">
        <v>993</v>
      </c>
    </row>
    <row r="181" spans="1:31" ht="60" outlineLevel="1" x14ac:dyDescent="0.25">
      <c r="A181" s="1443"/>
      <c r="B181" s="1444"/>
      <c r="C181" s="63" t="s">
        <v>418</v>
      </c>
      <c r="D181" s="48" t="s">
        <v>994</v>
      </c>
      <c r="E181" s="49" t="s">
        <v>995</v>
      </c>
      <c r="F181" s="124">
        <f t="shared" si="77"/>
        <v>1.1122933957579626E-6</v>
      </c>
      <c r="G181" s="52">
        <f t="shared" si="96"/>
        <v>1.0690664663439739E-6</v>
      </c>
      <c r="H181" s="52">
        <f t="shared" si="94"/>
        <v>0</v>
      </c>
      <c r="I181" s="52">
        <f t="shared" si="113"/>
        <v>0</v>
      </c>
      <c r="J181" s="53">
        <f t="shared" si="115"/>
        <v>3.1359999999999999E-2</v>
      </c>
      <c r="K181" s="149">
        <f t="shared" ref="K181:M202" si="116">-W181</f>
        <v>3.1359999999999999E-2</v>
      </c>
      <c r="L181" s="254">
        <f t="shared" si="116"/>
        <v>3.1359999999999999E-2</v>
      </c>
      <c r="M181" s="252">
        <f t="shared" si="116"/>
        <v>0</v>
      </c>
      <c r="N181" s="94">
        <f t="shared" si="98"/>
        <v>0</v>
      </c>
      <c r="O181" s="242" t="s">
        <v>478</v>
      </c>
      <c r="P181" s="242" t="s">
        <v>127</v>
      </c>
      <c r="Q181" s="150">
        <f t="shared" si="114"/>
        <v>-1.1122933957579626E-4</v>
      </c>
      <c r="R181" s="82">
        <f t="shared" si="114"/>
        <v>-1.0690664663439739E-4</v>
      </c>
      <c r="S181" s="75">
        <f t="shared" si="112"/>
        <v>0</v>
      </c>
      <c r="T181" s="137">
        <f t="shared" si="112"/>
        <v>0</v>
      </c>
      <c r="U181" s="75">
        <f t="shared" si="112"/>
        <v>0</v>
      </c>
      <c r="V181" s="75">
        <f t="shared" si="112"/>
        <v>0</v>
      </c>
      <c r="W181" s="151">
        <v>-3.1359999999999999E-2</v>
      </c>
      <c r="X181" s="255">
        <v>-3.1359999999999999E-2</v>
      </c>
      <c r="Y181" s="248">
        <v>0</v>
      </c>
      <c r="Z181" s="132">
        <v>0</v>
      </c>
      <c r="AA181" s="207">
        <v>0</v>
      </c>
      <c r="AB181" s="207">
        <v>0</v>
      </c>
      <c r="AC181" s="176">
        <v>0</v>
      </c>
      <c r="AD181" s="176">
        <f t="shared" si="99"/>
        <v>0</v>
      </c>
      <c r="AE181" s="51" t="s">
        <v>996</v>
      </c>
    </row>
    <row r="182" spans="1:31" ht="60" outlineLevel="1" x14ac:dyDescent="0.25">
      <c r="A182" s="1443"/>
      <c r="B182" s="1444"/>
      <c r="C182" s="63" t="s">
        <v>418</v>
      </c>
      <c r="D182" s="48" t="s">
        <v>997</v>
      </c>
      <c r="E182" s="49" t="s">
        <v>998</v>
      </c>
      <c r="F182" s="124">
        <f t="shared" si="77"/>
        <v>3.3554657019223946E-6</v>
      </c>
      <c r="G182" s="52">
        <f t="shared" si="96"/>
        <v>3.2250626269772096E-6</v>
      </c>
      <c r="H182" s="52">
        <f t="shared" si="94"/>
        <v>0</v>
      </c>
      <c r="I182" s="52">
        <f t="shared" si="113"/>
        <v>0</v>
      </c>
      <c r="J182" s="53">
        <f t="shared" si="115"/>
        <v>9.4603999999999994E-2</v>
      </c>
      <c r="K182" s="149">
        <f t="shared" si="116"/>
        <v>9.4603999999999994E-2</v>
      </c>
      <c r="L182" s="254">
        <f t="shared" si="116"/>
        <v>9.4603999999999994E-2</v>
      </c>
      <c r="M182" s="252">
        <f t="shared" si="116"/>
        <v>0</v>
      </c>
      <c r="N182" s="94">
        <f t="shared" si="98"/>
        <v>0</v>
      </c>
      <c r="O182" s="242" t="s">
        <v>454</v>
      </c>
      <c r="P182" s="242" t="s">
        <v>129</v>
      </c>
      <c r="Q182" s="150">
        <f t="shared" si="114"/>
        <v>-3.3554657019223944E-4</v>
      </c>
      <c r="R182" s="82">
        <f t="shared" si="114"/>
        <v>-3.2250626269772096E-4</v>
      </c>
      <c r="S182" s="75">
        <f t="shared" si="112"/>
        <v>0</v>
      </c>
      <c r="T182" s="137">
        <f t="shared" si="112"/>
        <v>0</v>
      </c>
      <c r="U182" s="75">
        <f t="shared" si="112"/>
        <v>0</v>
      </c>
      <c r="V182" s="75">
        <f t="shared" si="112"/>
        <v>0</v>
      </c>
      <c r="W182" s="151">
        <v>-9.4603999999999994E-2</v>
      </c>
      <c r="X182" s="255">
        <v>-9.4603999999999994E-2</v>
      </c>
      <c r="Y182" s="248">
        <v>0</v>
      </c>
      <c r="Z182" s="132">
        <v>0</v>
      </c>
      <c r="AA182" s="207">
        <v>0</v>
      </c>
      <c r="AB182" s="207">
        <v>0</v>
      </c>
      <c r="AC182" s="176">
        <v>0</v>
      </c>
      <c r="AD182" s="176">
        <f t="shared" si="99"/>
        <v>0</v>
      </c>
      <c r="AE182" s="51" t="s">
        <v>999</v>
      </c>
    </row>
    <row r="183" spans="1:31" ht="60" outlineLevel="1" x14ac:dyDescent="0.25">
      <c r="A183" s="1443"/>
      <c r="B183" s="1444"/>
      <c r="C183" s="63" t="s">
        <v>516</v>
      </c>
      <c r="D183" s="48" t="s">
        <v>1000</v>
      </c>
      <c r="E183" s="49" t="s">
        <v>1001</v>
      </c>
      <c r="F183" s="124">
        <f t="shared" si="77"/>
        <v>1.2768674185997021E-6</v>
      </c>
      <c r="G183" s="52">
        <f t="shared" si="96"/>
        <v>1.2272446679969087E-6</v>
      </c>
      <c r="H183" s="52">
        <f t="shared" si="94"/>
        <v>9.7946716097241901E-7</v>
      </c>
      <c r="I183" s="52">
        <f t="shared" si="113"/>
        <v>0</v>
      </c>
      <c r="J183" s="53">
        <f t="shared" si="115"/>
        <v>6.6000000000000003E-2</v>
      </c>
      <c r="K183" s="149">
        <f t="shared" si="116"/>
        <v>3.5999999999999997E-2</v>
      </c>
      <c r="L183" s="254">
        <f t="shared" si="116"/>
        <v>3.5999999999999997E-2</v>
      </c>
      <c r="M183" s="252">
        <f t="shared" si="116"/>
        <v>0.03</v>
      </c>
      <c r="N183" s="94">
        <f t="shared" si="98"/>
        <v>0</v>
      </c>
      <c r="O183" s="242" t="s">
        <v>480</v>
      </c>
      <c r="P183" s="242" t="s">
        <v>129</v>
      </c>
      <c r="Q183" s="150">
        <f t="shared" si="114"/>
        <v>-1.2768674185997019E-4</v>
      </c>
      <c r="R183" s="82">
        <f t="shared" si="114"/>
        <v>-1.2272446679969086E-4</v>
      </c>
      <c r="S183" s="75">
        <f t="shared" si="112"/>
        <v>-9.7946716097241902E-5</v>
      </c>
      <c r="T183" s="137">
        <f t="shared" si="112"/>
        <v>-9.7946716097241902E-5</v>
      </c>
      <c r="U183" s="75">
        <f t="shared" si="112"/>
        <v>0</v>
      </c>
      <c r="V183" s="75">
        <f t="shared" si="112"/>
        <v>0</v>
      </c>
      <c r="W183" s="151">
        <v>-3.5999999999999997E-2</v>
      </c>
      <c r="X183" s="255">
        <v>-3.5999999999999997E-2</v>
      </c>
      <c r="Y183" s="248">
        <v>-0.03</v>
      </c>
      <c r="Z183" s="132">
        <v>-0.03</v>
      </c>
      <c r="AA183" s="207">
        <v>0</v>
      </c>
      <c r="AB183" s="207">
        <v>0</v>
      </c>
      <c r="AC183" s="176">
        <v>0</v>
      </c>
      <c r="AD183" s="176">
        <f t="shared" si="99"/>
        <v>0</v>
      </c>
      <c r="AE183" s="49" t="s">
        <v>1002</v>
      </c>
    </row>
    <row r="184" spans="1:31" ht="64.5" customHeight="1" outlineLevel="1" x14ac:dyDescent="0.25">
      <c r="A184" s="1443"/>
      <c r="B184" s="1444"/>
      <c r="C184" s="63">
        <v>44239</v>
      </c>
      <c r="D184" s="48" t="s">
        <v>1273</v>
      </c>
      <c r="E184" s="49" t="s">
        <v>1003</v>
      </c>
      <c r="F184" s="124">
        <f t="shared" si="77"/>
        <v>0</v>
      </c>
      <c r="G184" s="52">
        <f t="shared" si="96"/>
        <v>0</v>
      </c>
      <c r="H184" s="52">
        <f t="shared" si="94"/>
        <v>4.1670124407356933E-6</v>
      </c>
      <c r="I184" s="52">
        <f t="shared" si="113"/>
        <v>0</v>
      </c>
      <c r="J184" s="53">
        <f t="shared" si="115"/>
        <v>0.12763099999999999</v>
      </c>
      <c r="K184" s="149">
        <f t="shared" si="116"/>
        <v>0</v>
      </c>
      <c r="L184" s="254">
        <f t="shared" si="116"/>
        <v>0</v>
      </c>
      <c r="M184" s="252">
        <f t="shared" si="116"/>
        <v>0.12763099999999999</v>
      </c>
      <c r="N184" s="94">
        <f t="shared" si="98"/>
        <v>0</v>
      </c>
      <c r="O184" s="242" t="s">
        <v>1004</v>
      </c>
      <c r="P184" s="242" t="s">
        <v>129</v>
      </c>
      <c r="Q184" s="150">
        <f t="shared" si="114"/>
        <v>0</v>
      </c>
      <c r="R184" s="82">
        <f t="shared" si="114"/>
        <v>0</v>
      </c>
      <c r="S184" s="75">
        <f t="shared" si="112"/>
        <v>-4.1670124407356931E-4</v>
      </c>
      <c r="T184" s="137">
        <f t="shared" si="112"/>
        <v>-4.1670124407356931E-4</v>
      </c>
      <c r="U184" s="75">
        <f t="shared" si="112"/>
        <v>0</v>
      </c>
      <c r="V184" s="75">
        <f t="shared" si="112"/>
        <v>0</v>
      </c>
      <c r="W184" s="151">
        <v>0</v>
      </c>
      <c r="X184" s="255">
        <v>0</v>
      </c>
      <c r="Y184" s="248">
        <v>-0.12763099999999999</v>
      </c>
      <c r="Z184" s="132">
        <v>-0.12763099999999999</v>
      </c>
      <c r="AA184" s="207">
        <v>0</v>
      </c>
      <c r="AB184" s="207">
        <v>0</v>
      </c>
      <c r="AC184" s="176">
        <v>-1.3014E-2</v>
      </c>
      <c r="AD184" s="176">
        <f t="shared" si="99"/>
        <v>1.3014E-2</v>
      </c>
      <c r="AE184" s="49" t="s">
        <v>1005</v>
      </c>
    </row>
    <row r="185" spans="1:31" ht="64.5" customHeight="1" outlineLevel="1" x14ac:dyDescent="0.25">
      <c r="A185" s="1443"/>
      <c r="B185" s="1444"/>
      <c r="C185" s="63">
        <v>44250</v>
      </c>
      <c r="D185" s="48" t="s">
        <v>1274</v>
      </c>
      <c r="E185" s="49" t="s">
        <v>1126</v>
      </c>
      <c r="F185" s="124">
        <f t="shared" si="77"/>
        <v>0</v>
      </c>
      <c r="G185" s="52">
        <f t="shared" si="96"/>
        <v>0</v>
      </c>
      <c r="H185" s="52">
        <f t="shared" si="94"/>
        <v>2.6760675283034776E-5</v>
      </c>
      <c r="I185" s="52">
        <f t="shared" si="113"/>
        <v>0</v>
      </c>
      <c r="J185" s="53">
        <f t="shared" si="115"/>
        <v>0.81964999999999999</v>
      </c>
      <c r="K185" s="149">
        <f t="shared" si="116"/>
        <v>0</v>
      </c>
      <c r="L185" s="254">
        <f>-X185</f>
        <v>0</v>
      </c>
      <c r="M185" s="252">
        <f t="shared" si="116"/>
        <v>0.81964999999999999</v>
      </c>
      <c r="N185" s="94">
        <f t="shared" si="98"/>
        <v>0</v>
      </c>
      <c r="O185" s="242" t="s">
        <v>480</v>
      </c>
      <c r="P185" s="242" t="s">
        <v>129</v>
      </c>
      <c r="Q185" s="150">
        <f t="shared" si="114"/>
        <v>0</v>
      </c>
      <c r="R185" s="82">
        <f t="shared" si="114"/>
        <v>0</v>
      </c>
      <c r="S185" s="75">
        <f t="shared" si="112"/>
        <v>-2.6760675283034776E-3</v>
      </c>
      <c r="T185" s="137">
        <f t="shared" si="112"/>
        <v>-2.6760675283034776E-3</v>
      </c>
      <c r="U185" s="75">
        <f t="shared" si="112"/>
        <v>0</v>
      </c>
      <c r="V185" s="75">
        <f t="shared" si="112"/>
        <v>0</v>
      </c>
      <c r="W185" s="151">
        <v>0</v>
      </c>
      <c r="X185" s="255">
        <v>0</v>
      </c>
      <c r="Y185" s="248">
        <v>-0.81964999999999999</v>
      </c>
      <c r="Z185" s="132">
        <v>-0.81964999999999999</v>
      </c>
      <c r="AA185" s="207">
        <v>0</v>
      </c>
      <c r="AB185" s="207">
        <v>0</v>
      </c>
      <c r="AC185" s="176">
        <v>0</v>
      </c>
      <c r="AD185" s="176">
        <f t="shared" si="99"/>
        <v>0</v>
      </c>
      <c r="AE185" s="49" t="s">
        <v>1127</v>
      </c>
    </row>
    <row r="186" spans="1:31" ht="74.25" customHeight="1" outlineLevel="1" x14ac:dyDescent="0.25">
      <c r="A186" s="1443"/>
      <c r="B186" s="1444"/>
      <c r="C186" s="63">
        <v>44260</v>
      </c>
      <c r="D186" s="48" t="s">
        <v>748</v>
      </c>
      <c r="E186" s="49" t="s">
        <v>1177</v>
      </c>
      <c r="F186" s="124">
        <f t="shared" si="77"/>
        <v>0</v>
      </c>
      <c r="G186" s="52">
        <f t="shared" si="96"/>
        <v>0</v>
      </c>
      <c r="H186" s="52">
        <f t="shared" si="94"/>
        <v>1.6256542959712898E-6</v>
      </c>
      <c r="I186" s="52">
        <f t="shared" si="113"/>
        <v>0</v>
      </c>
      <c r="J186" s="53">
        <f t="shared" si="115"/>
        <v>4.9792000000000003E-2</v>
      </c>
      <c r="K186" s="149">
        <f t="shared" si="116"/>
        <v>0</v>
      </c>
      <c r="L186" s="247">
        <f t="shared" si="116"/>
        <v>0</v>
      </c>
      <c r="M186" s="247">
        <f t="shared" si="116"/>
        <v>4.9792000000000003E-2</v>
      </c>
      <c r="N186" s="69">
        <f t="shared" si="98"/>
        <v>0</v>
      </c>
      <c r="O186" s="242" t="s">
        <v>1178</v>
      </c>
      <c r="P186" s="242" t="s">
        <v>129</v>
      </c>
      <c r="Q186" s="150">
        <f t="shared" si="114"/>
        <v>0</v>
      </c>
      <c r="R186" s="82">
        <f t="shared" si="114"/>
        <v>0</v>
      </c>
      <c r="S186" s="74">
        <f t="shared" si="112"/>
        <v>-1.6256542959712899E-4</v>
      </c>
      <c r="T186" s="136">
        <f t="shared" si="112"/>
        <v>-1.6256542959712899E-4</v>
      </c>
      <c r="U186" s="74">
        <f t="shared" si="112"/>
        <v>0</v>
      </c>
      <c r="V186" s="75">
        <f t="shared" si="112"/>
        <v>0</v>
      </c>
      <c r="W186" s="151">
        <v>0</v>
      </c>
      <c r="X186" s="248">
        <v>0</v>
      </c>
      <c r="Y186" s="248">
        <v>-4.9792000000000003E-2</v>
      </c>
      <c r="Z186" s="131">
        <v>-4.9792000000000003E-2</v>
      </c>
      <c r="AA186" s="76">
        <v>0</v>
      </c>
      <c r="AB186" s="207">
        <v>0</v>
      </c>
      <c r="AC186" s="176">
        <v>0</v>
      </c>
      <c r="AD186" s="176">
        <f>-AC186</f>
        <v>0</v>
      </c>
      <c r="AE186" s="49" t="s">
        <v>1275</v>
      </c>
    </row>
    <row r="187" spans="1:31" ht="74.25" customHeight="1" outlineLevel="1" x14ac:dyDescent="0.25">
      <c r="A187" s="1440"/>
      <c r="B187" s="1442"/>
      <c r="C187" s="63">
        <v>44313</v>
      </c>
      <c r="D187" s="48" t="s">
        <v>958</v>
      </c>
      <c r="E187" s="49" t="s">
        <v>1388</v>
      </c>
      <c r="F187" s="124"/>
      <c r="G187" s="52">
        <f>L187/$R$8</f>
        <v>0</v>
      </c>
      <c r="H187" s="52">
        <f t="shared" si="94"/>
        <v>1.2733073092641448E-5</v>
      </c>
      <c r="I187" s="52">
        <f t="shared" si="113"/>
        <v>0</v>
      </c>
      <c r="J187" s="53">
        <f t="shared" si="115"/>
        <v>0.39</v>
      </c>
      <c r="K187" s="69">
        <f t="shared" si="116"/>
        <v>0</v>
      </c>
      <c r="L187" s="247">
        <f t="shared" si="116"/>
        <v>0</v>
      </c>
      <c r="M187" s="247">
        <f t="shared" si="116"/>
        <v>0.39</v>
      </c>
      <c r="N187" s="69">
        <f t="shared" si="98"/>
        <v>0</v>
      </c>
      <c r="O187" s="242" t="s">
        <v>1178</v>
      </c>
      <c r="P187" s="241" t="s">
        <v>129</v>
      </c>
      <c r="Q187" s="74">
        <f t="shared" si="114"/>
        <v>0</v>
      </c>
      <c r="R187" s="74">
        <f t="shared" si="114"/>
        <v>0</v>
      </c>
      <c r="S187" s="74">
        <f t="shared" si="114"/>
        <v>-1.2733073092641449E-3</v>
      </c>
      <c r="T187" s="136">
        <f t="shared" si="114"/>
        <v>0</v>
      </c>
      <c r="U187" s="74">
        <f t="shared" si="114"/>
        <v>0</v>
      </c>
      <c r="V187" s="74">
        <f t="shared" si="114"/>
        <v>0</v>
      </c>
      <c r="W187" s="76">
        <v>0</v>
      </c>
      <c r="X187" s="248">
        <v>0</v>
      </c>
      <c r="Y187" s="248">
        <v>-0.39</v>
      </c>
      <c r="Z187" s="131">
        <v>0</v>
      </c>
      <c r="AA187" s="76">
        <v>0</v>
      </c>
      <c r="AB187" s="76">
        <v>0</v>
      </c>
      <c r="AC187" s="176">
        <v>0</v>
      </c>
      <c r="AD187" s="176">
        <f>-AC187</f>
        <v>0</v>
      </c>
      <c r="AE187" s="49" t="s">
        <v>1389</v>
      </c>
    </row>
    <row r="188" spans="1:31" ht="99" customHeight="1" outlineLevel="1" x14ac:dyDescent="0.25">
      <c r="A188" s="92">
        <v>12</v>
      </c>
      <c r="B188" s="171" t="s">
        <v>203</v>
      </c>
      <c r="C188" s="63">
        <v>43965</v>
      </c>
      <c r="D188" s="48" t="s">
        <v>1006</v>
      </c>
      <c r="E188" s="49" t="s">
        <v>208</v>
      </c>
      <c r="F188" s="124">
        <f t="shared" si="77"/>
        <v>2.8388309569411932E-6</v>
      </c>
      <c r="G188" s="52">
        <f t="shared" si="96"/>
        <v>2.7284717081241273E-6</v>
      </c>
      <c r="H188" s="52">
        <f t="shared" si="94"/>
        <v>0</v>
      </c>
      <c r="I188" s="52">
        <f t="shared" si="113"/>
        <v>0</v>
      </c>
      <c r="J188" s="53">
        <f t="shared" si="115"/>
        <v>8.0036999999999997E-2</v>
      </c>
      <c r="K188" s="149">
        <f t="shared" si="116"/>
        <v>8.0037999999999998E-2</v>
      </c>
      <c r="L188" s="254">
        <f t="shared" si="116"/>
        <v>8.0036999999999997E-2</v>
      </c>
      <c r="M188" s="252">
        <f t="shared" si="116"/>
        <v>0</v>
      </c>
      <c r="N188" s="94">
        <f t="shared" si="98"/>
        <v>0</v>
      </c>
      <c r="O188" s="242" t="s">
        <v>486</v>
      </c>
      <c r="P188" s="242" t="s">
        <v>130</v>
      </c>
      <c r="Q188" s="150">
        <f t="shared" si="114"/>
        <v>-2.8388309569411931E-4</v>
      </c>
      <c r="R188" s="82">
        <f t="shared" si="114"/>
        <v>-2.7284717081241272E-4</v>
      </c>
      <c r="S188" s="75">
        <f t="shared" si="112"/>
        <v>0</v>
      </c>
      <c r="T188" s="137">
        <f t="shared" si="112"/>
        <v>0</v>
      </c>
      <c r="U188" s="75">
        <f t="shared" si="112"/>
        <v>0</v>
      </c>
      <c r="V188" s="75">
        <f t="shared" si="112"/>
        <v>0</v>
      </c>
      <c r="W188" s="151">
        <v>-8.0037999999999998E-2</v>
      </c>
      <c r="X188" s="255">
        <v>-8.0036999999999997E-2</v>
      </c>
      <c r="Y188" s="248">
        <v>0</v>
      </c>
      <c r="Z188" s="132">
        <v>0</v>
      </c>
      <c r="AA188" s="207">
        <v>0</v>
      </c>
      <c r="AB188" s="207">
        <v>0</v>
      </c>
      <c r="AC188" s="176">
        <v>0</v>
      </c>
      <c r="AD188" s="176">
        <f t="shared" si="99"/>
        <v>0</v>
      </c>
      <c r="AE188" s="96" t="s">
        <v>1007</v>
      </c>
    </row>
    <row r="189" spans="1:31" ht="71.099999999999994" customHeight="1" outlineLevel="1" x14ac:dyDescent="0.25">
      <c r="A189" s="92">
        <v>13</v>
      </c>
      <c r="B189" s="171" t="s">
        <v>251</v>
      </c>
      <c r="C189" s="63" t="s">
        <v>601</v>
      </c>
      <c r="D189" s="48" t="s">
        <v>1008</v>
      </c>
      <c r="E189" s="49" t="s">
        <v>1009</v>
      </c>
      <c r="F189" s="124">
        <f t="shared" si="77"/>
        <v>5.1429382138043551E-6</v>
      </c>
      <c r="G189" s="52">
        <f t="shared" si="96"/>
        <v>0</v>
      </c>
      <c r="H189" s="52">
        <f t="shared" si="94"/>
        <v>7.9989818146080895E-6</v>
      </c>
      <c r="I189" s="52">
        <f t="shared" si="113"/>
        <v>0</v>
      </c>
      <c r="J189" s="53">
        <f t="shared" si="115"/>
        <v>0.245</v>
      </c>
      <c r="K189" s="149">
        <f t="shared" si="116"/>
        <v>0.14499999999999999</v>
      </c>
      <c r="L189" s="254">
        <f t="shared" si="116"/>
        <v>0</v>
      </c>
      <c r="M189" s="252">
        <f t="shared" si="116"/>
        <v>0.245</v>
      </c>
      <c r="N189" s="94">
        <f t="shared" si="98"/>
        <v>0</v>
      </c>
      <c r="O189" s="242" t="s">
        <v>487</v>
      </c>
      <c r="P189" s="242" t="s">
        <v>129</v>
      </c>
      <c r="Q189" s="150">
        <f t="shared" si="114"/>
        <v>-5.1429382138043554E-4</v>
      </c>
      <c r="R189" s="82">
        <f t="shared" si="114"/>
        <v>0</v>
      </c>
      <c r="S189" s="75">
        <f t="shared" si="112"/>
        <v>-7.9989818146080889E-4</v>
      </c>
      <c r="T189" s="137">
        <f t="shared" si="112"/>
        <v>-7.9989818146080889E-4</v>
      </c>
      <c r="U189" s="75">
        <f t="shared" si="112"/>
        <v>0</v>
      </c>
      <c r="V189" s="75">
        <f t="shared" si="112"/>
        <v>0</v>
      </c>
      <c r="W189" s="169">
        <v>-0.14499999999999999</v>
      </c>
      <c r="X189" s="248">
        <v>0</v>
      </c>
      <c r="Y189" s="248">
        <v>-0.245</v>
      </c>
      <c r="Z189" s="132">
        <v>-0.245</v>
      </c>
      <c r="AA189" s="207">
        <v>0</v>
      </c>
      <c r="AB189" s="207">
        <v>0</v>
      </c>
      <c r="AC189" s="176">
        <v>0</v>
      </c>
      <c r="AD189" s="176">
        <f t="shared" si="99"/>
        <v>0</v>
      </c>
      <c r="AE189" s="51" t="s">
        <v>1010</v>
      </c>
    </row>
    <row r="190" spans="1:31" ht="139.5" customHeight="1" outlineLevel="1" x14ac:dyDescent="0.25">
      <c r="A190" s="1439">
        <v>14</v>
      </c>
      <c r="B190" s="1445" t="s">
        <v>252</v>
      </c>
      <c r="C190" s="63" t="s">
        <v>299</v>
      </c>
      <c r="D190" s="65" t="s">
        <v>1011</v>
      </c>
      <c r="E190" s="49" t="s">
        <v>1012</v>
      </c>
      <c r="F190" s="124">
        <f t="shared" si="77"/>
        <v>2.2493289352344469E-4</v>
      </c>
      <c r="G190" s="52">
        <f t="shared" si="96"/>
        <v>2.1619135253407611E-4</v>
      </c>
      <c r="H190" s="52">
        <f t="shared" si="94"/>
        <v>0</v>
      </c>
      <c r="I190" s="52">
        <f t="shared" si="113"/>
        <v>0</v>
      </c>
      <c r="J190" s="53">
        <f t="shared" si="115"/>
        <v>6.3417579999999996</v>
      </c>
      <c r="K190" s="149">
        <f t="shared" si="116"/>
        <v>6.3417579999999996</v>
      </c>
      <c r="L190" s="254">
        <f t="shared" si="116"/>
        <v>6.3417579999999996</v>
      </c>
      <c r="M190" s="252">
        <f t="shared" si="116"/>
        <v>0</v>
      </c>
      <c r="N190" s="94">
        <f t="shared" si="98"/>
        <v>0</v>
      </c>
      <c r="O190" s="242" t="s">
        <v>478</v>
      </c>
      <c r="P190" s="242" t="s">
        <v>131</v>
      </c>
      <c r="Q190" s="150">
        <f t="shared" si="114"/>
        <v>-2.2493289352344469E-2</v>
      </c>
      <c r="R190" s="82">
        <f t="shared" si="114"/>
        <v>-2.1619135253407612E-2</v>
      </c>
      <c r="S190" s="75">
        <f t="shared" si="112"/>
        <v>0</v>
      </c>
      <c r="T190" s="137">
        <f t="shared" si="112"/>
        <v>0</v>
      </c>
      <c r="U190" s="75">
        <f t="shared" si="112"/>
        <v>0</v>
      </c>
      <c r="V190" s="75">
        <f t="shared" si="112"/>
        <v>0</v>
      </c>
      <c r="W190" s="151">
        <v>-6.3417579999999996</v>
      </c>
      <c r="X190" s="255">
        <v>-6.3417579999999996</v>
      </c>
      <c r="Y190" s="248">
        <v>0</v>
      </c>
      <c r="Z190" s="132">
        <v>0</v>
      </c>
      <c r="AA190" s="207">
        <v>0</v>
      </c>
      <c r="AB190" s="207">
        <v>0</v>
      </c>
      <c r="AC190" s="176">
        <v>0</v>
      </c>
      <c r="AD190" s="176">
        <f t="shared" si="99"/>
        <v>0</v>
      </c>
      <c r="AE190" s="1557" t="s">
        <v>491</v>
      </c>
    </row>
    <row r="191" spans="1:31" ht="117" customHeight="1" outlineLevel="1" x14ac:dyDescent="0.25">
      <c r="A191" s="1443"/>
      <c r="B191" s="1446"/>
      <c r="C191" s="63" t="s">
        <v>299</v>
      </c>
      <c r="D191" s="48" t="s">
        <v>1013</v>
      </c>
      <c r="E191" s="49" t="s">
        <v>1014</v>
      </c>
      <c r="F191" s="124">
        <f t="shared" si="77"/>
        <v>9.6602915513939133E-4</v>
      </c>
      <c r="G191" s="52">
        <f t="shared" si="96"/>
        <v>9.2848647596829924E-4</v>
      </c>
      <c r="H191" s="52">
        <f t="shared" si="94"/>
        <v>0</v>
      </c>
      <c r="I191" s="52">
        <f t="shared" si="113"/>
        <v>0</v>
      </c>
      <c r="J191" s="53">
        <f t="shared" si="115"/>
        <v>27.236225999999998</v>
      </c>
      <c r="K191" s="149">
        <f t="shared" si="116"/>
        <v>27.236225999999998</v>
      </c>
      <c r="L191" s="254">
        <f t="shared" si="116"/>
        <v>27.236225999999998</v>
      </c>
      <c r="M191" s="252">
        <f t="shared" si="116"/>
        <v>0</v>
      </c>
      <c r="N191" s="94">
        <f t="shared" si="98"/>
        <v>0</v>
      </c>
      <c r="O191" s="242" t="s">
        <v>478</v>
      </c>
      <c r="P191" s="242" t="s">
        <v>127</v>
      </c>
      <c r="Q191" s="150">
        <f t="shared" si="114"/>
        <v>-9.6602915513939139E-2</v>
      </c>
      <c r="R191" s="82">
        <f t="shared" si="114"/>
        <v>-9.2848647596829925E-2</v>
      </c>
      <c r="S191" s="75">
        <f t="shared" si="112"/>
        <v>0</v>
      </c>
      <c r="T191" s="137">
        <f t="shared" si="112"/>
        <v>0</v>
      </c>
      <c r="U191" s="75">
        <f t="shared" si="112"/>
        <v>0</v>
      </c>
      <c r="V191" s="75">
        <f t="shared" si="112"/>
        <v>0</v>
      </c>
      <c r="W191" s="151">
        <v>-27.236225999999998</v>
      </c>
      <c r="X191" s="255">
        <v>-27.236225999999998</v>
      </c>
      <c r="Y191" s="248">
        <v>0</v>
      </c>
      <c r="Z191" s="132">
        <v>0</v>
      </c>
      <c r="AA191" s="207">
        <v>0</v>
      </c>
      <c r="AB191" s="207">
        <v>0</v>
      </c>
      <c r="AC191" s="176">
        <v>0</v>
      </c>
      <c r="AD191" s="176">
        <f t="shared" si="99"/>
        <v>0</v>
      </c>
      <c r="AE191" s="1557"/>
    </row>
    <row r="192" spans="1:31" ht="86.25" customHeight="1" outlineLevel="1" x14ac:dyDescent="0.25">
      <c r="A192" s="1443"/>
      <c r="B192" s="1446"/>
      <c r="C192" s="63" t="s">
        <v>299</v>
      </c>
      <c r="D192" s="48" t="s">
        <v>1015</v>
      </c>
      <c r="E192" s="49" t="s">
        <v>305</v>
      </c>
      <c r="F192" s="124">
        <f t="shared" si="77"/>
        <v>1.1499615521032844E-3</v>
      </c>
      <c r="G192" s="52">
        <f t="shared" si="96"/>
        <v>1.1052707294919573E-3</v>
      </c>
      <c r="H192" s="52">
        <f t="shared" si="94"/>
        <v>0</v>
      </c>
      <c r="I192" s="52">
        <f t="shared" si="113"/>
        <v>0</v>
      </c>
      <c r="J192" s="53">
        <f t="shared" si="115"/>
        <v>32.422015999999999</v>
      </c>
      <c r="K192" s="149">
        <f t="shared" si="116"/>
        <v>32.422015999999999</v>
      </c>
      <c r="L192" s="254">
        <f t="shared" si="116"/>
        <v>32.422015999999999</v>
      </c>
      <c r="M192" s="252">
        <f t="shared" si="116"/>
        <v>0</v>
      </c>
      <c r="N192" s="94">
        <f t="shared" si="98"/>
        <v>0</v>
      </c>
      <c r="O192" s="242" t="s">
        <v>478</v>
      </c>
      <c r="P192" s="242" t="s">
        <v>128</v>
      </c>
      <c r="Q192" s="150">
        <f t="shared" si="114"/>
        <v>-0.11499615521032844</v>
      </c>
      <c r="R192" s="82">
        <f t="shared" si="114"/>
        <v>-0.11052707294919573</v>
      </c>
      <c r="S192" s="75">
        <f t="shared" si="112"/>
        <v>0</v>
      </c>
      <c r="T192" s="137">
        <f t="shared" si="112"/>
        <v>0</v>
      </c>
      <c r="U192" s="75">
        <f t="shared" si="112"/>
        <v>0</v>
      </c>
      <c r="V192" s="75">
        <f t="shared" si="112"/>
        <v>0</v>
      </c>
      <c r="W192" s="151">
        <v>-32.422015999999999</v>
      </c>
      <c r="X192" s="255">
        <v>-32.422015999999999</v>
      </c>
      <c r="Y192" s="248">
        <v>0</v>
      </c>
      <c r="Z192" s="132">
        <v>0</v>
      </c>
      <c r="AA192" s="207">
        <v>0</v>
      </c>
      <c r="AB192" s="207">
        <v>0</v>
      </c>
      <c r="AC192" s="176">
        <v>0</v>
      </c>
      <c r="AD192" s="176">
        <f t="shared" si="99"/>
        <v>0</v>
      </c>
      <c r="AE192" s="1557"/>
    </row>
    <row r="193" spans="1:31" ht="80.25" customHeight="1" outlineLevel="1" x14ac:dyDescent="0.25">
      <c r="A193" s="1440"/>
      <c r="B193" s="1477"/>
      <c r="C193" s="63" t="s">
        <v>414</v>
      </c>
      <c r="D193" s="48" t="s">
        <v>1016</v>
      </c>
      <c r="E193" s="49" t="s">
        <v>466</v>
      </c>
      <c r="F193" s="124">
        <f t="shared" si="77"/>
        <v>3.3181517344115771E-4</v>
      </c>
      <c r="G193" s="52">
        <f t="shared" si="96"/>
        <v>3.1891987878640771E-4</v>
      </c>
      <c r="H193" s="52">
        <f t="shared" si="94"/>
        <v>0</v>
      </c>
      <c r="I193" s="52">
        <f t="shared" si="113"/>
        <v>0</v>
      </c>
      <c r="J193" s="53">
        <f t="shared" si="115"/>
        <v>9.3551970000000004</v>
      </c>
      <c r="K193" s="149">
        <f t="shared" si="116"/>
        <v>9.3551970000000004</v>
      </c>
      <c r="L193" s="254">
        <f t="shared" si="116"/>
        <v>9.3551970000000004</v>
      </c>
      <c r="M193" s="252">
        <f t="shared" si="116"/>
        <v>0</v>
      </c>
      <c r="N193" s="94">
        <f t="shared" si="98"/>
        <v>0</v>
      </c>
      <c r="O193" s="242" t="s">
        <v>478</v>
      </c>
      <c r="P193" s="242" t="s">
        <v>127</v>
      </c>
      <c r="Q193" s="150">
        <f t="shared" si="114"/>
        <v>-3.3181517344115771E-2</v>
      </c>
      <c r="R193" s="82">
        <f t="shared" si="114"/>
        <v>-3.1891987878640768E-2</v>
      </c>
      <c r="S193" s="75">
        <f t="shared" si="112"/>
        <v>0</v>
      </c>
      <c r="T193" s="137">
        <f t="shared" si="112"/>
        <v>0</v>
      </c>
      <c r="U193" s="75">
        <f t="shared" si="112"/>
        <v>0</v>
      </c>
      <c r="V193" s="75">
        <f t="shared" si="112"/>
        <v>0</v>
      </c>
      <c r="W193" s="151">
        <v>-9.3551970000000004</v>
      </c>
      <c r="X193" s="255">
        <v>-9.3551970000000004</v>
      </c>
      <c r="Y193" s="248">
        <v>0</v>
      </c>
      <c r="Z193" s="132">
        <v>0</v>
      </c>
      <c r="AA193" s="207">
        <v>0</v>
      </c>
      <c r="AB193" s="207">
        <v>0</v>
      </c>
      <c r="AC193" s="176">
        <v>0</v>
      </c>
      <c r="AD193" s="176">
        <f t="shared" si="99"/>
        <v>0</v>
      </c>
      <c r="AE193" s="51" t="s">
        <v>467</v>
      </c>
    </row>
    <row r="194" spans="1:31" ht="75" outlineLevel="1" x14ac:dyDescent="0.25">
      <c r="A194" s="1439">
        <v>15</v>
      </c>
      <c r="B194" s="1441" t="s">
        <v>253</v>
      </c>
      <c r="C194" s="63">
        <v>44012</v>
      </c>
      <c r="D194" s="48" t="s">
        <v>1017</v>
      </c>
      <c r="E194" s="49" t="s">
        <v>322</v>
      </c>
      <c r="F194" s="124">
        <f t="shared" si="77"/>
        <v>1.773426970277364E-4</v>
      </c>
      <c r="G194" s="52">
        <f t="shared" si="96"/>
        <v>1.7045064833290399E-4</v>
      </c>
      <c r="H194" s="52">
        <f t="shared" si="94"/>
        <v>0</v>
      </c>
      <c r="I194" s="52">
        <f t="shared" si="113"/>
        <v>0</v>
      </c>
      <c r="J194" s="53">
        <f t="shared" si="115"/>
        <v>5</v>
      </c>
      <c r="K194" s="149">
        <f t="shared" si="116"/>
        <v>5</v>
      </c>
      <c r="L194" s="254">
        <f t="shared" si="116"/>
        <v>5</v>
      </c>
      <c r="M194" s="252">
        <f t="shared" si="116"/>
        <v>0</v>
      </c>
      <c r="N194" s="94">
        <f t="shared" si="98"/>
        <v>0</v>
      </c>
      <c r="O194" s="242" t="s">
        <v>482</v>
      </c>
      <c r="P194" s="242" t="s">
        <v>127</v>
      </c>
      <c r="Q194" s="150">
        <f t="shared" si="114"/>
        <v>-1.7734269702773642E-2</v>
      </c>
      <c r="R194" s="82">
        <f t="shared" si="114"/>
        <v>-1.7045064833290397E-2</v>
      </c>
      <c r="S194" s="75">
        <f t="shared" si="112"/>
        <v>0</v>
      </c>
      <c r="T194" s="137">
        <f t="shared" si="112"/>
        <v>0</v>
      </c>
      <c r="U194" s="75">
        <f t="shared" si="112"/>
        <v>0</v>
      </c>
      <c r="V194" s="75">
        <f t="shared" si="112"/>
        <v>0</v>
      </c>
      <c r="W194" s="151">
        <v>-5</v>
      </c>
      <c r="X194" s="255">
        <v>-5</v>
      </c>
      <c r="Y194" s="248">
        <v>0</v>
      </c>
      <c r="Z194" s="132">
        <v>0</v>
      </c>
      <c r="AA194" s="207">
        <v>0</v>
      </c>
      <c r="AB194" s="207">
        <v>0</v>
      </c>
      <c r="AC194" s="176">
        <v>0</v>
      </c>
      <c r="AD194" s="176">
        <f t="shared" si="99"/>
        <v>0</v>
      </c>
      <c r="AE194" s="51" t="s">
        <v>1018</v>
      </c>
    </row>
    <row r="195" spans="1:31" ht="44.25" customHeight="1" outlineLevel="1" x14ac:dyDescent="0.25">
      <c r="A195" s="1440"/>
      <c r="B195" s="1442"/>
      <c r="C195" s="63">
        <v>44315</v>
      </c>
      <c r="D195" s="48" t="s">
        <v>1390</v>
      </c>
      <c r="E195" s="49" t="s">
        <v>1391</v>
      </c>
      <c r="F195" s="124"/>
      <c r="G195" s="52">
        <f t="shared" si="96"/>
        <v>0</v>
      </c>
      <c r="H195" s="52">
        <f t="shared" si="94"/>
        <v>2.6119124292597841E-4</v>
      </c>
      <c r="I195" s="52">
        <f t="shared" si="113"/>
        <v>0</v>
      </c>
      <c r="J195" s="53">
        <f t="shared" si="115"/>
        <v>8</v>
      </c>
      <c r="K195" s="193">
        <f t="shared" si="116"/>
        <v>0</v>
      </c>
      <c r="L195" s="254">
        <f t="shared" si="116"/>
        <v>0</v>
      </c>
      <c r="M195" s="252">
        <f t="shared" si="116"/>
        <v>8</v>
      </c>
      <c r="N195" s="94">
        <f t="shared" si="98"/>
        <v>0</v>
      </c>
      <c r="O195" s="242" t="s">
        <v>459</v>
      </c>
      <c r="P195" s="242" t="s">
        <v>127</v>
      </c>
      <c r="Q195" s="194">
        <f t="shared" si="114"/>
        <v>0</v>
      </c>
      <c r="R195" s="82">
        <f t="shared" si="114"/>
        <v>0</v>
      </c>
      <c r="S195" s="75">
        <f t="shared" si="114"/>
        <v>-2.6119124292597842E-2</v>
      </c>
      <c r="T195" s="137">
        <f t="shared" si="114"/>
        <v>0</v>
      </c>
      <c r="U195" s="75">
        <f t="shared" si="114"/>
        <v>0</v>
      </c>
      <c r="V195" s="75">
        <f t="shared" si="114"/>
        <v>0</v>
      </c>
      <c r="W195" s="77">
        <v>0</v>
      </c>
      <c r="X195" s="255">
        <v>0</v>
      </c>
      <c r="Y195" s="248">
        <v>-8</v>
      </c>
      <c r="Z195" s="132">
        <v>0</v>
      </c>
      <c r="AA195" s="207">
        <v>0</v>
      </c>
      <c r="AB195" s="207">
        <v>0</v>
      </c>
      <c r="AC195" s="207">
        <v>0</v>
      </c>
      <c r="AD195" s="207">
        <f t="shared" si="99"/>
        <v>0</v>
      </c>
      <c r="AE195" s="51" t="s">
        <v>1392</v>
      </c>
    </row>
    <row r="196" spans="1:31" ht="60" outlineLevel="1" x14ac:dyDescent="0.25">
      <c r="A196" s="92">
        <v>16</v>
      </c>
      <c r="B196" s="171" t="s">
        <v>254</v>
      </c>
      <c r="C196" s="63" t="s">
        <v>599</v>
      </c>
      <c r="D196" s="48" t="s">
        <v>247</v>
      </c>
      <c r="E196" s="49" t="s">
        <v>1019</v>
      </c>
      <c r="F196" s="124">
        <f t="shared" si="77"/>
        <v>0</v>
      </c>
      <c r="G196" s="52">
        <f t="shared" si="96"/>
        <v>0</v>
      </c>
      <c r="H196" s="52">
        <f t="shared" si="94"/>
        <v>4.8973358048620956E-4</v>
      </c>
      <c r="I196" s="52">
        <f t="shared" si="113"/>
        <v>0</v>
      </c>
      <c r="J196" s="53">
        <f t="shared" si="115"/>
        <v>15</v>
      </c>
      <c r="K196" s="149">
        <f t="shared" si="116"/>
        <v>0</v>
      </c>
      <c r="L196" s="254">
        <f t="shared" si="116"/>
        <v>0</v>
      </c>
      <c r="M196" s="252">
        <f t="shared" si="116"/>
        <v>15</v>
      </c>
      <c r="N196" s="94">
        <f t="shared" si="98"/>
        <v>0</v>
      </c>
      <c r="O196" s="242" t="s">
        <v>488</v>
      </c>
      <c r="P196" s="242" t="s">
        <v>127</v>
      </c>
      <c r="Q196" s="150">
        <f t="shared" si="114"/>
        <v>0</v>
      </c>
      <c r="R196" s="82">
        <f t="shared" si="114"/>
        <v>0</v>
      </c>
      <c r="S196" s="75">
        <v>-4.9962934025357286E-2</v>
      </c>
      <c r="T196" s="137">
        <v>-4.9962934025357286E-2</v>
      </c>
      <c r="U196" s="75">
        <f t="shared" si="114"/>
        <v>0</v>
      </c>
      <c r="V196" s="75">
        <f t="shared" si="114"/>
        <v>0</v>
      </c>
      <c r="W196" s="151">
        <v>0</v>
      </c>
      <c r="X196" s="255">
        <v>0</v>
      </c>
      <c r="Y196" s="248">
        <v>-15</v>
      </c>
      <c r="Z196" s="132">
        <v>-15</v>
      </c>
      <c r="AA196" s="207">
        <v>0</v>
      </c>
      <c r="AB196" s="207">
        <v>0</v>
      </c>
      <c r="AC196" s="176">
        <v>0</v>
      </c>
      <c r="AD196" s="176">
        <f t="shared" si="99"/>
        <v>0</v>
      </c>
      <c r="AE196" s="51" t="s">
        <v>1020</v>
      </c>
    </row>
    <row r="197" spans="1:31" ht="60" customHeight="1" outlineLevel="1" x14ac:dyDescent="0.25">
      <c r="A197" s="1439">
        <v>17</v>
      </c>
      <c r="B197" s="1441" t="s">
        <v>255</v>
      </c>
      <c r="C197" s="63" t="s">
        <v>599</v>
      </c>
      <c r="D197" s="48" t="s">
        <v>247</v>
      </c>
      <c r="E197" s="49" t="s">
        <v>262</v>
      </c>
      <c r="F197" s="124">
        <f t="shared" ref="F197:F233" si="117">K197/$Q$8</f>
        <v>2.8405689153720651E-6</v>
      </c>
      <c r="G197" s="52">
        <f t="shared" si="96"/>
        <v>2.7301762146074565E-6</v>
      </c>
      <c r="H197" s="52">
        <f t="shared" si="94"/>
        <v>4.6358605164594345E-5</v>
      </c>
      <c r="I197" s="52">
        <f t="shared" si="113"/>
        <v>0</v>
      </c>
      <c r="J197" s="53">
        <f t="shared" si="115"/>
        <v>1.5</v>
      </c>
      <c r="K197" s="149">
        <f t="shared" si="116"/>
        <v>8.0087000000000005E-2</v>
      </c>
      <c r="L197" s="254">
        <f t="shared" si="116"/>
        <v>8.0087000000000005E-2</v>
      </c>
      <c r="M197" s="252">
        <f t="shared" si="116"/>
        <v>1.419913</v>
      </c>
      <c r="N197" s="94">
        <f t="shared" si="98"/>
        <v>0</v>
      </c>
      <c r="O197" s="242" t="s">
        <v>480</v>
      </c>
      <c r="P197" s="242" t="s">
        <v>129</v>
      </c>
      <c r="Q197" s="150">
        <f t="shared" si="114"/>
        <v>-2.8405689153720651E-4</v>
      </c>
      <c r="R197" s="82">
        <f t="shared" si="114"/>
        <v>-2.7301762146074568E-4</v>
      </c>
      <c r="S197" s="75">
        <f t="shared" si="114"/>
        <v>-4.6358605164594346E-3</v>
      </c>
      <c r="T197" s="137">
        <f t="shared" si="114"/>
        <v>-4.6358605164594346E-3</v>
      </c>
      <c r="U197" s="75">
        <f t="shared" si="114"/>
        <v>0</v>
      </c>
      <c r="V197" s="75">
        <f t="shared" si="114"/>
        <v>0</v>
      </c>
      <c r="W197" s="151">
        <v>-8.0087000000000005E-2</v>
      </c>
      <c r="X197" s="255">
        <v>-8.0087000000000005E-2</v>
      </c>
      <c r="Y197" s="248">
        <v>-1.419913</v>
      </c>
      <c r="Z197" s="132">
        <v>-1.419913</v>
      </c>
      <c r="AA197" s="207">
        <v>0</v>
      </c>
      <c r="AB197" s="207">
        <v>0</v>
      </c>
      <c r="AC197" s="176">
        <v>0</v>
      </c>
      <c r="AD197" s="176">
        <f t="shared" si="99"/>
        <v>0</v>
      </c>
      <c r="AE197" s="51" t="s">
        <v>1021</v>
      </c>
    </row>
    <row r="198" spans="1:31" ht="60" outlineLevel="1" x14ac:dyDescent="0.25">
      <c r="A198" s="1443"/>
      <c r="B198" s="1444"/>
      <c r="C198" s="63" t="s">
        <v>599</v>
      </c>
      <c r="D198" s="48" t="s">
        <v>247</v>
      </c>
      <c r="E198" s="49" t="s">
        <v>263</v>
      </c>
      <c r="F198" s="124">
        <f t="shared" si="117"/>
        <v>0</v>
      </c>
      <c r="G198" s="52">
        <f t="shared" si="96"/>
        <v>0</v>
      </c>
      <c r="H198" s="52">
        <f t="shared" si="94"/>
        <v>1.958934321944838E-4</v>
      </c>
      <c r="I198" s="52">
        <f t="shared" si="113"/>
        <v>0</v>
      </c>
      <c r="J198" s="53">
        <f t="shared" si="115"/>
        <v>6</v>
      </c>
      <c r="K198" s="149">
        <f t="shared" si="116"/>
        <v>0</v>
      </c>
      <c r="L198" s="254">
        <f t="shared" si="116"/>
        <v>0</v>
      </c>
      <c r="M198" s="252">
        <f t="shared" si="116"/>
        <v>6</v>
      </c>
      <c r="N198" s="94">
        <f t="shared" si="98"/>
        <v>0</v>
      </c>
      <c r="O198" s="242" t="s">
        <v>480</v>
      </c>
      <c r="P198" s="242" t="s">
        <v>129</v>
      </c>
      <c r="Q198" s="150">
        <f t="shared" si="114"/>
        <v>0</v>
      </c>
      <c r="R198" s="82">
        <f t="shared" si="114"/>
        <v>0</v>
      </c>
      <c r="S198" s="75">
        <f t="shared" si="114"/>
        <v>-1.9589343219448382E-2</v>
      </c>
      <c r="T198" s="137">
        <f t="shared" si="114"/>
        <v>-1.9589343219448382E-2</v>
      </c>
      <c r="U198" s="75">
        <f t="shared" si="114"/>
        <v>0</v>
      </c>
      <c r="V198" s="75">
        <f t="shared" si="114"/>
        <v>0</v>
      </c>
      <c r="W198" s="151">
        <v>0</v>
      </c>
      <c r="X198" s="255">
        <v>0</v>
      </c>
      <c r="Y198" s="248">
        <v>-6</v>
      </c>
      <c r="Z198" s="132">
        <v>-6</v>
      </c>
      <c r="AA198" s="207">
        <v>0</v>
      </c>
      <c r="AB198" s="207">
        <v>0</v>
      </c>
      <c r="AC198" s="176">
        <v>0</v>
      </c>
      <c r="AD198" s="176">
        <f t="shared" si="99"/>
        <v>0</v>
      </c>
      <c r="AE198" s="51" t="s">
        <v>1022</v>
      </c>
    </row>
    <row r="199" spans="1:31" ht="60" outlineLevel="1" x14ac:dyDescent="0.25">
      <c r="A199" s="1443"/>
      <c r="B199" s="1444"/>
      <c r="C199" s="63">
        <v>44103</v>
      </c>
      <c r="D199" s="48" t="s">
        <v>1023</v>
      </c>
      <c r="E199" s="49" t="s">
        <v>392</v>
      </c>
      <c r="F199" s="124">
        <f t="shared" si="117"/>
        <v>8.7036603532666526E-6</v>
      </c>
      <c r="G199" s="52">
        <f t="shared" si="96"/>
        <v>8.358797523856612E-6</v>
      </c>
      <c r="H199" s="52">
        <f t="shared" si="94"/>
        <v>0</v>
      </c>
      <c r="I199" s="52">
        <f t="shared" si="113"/>
        <v>0</v>
      </c>
      <c r="J199" s="53">
        <f t="shared" si="115"/>
        <v>0.245197</v>
      </c>
      <c r="K199" s="149">
        <f t="shared" si="116"/>
        <v>0.245391</v>
      </c>
      <c r="L199" s="254">
        <f t="shared" si="116"/>
        <v>0.245197</v>
      </c>
      <c r="M199" s="252">
        <f t="shared" si="116"/>
        <v>0</v>
      </c>
      <c r="N199" s="94">
        <f t="shared" si="98"/>
        <v>0</v>
      </c>
      <c r="O199" s="242" t="s">
        <v>480</v>
      </c>
      <c r="P199" s="242" t="s">
        <v>129</v>
      </c>
      <c r="Q199" s="150">
        <f t="shared" si="114"/>
        <v>-8.7036603532666523E-4</v>
      </c>
      <c r="R199" s="82">
        <f t="shared" si="114"/>
        <v>-8.3587975238566124E-4</v>
      </c>
      <c r="S199" s="75">
        <f t="shared" si="114"/>
        <v>0</v>
      </c>
      <c r="T199" s="137">
        <f t="shared" si="114"/>
        <v>0</v>
      </c>
      <c r="U199" s="75">
        <f t="shared" si="114"/>
        <v>0</v>
      </c>
      <c r="V199" s="75">
        <f t="shared" si="114"/>
        <v>0</v>
      </c>
      <c r="W199" s="151">
        <v>-0.245391</v>
      </c>
      <c r="X199" s="255">
        <v>-0.245197</v>
      </c>
      <c r="Y199" s="248">
        <v>0</v>
      </c>
      <c r="Z199" s="132">
        <v>0</v>
      </c>
      <c r="AA199" s="207">
        <v>0</v>
      </c>
      <c r="AB199" s="207">
        <v>0</v>
      </c>
      <c r="AC199" s="176">
        <v>0</v>
      </c>
      <c r="AD199" s="176">
        <f t="shared" si="99"/>
        <v>0</v>
      </c>
      <c r="AE199" s="51" t="s">
        <v>394</v>
      </c>
    </row>
    <row r="200" spans="1:31" ht="60" customHeight="1" outlineLevel="1" x14ac:dyDescent="0.25">
      <c r="A200" s="1443"/>
      <c r="B200" s="1444"/>
      <c r="C200" s="63">
        <v>44125</v>
      </c>
      <c r="D200" s="48" t="s">
        <v>1024</v>
      </c>
      <c r="E200" s="49" t="s">
        <v>393</v>
      </c>
      <c r="F200" s="124">
        <f t="shared" si="117"/>
        <v>2.3452862311130026E-6</v>
      </c>
      <c r="G200" s="52">
        <f t="shared" si="96"/>
        <v>2.1576324868572319E-6</v>
      </c>
      <c r="H200" s="52">
        <f t="shared" si="94"/>
        <v>0</v>
      </c>
      <c r="I200" s="52">
        <f t="shared" si="113"/>
        <v>0</v>
      </c>
      <c r="J200" s="53">
        <f t="shared" si="115"/>
        <v>6.3292000000000001E-2</v>
      </c>
      <c r="K200" s="149">
        <f t="shared" si="116"/>
        <v>6.6123000000000001E-2</v>
      </c>
      <c r="L200" s="254">
        <f t="shared" si="116"/>
        <v>6.3292000000000001E-2</v>
      </c>
      <c r="M200" s="252">
        <f t="shared" si="116"/>
        <v>0</v>
      </c>
      <c r="N200" s="94">
        <f t="shared" si="98"/>
        <v>0</v>
      </c>
      <c r="O200" s="242" t="s">
        <v>480</v>
      </c>
      <c r="P200" s="242" t="s">
        <v>130</v>
      </c>
      <c r="Q200" s="150">
        <f t="shared" si="114"/>
        <v>-2.3452862311130026E-4</v>
      </c>
      <c r="R200" s="82">
        <f t="shared" si="114"/>
        <v>-2.1576324868572319E-4</v>
      </c>
      <c r="S200" s="75">
        <f>Y200/S$8*100</f>
        <v>0</v>
      </c>
      <c r="T200" s="137">
        <f>Z200/T$8*100</f>
        <v>0</v>
      </c>
      <c r="U200" s="75">
        <f t="shared" si="114"/>
        <v>0</v>
      </c>
      <c r="V200" s="75">
        <f t="shared" si="114"/>
        <v>0</v>
      </c>
      <c r="W200" s="151">
        <v>-6.6123000000000001E-2</v>
      </c>
      <c r="X200" s="255">
        <v>-6.3292000000000001E-2</v>
      </c>
      <c r="Y200" s="248">
        <v>0</v>
      </c>
      <c r="Z200" s="132">
        <v>0</v>
      </c>
      <c r="AA200" s="207">
        <v>0</v>
      </c>
      <c r="AB200" s="207">
        <v>0</v>
      </c>
      <c r="AC200" s="176">
        <v>0</v>
      </c>
      <c r="AD200" s="176">
        <f t="shared" si="99"/>
        <v>0</v>
      </c>
      <c r="AE200" s="51" t="s">
        <v>395</v>
      </c>
    </row>
    <row r="201" spans="1:31" ht="60" customHeight="1" outlineLevel="1" x14ac:dyDescent="0.25">
      <c r="A201" s="1440"/>
      <c r="B201" s="1442"/>
      <c r="C201" s="63">
        <v>44306</v>
      </c>
      <c r="D201" s="48" t="s">
        <v>1393</v>
      </c>
      <c r="E201" s="49" t="s">
        <v>1394</v>
      </c>
      <c r="F201" s="124"/>
      <c r="G201" s="52">
        <f t="shared" si="96"/>
        <v>0</v>
      </c>
      <c r="H201" s="52">
        <f t="shared" si="94"/>
        <v>9.7352506019585309E-6</v>
      </c>
      <c r="I201" s="52">
        <f t="shared" si="113"/>
        <v>0</v>
      </c>
      <c r="J201" s="53">
        <f t="shared" si="115"/>
        <v>0.29818</v>
      </c>
      <c r="K201" s="95">
        <f t="shared" si="116"/>
        <v>6.6123000000000001E-2</v>
      </c>
      <c r="L201" s="254">
        <f t="shared" si="116"/>
        <v>0</v>
      </c>
      <c r="M201" s="252">
        <f t="shared" si="116"/>
        <v>0.29818</v>
      </c>
      <c r="N201" s="94">
        <f t="shared" si="98"/>
        <v>0</v>
      </c>
      <c r="O201" s="242" t="s">
        <v>480</v>
      </c>
      <c r="P201" s="242" t="s">
        <v>129</v>
      </c>
      <c r="Q201" s="82">
        <f t="shared" si="114"/>
        <v>-2.3452862311130026E-4</v>
      </c>
      <c r="R201" s="82">
        <f t="shared" si="114"/>
        <v>0</v>
      </c>
      <c r="S201" s="75">
        <f>Y201/S$8*100</f>
        <v>-9.7352506019585312E-4</v>
      </c>
      <c r="T201" s="137">
        <f>Z201/T$8*100</f>
        <v>0</v>
      </c>
      <c r="U201" s="75">
        <f t="shared" si="114"/>
        <v>0</v>
      </c>
      <c r="V201" s="75">
        <f t="shared" si="114"/>
        <v>0</v>
      </c>
      <c r="W201" s="77">
        <v>-6.6123000000000001E-2</v>
      </c>
      <c r="X201" s="255">
        <v>0</v>
      </c>
      <c r="Y201" s="248">
        <v>-0.29818</v>
      </c>
      <c r="Z201" s="132">
        <v>0</v>
      </c>
      <c r="AA201" s="207">
        <v>0</v>
      </c>
      <c r="AB201" s="207">
        <v>0</v>
      </c>
      <c r="AC201" s="176">
        <v>0</v>
      </c>
      <c r="AD201" s="176">
        <f t="shared" si="99"/>
        <v>0</v>
      </c>
      <c r="AE201" s="51" t="s">
        <v>1395</v>
      </c>
    </row>
    <row r="202" spans="1:31" ht="120" outlineLevel="1" x14ac:dyDescent="0.25">
      <c r="A202" s="1439">
        <v>18</v>
      </c>
      <c r="B202" s="1445" t="s">
        <v>256</v>
      </c>
      <c r="C202" s="63" t="s">
        <v>286</v>
      </c>
      <c r="D202" s="48" t="s">
        <v>247</v>
      </c>
      <c r="E202" s="49" t="s">
        <v>264</v>
      </c>
      <c r="F202" s="124">
        <f t="shared" si="117"/>
        <v>8.7571823792296242E-6</v>
      </c>
      <c r="G202" s="52">
        <f t="shared" si="96"/>
        <v>3.3071035921315072E-4</v>
      </c>
      <c r="H202" s="52">
        <f t="shared" si="94"/>
        <v>3.4625793320752763E-4</v>
      </c>
      <c r="I202" s="52">
        <f t="shared" si="113"/>
        <v>0</v>
      </c>
      <c r="J202" s="1447">
        <f>SUM(L202:M203)</f>
        <v>20.936558000000002</v>
      </c>
      <c r="K202" s="149">
        <f t="shared" si="116"/>
        <v>0.24690000000000001</v>
      </c>
      <c r="L202" s="1449">
        <f>-X202</f>
        <v>9.7010590000000008</v>
      </c>
      <c r="M202" s="252">
        <f t="shared" si="116"/>
        <v>10.605499</v>
      </c>
      <c r="N202" s="94">
        <f t="shared" si="98"/>
        <v>0</v>
      </c>
      <c r="O202" s="242" t="s">
        <v>1025</v>
      </c>
      <c r="P202" s="242" t="s">
        <v>127</v>
      </c>
      <c r="Q202" s="150">
        <f t="shared" si="114"/>
        <v>-8.7571823792296241E-4</v>
      </c>
      <c r="R202" s="1467">
        <f t="shared" si="114"/>
        <v>-3.3071035921315071E-2</v>
      </c>
      <c r="S202" s="75">
        <f t="shared" si="114"/>
        <v>-3.462579332075276E-2</v>
      </c>
      <c r="T202" s="137">
        <f t="shared" si="114"/>
        <v>-3.462579332075276E-2</v>
      </c>
      <c r="U202" s="75">
        <f t="shared" si="114"/>
        <v>0</v>
      </c>
      <c r="V202" s="75">
        <f t="shared" si="114"/>
        <v>0</v>
      </c>
      <c r="W202" s="151">
        <v>-0.24690000000000001</v>
      </c>
      <c r="X202" s="1554">
        <v>-9.7010590000000008</v>
      </c>
      <c r="Y202" s="248">
        <v>-10.605499</v>
      </c>
      <c r="Z202" s="132">
        <v>-10.605499</v>
      </c>
      <c r="AA202" s="207">
        <v>0</v>
      </c>
      <c r="AB202" s="207">
        <v>0</v>
      </c>
      <c r="AC202" s="1535">
        <v>-0.123199</v>
      </c>
      <c r="AD202" s="1562">
        <f t="shared" si="99"/>
        <v>0.123199</v>
      </c>
      <c r="AE202" s="103" t="s">
        <v>1026</v>
      </c>
    </row>
    <row r="203" spans="1:31" ht="95.25" customHeight="1" outlineLevel="1" x14ac:dyDescent="0.25">
      <c r="A203" s="1443"/>
      <c r="B203" s="1446"/>
      <c r="C203" s="63" t="s">
        <v>286</v>
      </c>
      <c r="D203" s="48" t="s">
        <v>247</v>
      </c>
      <c r="E203" s="49" t="s">
        <v>265</v>
      </c>
      <c r="F203" s="124">
        <f t="shared" si="117"/>
        <v>3.4184893949067179E-4</v>
      </c>
      <c r="G203" s="52">
        <f t="shared" si="96"/>
        <v>0</v>
      </c>
      <c r="H203" s="52">
        <f t="shared" si="94"/>
        <v>2.0568810380420799E-5</v>
      </c>
      <c r="I203" s="52">
        <f t="shared" si="113"/>
        <v>0</v>
      </c>
      <c r="J203" s="1448"/>
      <c r="K203" s="149">
        <f t="shared" ref="K203" si="118">-W203</f>
        <v>9.6380890000000008</v>
      </c>
      <c r="L203" s="1450"/>
      <c r="M203" s="252">
        <f t="shared" ref="M203:M234" si="119">-Y203</f>
        <v>0.63</v>
      </c>
      <c r="N203" s="94">
        <f t="shared" si="98"/>
        <v>0</v>
      </c>
      <c r="O203" s="242" t="s">
        <v>1025</v>
      </c>
      <c r="P203" s="242" t="s">
        <v>127</v>
      </c>
      <c r="Q203" s="150">
        <f t="shared" si="114"/>
        <v>-3.418489394906718E-2</v>
      </c>
      <c r="R203" s="1468"/>
      <c r="S203" s="75">
        <f t="shared" si="114"/>
        <v>-2.0568810380420799E-3</v>
      </c>
      <c r="T203" s="137">
        <f t="shared" si="114"/>
        <v>-2.0568810380420799E-3</v>
      </c>
      <c r="U203" s="75">
        <f t="shared" si="114"/>
        <v>0</v>
      </c>
      <c r="V203" s="75">
        <f t="shared" si="114"/>
        <v>0</v>
      </c>
      <c r="W203" s="151">
        <v>-9.6380890000000008</v>
      </c>
      <c r="X203" s="1556"/>
      <c r="Y203" s="248">
        <v>-0.63</v>
      </c>
      <c r="Z203" s="132">
        <v>-0.63</v>
      </c>
      <c r="AA203" s="207">
        <v>0</v>
      </c>
      <c r="AB203" s="207">
        <v>0</v>
      </c>
      <c r="AC203" s="1536"/>
      <c r="AD203" s="1563"/>
      <c r="AE203" s="103" t="s">
        <v>1027</v>
      </c>
    </row>
    <row r="204" spans="1:31" ht="90" outlineLevel="1" x14ac:dyDescent="0.25">
      <c r="A204" s="1443"/>
      <c r="B204" s="1446"/>
      <c r="C204" s="63">
        <v>43987</v>
      </c>
      <c r="D204" s="48" t="s">
        <v>1028</v>
      </c>
      <c r="E204" s="49" t="s">
        <v>323</v>
      </c>
      <c r="F204" s="124">
        <f t="shared" si="117"/>
        <v>3.7642984322905582E-4</v>
      </c>
      <c r="G204" s="52">
        <f t="shared" si="96"/>
        <v>3.5968567400481702E-4</v>
      </c>
      <c r="H204" s="52">
        <f t="shared" si="94"/>
        <v>0</v>
      </c>
      <c r="I204" s="52">
        <f t="shared" si="113"/>
        <v>0</v>
      </c>
      <c r="J204" s="53">
        <f t="shared" ref="J204:J234" si="120">L204+M204+N204</f>
        <v>10.551021</v>
      </c>
      <c r="K204" s="149">
        <f>-W204</f>
        <v>10.613063</v>
      </c>
      <c r="L204" s="254">
        <f t="shared" ref="L204:L217" si="121">-X204</f>
        <v>10.551021</v>
      </c>
      <c r="M204" s="252">
        <f t="shared" si="119"/>
        <v>0</v>
      </c>
      <c r="N204" s="94">
        <f t="shared" si="98"/>
        <v>0</v>
      </c>
      <c r="O204" s="242" t="s">
        <v>1025</v>
      </c>
      <c r="P204" s="242" t="s">
        <v>127</v>
      </c>
      <c r="Q204" s="150">
        <f t="shared" si="114"/>
        <v>-3.7642984322905582E-2</v>
      </c>
      <c r="R204" s="82">
        <f t="shared" si="114"/>
        <v>-3.5968567400481703E-2</v>
      </c>
      <c r="S204" s="75">
        <f t="shared" si="114"/>
        <v>0</v>
      </c>
      <c r="T204" s="137">
        <f t="shared" si="114"/>
        <v>0</v>
      </c>
      <c r="U204" s="75">
        <f t="shared" si="114"/>
        <v>0</v>
      </c>
      <c r="V204" s="75">
        <f t="shared" si="114"/>
        <v>0</v>
      </c>
      <c r="W204" s="151">
        <v>-10.613063</v>
      </c>
      <c r="X204" s="255">
        <v>-10.551021</v>
      </c>
      <c r="Y204" s="248">
        <v>0</v>
      </c>
      <c r="Z204" s="132">
        <v>0</v>
      </c>
      <c r="AA204" s="207">
        <v>0</v>
      </c>
      <c r="AB204" s="207">
        <v>0</v>
      </c>
      <c r="AC204" s="176">
        <v>0</v>
      </c>
      <c r="AD204" s="188">
        <f t="shared" ref="AD204:AD234" si="122">-AC204</f>
        <v>0</v>
      </c>
      <c r="AE204" s="103" t="s">
        <v>1029</v>
      </c>
    </row>
    <row r="205" spans="1:31" ht="60" outlineLevel="1" x14ac:dyDescent="0.25">
      <c r="A205" s="1443"/>
      <c r="B205" s="1446"/>
      <c r="C205" s="63">
        <v>44099</v>
      </c>
      <c r="D205" s="48" t="s">
        <v>1030</v>
      </c>
      <c r="E205" s="49" t="s">
        <v>352</v>
      </c>
      <c r="F205" s="124">
        <f t="shared" si="117"/>
        <v>2.363151734411577E-5</v>
      </c>
      <c r="G205" s="52">
        <f t="shared" si="96"/>
        <v>2.2589551702522432E-5</v>
      </c>
      <c r="H205" s="52">
        <f t="shared" si="94"/>
        <v>0</v>
      </c>
      <c r="I205" s="52">
        <f t="shared" si="113"/>
        <v>0</v>
      </c>
      <c r="J205" s="53">
        <f t="shared" si="120"/>
        <v>0.66264199999999995</v>
      </c>
      <c r="K205" s="149">
        <f t="shared" ref="K205:L228" si="123">-W205</f>
        <v>0.66626700000000005</v>
      </c>
      <c r="L205" s="254">
        <f t="shared" si="121"/>
        <v>0.66264199999999995</v>
      </c>
      <c r="M205" s="252">
        <f t="shared" si="119"/>
        <v>0</v>
      </c>
      <c r="N205" s="94">
        <f t="shared" si="98"/>
        <v>0</v>
      </c>
      <c r="O205" s="242" t="s">
        <v>1025</v>
      </c>
      <c r="P205" s="242" t="s">
        <v>129</v>
      </c>
      <c r="Q205" s="150">
        <f t="shared" si="114"/>
        <v>-2.3631517344115771E-3</v>
      </c>
      <c r="R205" s="82">
        <f t="shared" si="114"/>
        <v>-2.2589551702522433E-3</v>
      </c>
      <c r="S205" s="75">
        <f t="shared" si="114"/>
        <v>0</v>
      </c>
      <c r="T205" s="137">
        <f t="shared" si="114"/>
        <v>0</v>
      </c>
      <c r="U205" s="75">
        <f t="shared" si="114"/>
        <v>0</v>
      </c>
      <c r="V205" s="75">
        <f t="shared" si="114"/>
        <v>0</v>
      </c>
      <c r="W205" s="151">
        <v>-0.66626700000000005</v>
      </c>
      <c r="X205" s="255">
        <v>-0.66264199999999995</v>
      </c>
      <c r="Y205" s="248">
        <v>0</v>
      </c>
      <c r="Z205" s="132">
        <v>0</v>
      </c>
      <c r="AA205" s="207">
        <v>0</v>
      </c>
      <c r="AB205" s="207">
        <v>0</v>
      </c>
      <c r="AC205" s="176">
        <v>0</v>
      </c>
      <c r="AD205" s="188">
        <f t="shared" si="122"/>
        <v>0</v>
      </c>
      <c r="AE205" s="51" t="s">
        <v>1031</v>
      </c>
    </row>
    <row r="206" spans="1:31" ht="85.5" customHeight="1" outlineLevel="1" x14ac:dyDescent="0.25">
      <c r="A206" s="1443"/>
      <c r="B206" s="1446"/>
      <c r="C206" s="63" t="s">
        <v>705</v>
      </c>
      <c r="D206" s="48" t="s">
        <v>1032</v>
      </c>
      <c r="E206" s="49" t="s">
        <v>1033</v>
      </c>
      <c r="F206" s="124">
        <f t="shared" si="117"/>
        <v>0</v>
      </c>
      <c r="G206" s="52">
        <f t="shared" si="96"/>
        <v>0</v>
      </c>
      <c r="H206" s="52">
        <f t="shared" si="94"/>
        <v>1.9589343219448381E-5</v>
      </c>
      <c r="I206" s="52">
        <f t="shared" si="113"/>
        <v>0</v>
      </c>
      <c r="J206" s="53">
        <f t="shared" si="120"/>
        <v>0.6</v>
      </c>
      <c r="K206" s="149">
        <f t="shared" si="123"/>
        <v>0</v>
      </c>
      <c r="L206" s="254">
        <f t="shared" si="121"/>
        <v>0</v>
      </c>
      <c r="M206" s="252">
        <f t="shared" si="119"/>
        <v>0.6</v>
      </c>
      <c r="N206" s="94">
        <f t="shared" si="98"/>
        <v>0</v>
      </c>
      <c r="O206" s="242" t="s">
        <v>485</v>
      </c>
      <c r="P206" s="242" t="s">
        <v>127</v>
      </c>
      <c r="Q206" s="150">
        <f t="shared" ref="Q206:V229" si="124">W206/Q$8*100</f>
        <v>0</v>
      </c>
      <c r="R206" s="82">
        <f t="shared" si="124"/>
        <v>0</v>
      </c>
      <c r="S206" s="75">
        <f t="shared" si="124"/>
        <v>-1.9589343219448383E-3</v>
      </c>
      <c r="T206" s="137">
        <f t="shared" si="124"/>
        <v>-1.9589343219448383E-3</v>
      </c>
      <c r="U206" s="75">
        <f t="shared" si="124"/>
        <v>0</v>
      </c>
      <c r="V206" s="75">
        <f t="shared" si="124"/>
        <v>0</v>
      </c>
      <c r="W206" s="151">
        <v>0</v>
      </c>
      <c r="X206" s="255">
        <v>0</v>
      </c>
      <c r="Y206" s="248">
        <v>-0.6</v>
      </c>
      <c r="Z206" s="132">
        <v>-0.6</v>
      </c>
      <c r="AA206" s="207">
        <v>0</v>
      </c>
      <c r="AB206" s="207">
        <v>0</v>
      </c>
      <c r="AC206" s="176">
        <f>-0.309063</f>
        <v>-0.30906299999999998</v>
      </c>
      <c r="AD206" s="188">
        <f t="shared" si="122"/>
        <v>0.30906299999999998</v>
      </c>
      <c r="AE206" s="51" t="s">
        <v>1034</v>
      </c>
    </row>
    <row r="207" spans="1:31" ht="90" outlineLevel="1" x14ac:dyDescent="0.25">
      <c r="A207" s="1443"/>
      <c r="B207" s="1446"/>
      <c r="C207" s="63">
        <v>44166</v>
      </c>
      <c r="D207" s="48" t="s">
        <v>425</v>
      </c>
      <c r="E207" s="49" t="s">
        <v>469</v>
      </c>
      <c r="F207" s="124">
        <f t="shared" si="117"/>
        <v>0</v>
      </c>
      <c r="G207" s="52">
        <f t="shared" si="96"/>
        <v>0</v>
      </c>
      <c r="H207" s="52">
        <f t="shared" si="94"/>
        <v>3.537446863458525E-5</v>
      </c>
      <c r="I207" s="52">
        <f t="shared" si="113"/>
        <v>0</v>
      </c>
      <c r="J207" s="53">
        <f t="shared" si="120"/>
        <v>1.0834809999999999</v>
      </c>
      <c r="K207" s="149">
        <f t="shared" si="123"/>
        <v>0</v>
      </c>
      <c r="L207" s="254">
        <f t="shared" si="121"/>
        <v>0</v>
      </c>
      <c r="M207" s="252">
        <f t="shared" si="119"/>
        <v>1.0834809999999999</v>
      </c>
      <c r="N207" s="94">
        <f t="shared" si="98"/>
        <v>0</v>
      </c>
      <c r="O207" s="242" t="s">
        <v>485</v>
      </c>
      <c r="P207" s="242" t="s">
        <v>127</v>
      </c>
      <c r="Q207" s="150">
        <f t="shared" si="124"/>
        <v>0</v>
      </c>
      <c r="R207" s="82">
        <f t="shared" si="124"/>
        <v>0</v>
      </c>
      <c r="S207" s="75">
        <f t="shared" si="124"/>
        <v>-3.5374468634585248E-3</v>
      </c>
      <c r="T207" s="137">
        <f t="shared" si="124"/>
        <v>-3.5374468634585248E-3</v>
      </c>
      <c r="U207" s="75">
        <f t="shared" si="124"/>
        <v>0</v>
      </c>
      <c r="V207" s="75">
        <f t="shared" si="124"/>
        <v>0</v>
      </c>
      <c r="W207" s="151">
        <v>0</v>
      </c>
      <c r="X207" s="255">
        <v>0</v>
      </c>
      <c r="Y207" s="248">
        <v>-1.0834809999999999</v>
      </c>
      <c r="Z207" s="132">
        <v>-1.0834809999999999</v>
      </c>
      <c r="AA207" s="207">
        <v>0</v>
      </c>
      <c r="AB207" s="207">
        <v>0</v>
      </c>
      <c r="AC207" s="176">
        <v>-0.86417299999999997</v>
      </c>
      <c r="AD207" s="188">
        <f t="shared" si="122"/>
        <v>0.86417299999999997</v>
      </c>
      <c r="AE207" s="51" t="s">
        <v>1035</v>
      </c>
    </row>
    <row r="208" spans="1:31" ht="45" outlineLevel="1" x14ac:dyDescent="0.25">
      <c r="A208" s="1443"/>
      <c r="B208" s="1446"/>
      <c r="C208" s="63">
        <v>44166</v>
      </c>
      <c r="D208" s="48" t="s">
        <v>468</v>
      </c>
      <c r="E208" s="49" t="s">
        <v>470</v>
      </c>
      <c r="F208" s="124">
        <f t="shared" si="117"/>
        <v>7.8030786692204008E-6</v>
      </c>
      <c r="G208" s="52">
        <f t="shared" si="96"/>
        <v>7.4998285266477762E-6</v>
      </c>
      <c r="H208" s="52">
        <f>M208/$S$8</f>
        <v>0</v>
      </c>
      <c r="I208" s="52">
        <f t="shared" si="113"/>
        <v>0</v>
      </c>
      <c r="J208" s="53">
        <f t="shared" si="120"/>
        <v>0.22</v>
      </c>
      <c r="K208" s="149">
        <f t="shared" si="123"/>
        <v>0.22</v>
      </c>
      <c r="L208" s="254">
        <f t="shared" si="121"/>
        <v>0.22</v>
      </c>
      <c r="M208" s="252">
        <f t="shared" si="119"/>
        <v>0</v>
      </c>
      <c r="N208" s="94">
        <f t="shared" si="98"/>
        <v>0</v>
      </c>
      <c r="O208" s="242" t="s">
        <v>1025</v>
      </c>
      <c r="P208" s="242" t="s">
        <v>128</v>
      </c>
      <c r="Q208" s="150">
        <f t="shared" si="124"/>
        <v>-7.8030786692204006E-4</v>
      </c>
      <c r="R208" s="82">
        <f t="shared" si="124"/>
        <v>-7.499828526647776E-4</v>
      </c>
      <c r="S208" s="75">
        <f t="shared" si="124"/>
        <v>0</v>
      </c>
      <c r="T208" s="137">
        <f t="shared" si="124"/>
        <v>0</v>
      </c>
      <c r="U208" s="75">
        <f t="shared" si="124"/>
        <v>0</v>
      </c>
      <c r="V208" s="75">
        <f t="shared" si="124"/>
        <v>0</v>
      </c>
      <c r="W208" s="151">
        <v>-0.22</v>
      </c>
      <c r="X208" s="248">
        <v>-0.22</v>
      </c>
      <c r="Y208" s="248">
        <v>0</v>
      </c>
      <c r="Z208" s="132">
        <v>0</v>
      </c>
      <c r="AA208" s="207">
        <v>0</v>
      </c>
      <c r="AB208" s="207">
        <v>0</v>
      </c>
      <c r="AC208" s="176">
        <v>0</v>
      </c>
      <c r="AD208" s="188">
        <f t="shared" si="122"/>
        <v>0</v>
      </c>
      <c r="AE208" s="51" t="s">
        <v>1036</v>
      </c>
    </row>
    <row r="209" spans="1:31" ht="79.5" customHeight="1" outlineLevel="1" x14ac:dyDescent="0.25">
      <c r="A209" s="1443"/>
      <c r="B209" s="1446"/>
      <c r="C209" s="63">
        <v>44210</v>
      </c>
      <c r="D209" s="48" t="s">
        <v>1037</v>
      </c>
      <c r="E209" s="49" t="s">
        <v>1038</v>
      </c>
      <c r="F209" s="124">
        <f t="shared" si="117"/>
        <v>0</v>
      </c>
      <c r="G209" s="52">
        <f t="shared" si="96"/>
        <v>0</v>
      </c>
      <c r="H209" s="52">
        <f>M209/$S$8</f>
        <v>9.7946716097241902E-5</v>
      </c>
      <c r="I209" s="52">
        <f t="shared" si="113"/>
        <v>0</v>
      </c>
      <c r="J209" s="53">
        <f t="shared" si="120"/>
        <v>3</v>
      </c>
      <c r="K209" s="149">
        <f t="shared" si="123"/>
        <v>0</v>
      </c>
      <c r="L209" s="254">
        <f t="shared" si="121"/>
        <v>0</v>
      </c>
      <c r="M209" s="252">
        <f t="shared" si="119"/>
        <v>3</v>
      </c>
      <c r="N209" s="94">
        <f t="shared" si="98"/>
        <v>0</v>
      </c>
      <c r="O209" s="242" t="s">
        <v>1025</v>
      </c>
      <c r="P209" s="242" t="s">
        <v>127</v>
      </c>
      <c r="Q209" s="150">
        <f t="shared" si="124"/>
        <v>0</v>
      </c>
      <c r="R209" s="82">
        <f t="shared" si="124"/>
        <v>0</v>
      </c>
      <c r="S209" s="75">
        <f t="shared" si="124"/>
        <v>-9.7946716097241909E-3</v>
      </c>
      <c r="T209" s="137">
        <f t="shared" si="124"/>
        <v>-9.7946716097241909E-3</v>
      </c>
      <c r="U209" s="75">
        <f t="shared" si="124"/>
        <v>0</v>
      </c>
      <c r="V209" s="75">
        <f t="shared" si="124"/>
        <v>0</v>
      </c>
      <c r="W209" s="151">
        <v>0</v>
      </c>
      <c r="X209" s="255">
        <v>0</v>
      </c>
      <c r="Y209" s="248">
        <v>-3</v>
      </c>
      <c r="Z209" s="132">
        <v>-3</v>
      </c>
      <c r="AA209" s="207">
        <v>0</v>
      </c>
      <c r="AB209" s="207">
        <v>0</v>
      </c>
      <c r="AC209" s="176">
        <v>0</v>
      </c>
      <c r="AD209" s="188">
        <f>-AC209</f>
        <v>0</v>
      </c>
      <c r="AE209" s="51" t="s">
        <v>1039</v>
      </c>
    </row>
    <row r="210" spans="1:31" ht="79.5" customHeight="1" outlineLevel="1" x14ac:dyDescent="0.25">
      <c r="A210" s="205"/>
      <c r="B210" s="234"/>
      <c r="C210" s="63">
        <v>44231</v>
      </c>
      <c r="D210" s="48" t="s">
        <v>1040</v>
      </c>
      <c r="E210" s="49" t="s">
        <v>1041</v>
      </c>
      <c r="F210" s="124">
        <f t="shared" si="117"/>
        <v>0</v>
      </c>
      <c r="G210" s="52">
        <f t="shared" si="96"/>
        <v>0</v>
      </c>
      <c r="H210" s="52">
        <f t="shared" ref="H210" si="125">M210/$S$8</f>
        <v>1.958934321944838E-4</v>
      </c>
      <c r="I210" s="52">
        <f t="shared" si="113"/>
        <v>0</v>
      </c>
      <c r="J210" s="53">
        <f t="shared" si="120"/>
        <v>6</v>
      </c>
      <c r="K210" s="149">
        <f t="shared" si="123"/>
        <v>0</v>
      </c>
      <c r="L210" s="254">
        <f t="shared" si="121"/>
        <v>0</v>
      </c>
      <c r="M210" s="252">
        <f t="shared" si="119"/>
        <v>6</v>
      </c>
      <c r="N210" s="94">
        <f t="shared" si="98"/>
        <v>0</v>
      </c>
      <c r="O210" s="242" t="s">
        <v>1025</v>
      </c>
      <c r="P210" s="242" t="s">
        <v>127</v>
      </c>
      <c r="Q210" s="150">
        <f t="shared" si="124"/>
        <v>0</v>
      </c>
      <c r="R210" s="82">
        <f t="shared" si="124"/>
        <v>0</v>
      </c>
      <c r="S210" s="75">
        <f t="shared" si="124"/>
        <v>-1.9589343219448382E-2</v>
      </c>
      <c r="T210" s="137">
        <f t="shared" si="124"/>
        <v>-1.9589343219448382E-2</v>
      </c>
      <c r="U210" s="75">
        <f t="shared" si="124"/>
        <v>0</v>
      </c>
      <c r="V210" s="75">
        <f t="shared" si="124"/>
        <v>0</v>
      </c>
      <c r="W210" s="151">
        <v>0</v>
      </c>
      <c r="X210" s="255">
        <v>0</v>
      </c>
      <c r="Y210" s="248">
        <v>-6</v>
      </c>
      <c r="Z210" s="132">
        <v>-6</v>
      </c>
      <c r="AA210" s="207">
        <v>0</v>
      </c>
      <c r="AB210" s="207">
        <v>0</v>
      </c>
      <c r="AC210" s="176">
        <v>0</v>
      </c>
      <c r="AD210" s="188">
        <f t="shared" ref="AD210" si="126">-AC210</f>
        <v>0</v>
      </c>
      <c r="AE210" s="51" t="s">
        <v>1042</v>
      </c>
    </row>
    <row r="211" spans="1:31" ht="79.5" customHeight="1" outlineLevel="1" x14ac:dyDescent="0.25">
      <c r="A211" s="205"/>
      <c r="B211" s="234"/>
      <c r="C211" s="63">
        <v>44250</v>
      </c>
      <c r="D211" s="48" t="s">
        <v>1276</v>
      </c>
      <c r="E211" s="49" t="s">
        <v>1128</v>
      </c>
      <c r="F211" s="124">
        <f t="shared" si="117"/>
        <v>0</v>
      </c>
      <c r="G211" s="52">
        <f t="shared" si="96"/>
        <v>0</v>
      </c>
      <c r="H211" s="52">
        <f t="shared" si="94"/>
        <v>6.5297810731494601E-5</v>
      </c>
      <c r="I211" s="52">
        <f t="shared" si="113"/>
        <v>0</v>
      </c>
      <c r="J211" s="53">
        <f t="shared" si="120"/>
        <v>2</v>
      </c>
      <c r="K211" s="149">
        <f t="shared" si="123"/>
        <v>0</v>
      </c>
      <c r="L211" s="254">
        <f t="shared" si="121"/>
        <v>0</v>
      </c>
      <c r="M211" s="252">
        <f t="shared" si="119"/>
        <v>2</v>
      </c>
      <c r="N211" s="94">
        <f t="shared" si="98"/>
        <v>0</v>
      </c>
      <c r="O211" s="242" t="s">
        <v>1025</v>
      </c>
      <c r="P211" s="242" t="s">
        <v>127</v>
      </c>
      <c r="Q211" s="150">
        <f t="shared" si="124"/>
        <v>0</v>
      </c>
      <c r="R211" s="82">
        <f t="shared" si="124"/>
        <v>0</v>
      </c>
      <c r="S211" s="75">
        <f t="shared" si="124"/>
        <v>-6.5297810731494606E-3</v>
      </c>
      <c r="T211" s="137">
        <f t="shared" si="124"/>
        <v>-6.5297810731494606E-3</v>
      </c>
      <c r="U211" s="75">
        <f t="shared" si="124"/>
        <v>0</v>
      </c>
      <c r="V211" s="75">
        <f t="shared" si="124"/>
        <v>0</v>
      </c>
      <c r="W211" s="151">
        <v>0</v>
      </c>
      <c r="X211" s="255">
        <v>0</v>
      </c>
      <c r="Y211" s="248">
        <v>-2</v>
      </c>
      <c r="Z211" s="132">
        <v>-2</v>
      </c>
      <c r="AA211" s="207">
        <v>0</v>
      </c>
      <c r="AB211" s="207">
        <v>0</v>
      </c>
      <c r="AC211" s="176">
        <f>-1.645435</f>
        <v>-1.645435</v>
      </c>
      <c r="AD211" s="188">
        <f t="shared" si="122"/>
        <v>1.645435</v>
      </c>
      <c r="AE211" s="51" t="s">
        <v>1129</v>
      </c>
    </row>
    <row r="212" spans="1:31" ht="79.5" customHeight="1" outlineLevel="1" x14ac:dyDescent="0.25">
      <c r="A212" s="205"/>
      <c r="B212" s="234"/>
      <c r="C212" s="63">
        <v>44253</v>
      </c>
      <c r="D212" s="48" t="s">
        <v>1165</v>
      </c>
      <c r="E212" s="49" t="s">
        <v>1166</v>
      </c>
      <c r="F212" s="124">
        <f t="shared" si="117"/>
        <v>0</v>
      </c>
      <c r="G212" s="52">
        <f t="shared" si="96"/>
        <v>0</v>
      </c>
      <c r="H212" s="52">
        <f t="shared" si="94"/>
        <v>1.4039029307271339E-5</v>
      </c>
      <c r="I212" s="52">
        <f t="shared" si="113"/>
        <v>0</v>
      </c>
      <c r="J212" s="53">
        <f t="shared" si="120"/>
        <v>0.43</v>
      </c>
      <c r="K212" s="149">
        <f t="shared" si="123"/>
        <v>0</v>
      </c>
      <c r="L212" s="254">
        <f t="shared" si="121"/>
        <v>0</v>
      </c>
      <c r="M212" s="252">
        <f t="shared" si="119"/>
        <v>0.43</v>
      </c>
      <c r="N212" s="94">
        <f t="shared" si="98"/>
        <v>0</v>
      </c>
      <c r="O212" s="242" t="s">
        <v>485</v>
      </c>
      <c r="P212" s="242" t="s">
        <v>127</v>
      </c>
      <c r="Q212" s="150">
        <f t="shared" si="124"/>
        <v>0</v>
      </c>
      <c r="R212" s="82">
        <f t="shared" si="124"/>
        <v>0</v>
      </c>
      <c r="S212" s="75">
        <f t="shared" si="124"/>
        <v>-1.4039029307271339E-3</v>
      </c>
      <c r="T212" s="137">
        <f t="shared" si="124"/>
        <v>-1.4039029307271339E-3</v>
      </c>
      <c r="U212" s="75">
        <f t="shared" si="124"/>
        <v>0</v>
      </c>
      <c r="V212" s="75">
        <f t="shared" si="124"/>
        <v>0</v>
      </c>
      <c r="W212" s="151">
        <v>0</v>
      </c>
      <c r="X212" s="255">
        <v>0</v>
      </c>
      <c r="Y212" s="248">
        <v>-0.43</v>
      </c>
      <c r="Z212" s="132">
        <v>-0.43</v>
      </c>
      <c r="AA212" s="207">
        <v>0</v>
      </c>
      <c r="AB212" s="207">
        <v>0</v>
      </c>
      <c r="AC212" s="176">
        <v>0</v>
      </c>
      <c r="AD212" s="188">
        <f t="shared" si="122"/>
        <v>0</v>
      </c>
      <c r="AE212" s="51" t="s">
        <v>1167</v>
      </c>
    </row>
    <row r="213" spans="1:31" ht="79.5" customHeight="1" outlineLevel="1" x14ac:dyDescent="0.25">
      <c r="A213" s="205"/>
      <c r="B213" s="234"/>
      <c r="C213" s="63">
        <v>44264</v>
      </c>
      <c r="D213" s="48" t="s">
        <v>1277</v>
      </c>
      <c r="E213" s="49" t="s">
        <v>1180</v>
      </c>
      <c r="F213" s="124">
        <f t="shared" si="117"/>
        <v>0</v>
      </c>
      <c r="G213" s="52">
        <f t="shared" si="96"/>
        <v>0</v>
      </c>
      <c r="H213" s="52">
        <f t="shared" si="94"/>
        <v>9.7946716097241902E-5</v>
      </c>
      <c r="I213" s="52">
        <f t="shared" si="113"/>
        <v>0</v>
      </c>
      <c r="J213" s="53">
        <f t="shared" si="120"/>
        <v>3</v>
      </c>
      <c r="K213" s="149">
        <f t="shared" si="123"/>
        <v>0</v>
      </c>
      <c r="L213" s="254">
        <f t="shared" si="121"/>
        <v>0</v>
      </c>
      <c r="M213" s="252">
        <f t="shared" si="119"/>
        <v>3</v>
      </c>
      <c r="N213" s="94">
        <f t="shared" si="98"/>
        <v>0</v>
      </c>
      <c r="O213" s="242" t="s">
        <v>1025</v>
      </c>
      <c r="P213" s="242" t="s">
        <v>127</v>
      </c>
      <c r="Q213" s="150">
        <f t="shared" si="124"/>
        <v>0</v>
      </c>
      <c r="R213" s="82">
        <f t="shared" si="124"/>
        <v>0</v>
      </c>
      <c r="S213" s="75">
        <f t="shared" si="124"/>
        <v>-9.7946716097241909E-3</v>
      </c>
      <c r="T213" s="137">
        <f t="shared" si="124"/>
        <v>-9.7946716097241909E-3</v>
      </c>
      <c r="U213" s="75">
        <f t="shared" si="124"/>
        <v>0</v>
      </c>
      <c r="V213" s="75">
        <f t="shared" si="124"/>
        <v>0</v>
      </c>
      <c r="W213" s="151">
        <v>0</v>
      </c>
      <c r="X213" s="255">
        <v>0</v>
      </c>
      <c r="Y213" s="248">
        <v>-3</v>
      </c>
      <c r="Z213" s="132">
        <v>-3</v>
      </c>
      <c r="AA213" s="207">
        <v>0</v>
      </c>
      <c r="AB213" s="207">
        <v>0</v>
      </c>
      <c r="AC213" s="176">
        <f>-0.01589-0.001228-0.009186-0.01765-0.283794</f>
        <v>-0.32774799999999998</v>
      </c>
      <c r="AD213" s="188">
        <f t="shared" si="122"/>
        <v>0.32774799999999998</v>
      </c>
      <c r="AE213" s="51" t="s">
        <v>1181</v>
      </c>
    </row>
    <row r="214" spans="1:31" ht="104.25" customHeight="1" outlineLevel="1" x14ac:dyDescent="0.25">
      <c r="A214" s="205"/>
      <c r="B214" s="234"/>
      <c r="C214" s="63">
        <v>44313</v>
      </c>
      <c r="D214" s="48" t="s">
        <v>1396</v>
      </c>
      <c r="E214" s="49" t="s">
        <v>1397</v>
      </c>
      <c r="F214" s="124"/>
      <c r="G214" s="52">
        <f t="shared" si="96"/>
        <v>0</v>
      </c>
      <c r="H214" s="52">
        <f t="shared" si="94"/>
        <v>1.077413877069661E-5</v>
      </c>
      <c r="I214" s="52">
        <f t="shared" si="113"/>
        <v>0</v>
      </c>
      <c r="J214" s="53">
        <f t="shared" si="120"/>
        <v>0.33</v>
      </c>
      <c r="K214" s="95">
        <f t="shared" si="123"/>
        <v>0</v>
      </c>
      <c r="L214" s="254">
        <f t="shared" si="121"/>
        <v>0</v>
      </c>
      <c r="M214" s="252">
        <f t="shared" si="119"/>
        <v>0.33</v>
      </c>
      <c r="N214" s="94">
        <f t="shared" si="98"/>
        <v>0</v>
      </c>
      <c r="O214" s="242" t="s">
        <v>1025</v>
      </c>
      <c r="P214" s="242" t="s">
        <v>127</v>
      </c>
      <c r="Q214" s="82">
        <f t="shared" si="124"/>
        <v>0</v>
      </c>
      <c r="R214" s="82">
        <f t="shared" si="124"/>
        <v>0</v>
      </c>
      <c r="S214" s="75">
        <f t="shared" si="124"/>
        <v>-1.077413877069661E-3</v>
      </c>
      <c r="T214" s="137">
        <f t="shared" si="124"/>
        <v>0</v>
      </c>
      <c r="U214" s="75">
        <f t="shared" si="124"/>
        <v>0</v>
      </c>
      <c r="V214" s="75">
        <f t="shared" si="124"/>
        <v>0</v>
      </c>
      <c r="W214" s="77">
        <v>0</v>
      </c>
      <c r="X214" s="255">
        <v>0</v>
      </c>
      <c r="Y214" s="248">
        <v>-0.33</v>
      </c>
      <c r="Z214" s="132">
        <v>0</v>
      </c>
      <c r="AA214" s="207">
        <v>0</v>
      </c>
      <c r="AB214" s="207">
        <v>0</v>
      </c>
      <c r="AC214" s="176">
        <v>0</v>
      </c>
      <c r="AD214" s="188">
        <f t="shared" si="122"/>
        <v>0</v>
      </c>
      <c r="AE214" s="51" t="s">
        <v>1398</v>
      </c>
    </row>
    <row r="215" spans="1:31" ht="79.5" customHeight="1" outlineLevel="1" x14ac:dyDescent="0.25">
      <c r="A215" s="205"/>
      <c r="B215" s="234"/>
      <c r="C215" s="63">
        <v>44313</v>
      </c>
      <c r="D215" s="48" t="s">
        <v>1399</v>
      </c>
      <c r="E215" s="49" t="s">
        <v>1400</v>
      </c>
      <c r="F215" s="124"/>
      <c r="G215" s="52">
        <f t="shared" si="96"/>
        <v>0</v>
      </c>
      <c r="H215" s="52">
        <f t="shared" si="94"/>
        <v>6.1102099902942419E-6</v>
      </c>
      <c r="I215" s="52">
        <f t="shared" si="113"/>
        <v>0</v>
      </c>
      <c r="J215" s="53">
        <f t="shared" si="120"/>
        <v>0.18714900000000001</v>
      </c>
      <c r="K215" s="95">
        <f t="shared" si="123"/>
        <v>0</v>
      </c>
      <c r="L215" s="254">
        <f t="shared" si="121"/>
        <v>0</v>
      </c>
      <c r="M215" s="252">
        <f t="shared" si="119"/>
        <v>0.18714900000000001</v>
      </c>
      <c r="N215" s="94">
        <f t="shared" si="98"/>
        <v>0</v>
      </c>
      <c r="O215" s="242" t="s">
        <v>1025</v>
      </c>
      <c r="P215" s="242" t="s">
        <v>127</v>
      </c>
      <c r="Q215" s="82">
        <f t="shared" si="124"/>
        <v>0</v>
      </c>
      <c r="R215" s="82">
        <f t="shared" si="124"/>
        <v>0</v>
      </c>
      <c r="S215" s="75">
        <f t="shared" si="124"/>
        <v>-6.1102099902942417E-4</v>
      </c>
      <c r="T215" s="137">
        <f t="shared" si="124"/>
        <v>0</v>
      </c>
      <c r="U215" s="75">
        <f t="shared" si="124"/>
        <v>0</v>
      </c>
      <c r="V215" s="75">
        <f t="shared" si="124"/>
        <v>0</v>
      </c>
      <c r="W215" s="77">
        <v>0</v>
      </c>
      <c r="X215" s="255">
        <v>0</v>
      </c>
      <c r="Y215" s="248">
        <v>-0.18714900000000001</v>
      </c>
      <c r="Z215" s="132">
        <v>0</v>
      </c>
      <c r="AA215" s="207">
        <v>0</v>
      </c>
      <c r="AB215" s="207">
        <v>0</v>
      </c>
      <c r="AC215" s="176">
        <v>-0.18714900000000001</v>
      </c>
      <c r="AD215" s="188">
        <f t="shared" si="122"/>
        <v>0.18714900000000001</v>
      </c>
      <c r="AE215" s="51" t="s">
        <v>1401</v>
      </c>
    </row>
    <row r="216" spans="1:31" ht="65.25" customHeight="1" outlineLevel="1" x14ac:dyDescent="0.25">
      <c r="A216" s="1439">
        <v>19</v>
      </c>
      <c r="B216" s="1445" t="s">
        <v>1043</v>
      </c>
      <c r="C216" s="63" t="s">
        <v>497</v>
      </c>
      <c r="D216" s="48" t="s">
        <v>1044</v>
      </c>
      <c r="E216" s="49" t="s">
        <v>1045</v>
      </c>
      <c r="F216" s="124">
        <f t="shared" si="117"/>
        <v>2.2699865219550259E-5</v>
      </c>
      <c r="G216" s="52">
        <f t="shared" si="96"/>
        <v>1.3717050014720116E-5</v>
      </c>
      <c r="H216" s="52">
        <f t="shared" si="94"/>
        <v>0</v>
      </c>
      <c r="I216" s="52">
        <f t="shared" si="113"/>
        <v>0</v>
      </c>
      <c r="J216" s="53">
        <f t="shared" si="120"/>
        <v>0.40237600000000001</v>
      </c>
      <c r="K216" s="149">
        <f t="shared" si="123"/>
        <v>0.64</v>
      </c>
      <c r="L216" s="254">
        <f t="shared" si="121"/>
        <v>0.40237600000000001</v>
      </c>
      <c r="M216" s="252">
        <f t="shared" si="119"/>
        <v>0</v>
      </c>
      <c r="N216" s="94">
        <f t="shared" si="98"/>
        <v>0</v>
      </c>
      <c r="O216" s="242" t="s">
        <v>459</v>
      </c>
      <c r="P216" s="242" t="s">
        <v>127</v>
      </c>
      <c r="Q216" s="150">
        <f t="shared" si="124"/>
        <v>-2.269986521955026E-3</v>
      </c>
      <c r="R216" s="82">
        <f t="shared" si="124"/>
        <v>-1.3717050014720115E-3</v>
      </c>
      <c r="S216" s="75">
        <f t="shared" si="124"/>
        <v>0</v>
      </c>
      <c r="T216" s="137">
        <f t="shared" si="124"/>
        <v>0</v>
      </c>
      <c r="U216" s="75">
        <f t="shared" si="124"/>
        <v>0</v>
      </c>
      <c r="V216" s="75">
        <f t="shared" si="124"/>
        <v>0</v>
      </c>
      <c r="W216" s="151">
        <v>-0.64</v>
      </c>
      <c r="X216" s="255">
        <v>-0.40237600000000001</v>
      </c>
      <c r="Y216" s="248">
        <v>0</v>
      </c>
      <c r="Z216" s="132">
        <v>0</v>
      </c>
      <c r="AA216" s="207">
        <v>0</v>
      </c>
      <c r="AB216" s="207">
        <v>0</v>
      </c>
      <c r="AC216" s="176">
        <v>0</v>
      </c>
      <c r="AD216" s="176">
        <f t="shared" si="122"/>
        <v>0</v>
      </c>
      <c r="AE216" s="51" t="s">
        <v>1046</v>
      </c>
    </row>
    <row r="217" spans="1:31" ht="90" outlineLevel="1" x14ac:dyDescent="0.25">
      <c r="A217" s="1443"/>
      <c r="B217" s="1446"/>
      <c r="C217" s="63" t="s">
        <v>398</v>
      </c>
      <c r="D217" s="48" t="s">
        <v>1047</v>
      </c>
      <c r="E217" s="1459" t="s">
        <v>1048</v>
      </c>
      <c r="F217" s="124">
        <f t="shared" si="117"/>
        <v>1.68343973895155E-4</v>
      </c>
      <c r="G217" s="52">
        <f t="shared" si="96"/>
        <v>5.8294121729853168E-5</v>
      </c>
      <c r="H217" s="52">
        <f>M217/$S$8</f>
        <v>0</v>
      </c>
      <c r="I217" s="52">
        <f t="shared" si="113"/>
        <v>0</v>
      </c>
      <c r="J217" s="53">
        <f t="shared" si="120"/>
        <v>1.71</v>
      </c>
      <c r="K217" s="149">
        <f t="shared" si="123"/>
        <v>4.7462900000000001</v>
      </c>
      <c r="L217" s="254">
        <f t="shared" si="121"/>
        <v>1.71</v>
      </c>
      <c r="M217" s="252">
        <f t="shared" si="119"/>
        <v>0</v>
      </c>
      <c r="N217" s="94">
        <f t="shared" si="98"/>
        <v>0</v>
      </c>
      <c r="O217" s="242" t="s">
        <v>459</v>
      </c>
      <c r="P217" s="242" t="s">
        <v>127</v>
      </c>
      <c r="Q217" s="150">
        <f t="shared" si="124"/>
        <v>-1.6834397389515501E-2</v>
      </c>
      <c r="R217" s="82">
        <f t="shared" si="124"/>
        <v>-5.829412172985317E-3</v>
      </c>
      <c r="S217" s="75">
        <f t="shared" si="124"/>
        <v>0</v>
      </c>
      <c r="T217" s="137">
        <f t="shared" si="124"/>
        <v>0</v>
      </c>
      <c r="U217" s="75">
        <f t="shared" si="124"/>
        <v>0</v>
      </c>
      <c r="V217" s="75">
        <f t="shared" si="124"/>
        <v>0</v>
      </c>
      <c r="W217" s="151">
        <v>-4.7462900000000001</v>
      </c>
      <c r="X217" s="255">
        <v>-1.71</v>
      </c>
      <c r="Y217" s="248">
        <v>0</v>
      </c>
      <c r="Z217" s="132">
        <v>0</v>
      </c>
      <c r="AA217" s="207">
        <v>0</v>
      </c>
      <c r="AB217" s="207">
        <v>0</v>
      </c>
      <c r="AC217" s="176">
        <v>0</v>
      </c>
      <c r="AD217" s="176">
        <f>-AC217</f>
        <v>0</v>
      </c>
      <c r="AE217" s="1304" t="s">
        <v>1049</v>
      </c>
    </row>
    <row r="218" spans="1:31" ht="60" outlineLevel="1" x14ac:dyDescent="0.25">
      <c r="A218" s="1443"/>
      <c r="B218" s="1446"/>
      <c r="C218" s="63">
        <v>43844</v>
      </c>
      <c r="D218" s="48" t="s">
        <v>1050</v>
      </c>
      <c r="E218" s="1460"/>
      <c r="F218" s="124">
        <f t="shared" si="117"/>
        <v>0</v>
      </c>
      <c r="G218" s="52">
        <f t="shared" si="96"/>
        <v>0</v>
      </c>
      <c r="H218" s="52">
        <f>M218/$S$8</f>
        <v>8.343313495047942E-5</v>
      </c>
      <c r="I218" s="52">
        <f t="shared" si="113"/>
        <v>0</v>
      </c>
      <c r="J218" s="53">
        <f t="shared" si="120"/>
        <v>2.5554649999999999</v>
      </c>
      <c r="K218" s="149">
        <f t="shared" si="123"/>
        <v>0</v>
      </c>
      <c r="L218" s="254">
        <f>-X218</f>
        <v>0</v>
      </c>
      <c r="M218" s="252">
        <f t="shared" si="119"/>
        <v>2.5554649999999999</v>
      </c>
      <c r="N218" s="94">
        <f t="shared" si="98"/>
        <v>0</v>
      </c>
      <c r="O218" s="242" t="s">
        <v>459</v>
      </c>
      <c r="P218" s="242" t="s">
        <v>127</v>
      </c>
      <c r="Q218" s="150">
        <f t="shared" si="124"/>
        <v>0</v>
      </c>
      <c r="R218" s="82">
        <f t="shared" si="124"/>
        <v>0</v>
      </c>
      <c r="S218" s="75">
        <f t="shared" si="124"/>
        <v>-8.3433134950479416E-3</v>
      </c>
      <c r="T218" s="137">
        <f t="shared" si="124"/>
        <v>-8.3433134950479416E-3</v>
      </c>
      <c r="U218" s="75">
        <f t="shared" si="124"/>
        <v>0</v>
      </c>
      <c r="V218" s="75">
        <f t="shared" si="124"/>
        <v>0</v>
      </c>
      <c r="W218" s="151">
        <v>0</v>
      </c>
      <c r="X218" s="255">
        <v>0</v>
      </c>
      <c r="Y218" s="248">
        <f>-2.555465</f>
        <v>-2.5554649999999999</v>
      </c>
      <c r="Z218" s="132">
        <f>-2.555465</f>
        <v>-2.5554649999999999</v>
      </c>
      <c r="AA218" s="207">
        <v>0</v>
      </c>
      <c r="AB218" s="207">
        <v>0</v>
      </c>
      <c r="AC218" s="1535">
        <v>-2.0637270000000001</v>
      </c>
      <c r="AD218" s="1535">
        <f t="shared" si="122"/>
        <v>2.0637270000000001</v>
      </c>
      <c r="AE218" s="1305"/>
    </row>
    <row r="219" spans="1:31" ht="57.75" customHeight="1" outlineLevel="1" x14ac:dyDescent="0.25">
      <c r="A219" s="1440"/>
      <c r="B219" s="1477"/>
      <c r="C219" s="63" t="s">
        <v>544</v>
      </c>
      <c r="D219" s="48" t="s">
        <v>1051</v>
      </c>
      <c r="E219" s="49" t="s">
        <v>1052</v>
      </c>
      <c r="F219" s="124">
        <f t="shared" si="117"/>
        <v>1.5793431226502092E-6</v>
      </c>
      <c r="G219" s="52">
        <f t="shared" si="96"/>
        <v>0</v>
      </c>
      <c r="H219" s="52">
        <f>M219/$S$8</f>
        <v>7.0962395812451773E-5</v>
      </c>
      <c r="I219" s="52">
        <f t="shared" si="113"/>
        <v>0</v>
      </c>
      <c r="J219" s="53">
        <f t="shared" si="120"/>
        <v>2.1735000000000002</v>
      </c>
      <c r="K219" s="149">
        <f t="shared" si="123"/>
        <v>4.4527999999999998E-2</v>
      </c>
      <c r="L219" s="254">
        <f>-X219</f>
        <v>0</v>
      </c>
      <c r="M219" s="252">
        <f t="shared" si="119"/>
        <v>2.1735000000000002</v>
      </c>
      <c r="N219" s="94">
        <f t="shared" si="98"/>
        <v>0</v>
      </c>
      <c r="O219" s="242" t="s">
        <v>459</v>
      </c>
      <c r="P219" s="242" t="s">
        <v>127</v>
      </c>
      <c r="Q219" s="150">
        <f t="shared" si="124"/>
        <v>-1.5793431226502093E-4</v>
      </c>
      <c r="R219" s="82">
        <f t="shared" si="124"/>
        <v>0</v>
      </c>
      <c r="S219" s="75">
        <f t="shared" si="124"/>
        <v>-7.0962395812451777E-3</v>
      </c>
      <c r="T219" s="137">
        <f t="shared" si="124"/>
        <v>-7.0962395812451777E-3</v>
      </c>
      <c r="U219" s="75">
        <f t="shared" si="124"/>
        <v>0</v>
      </c>
      <c r="V219" s="75">
        <f t="shared" si="124"/>
        <v>0</v>
      </c>
      <c r="W219" s="151">
        <v>-4.4527999999999998E-2</v>
      </c>
      <c r="X219" s="255">
        <v>0</v>
      </c>
      <c r="Y219" s="248">
        <v>-2.1735000000000002</v>
      </c>
      <c r="Z219" s="132">
        <v>-2.1735000000000002</v>
      </c>
      <c r="AA219" s="207">
        <v>0</v>
      </c>
      <c r="AB219" s="207">
        <v>0</v>
      </c>
      <c r="AC219" s="1536"/>
      <c r="AD219" s="1536"/>
      <c r="AE219" s="49" t="s">
        <v>1053</v>
      </c>
    </row>
    <row r="220" spans="1:31" ht="45" outlineLevel="1" x14ac:dyDescent="0.25">
      <c r="A220" s="92">
        <v>20</v>
      </c>
      <c r="B220" s="171" t="s">
        <v>368</v>
      </c>
      <c r="C220" s="63" t="s">
        <v>599</v>
      </c>
      <c r="D220" s="48" t="s">
        <v>247</v>
      </c>
      <c r="E220" s="49" t="s">
        <v>369</v>
      </c>
      <c r="F220" s="124">
        <f t="shared" si="117"/>
        <v>0</v>
      </c>
      <c r="G220" s="52">
        <f t="shared" si="96"/>
        <v>0</v>
      </c>
      <c r="H220" s="52">
        <f t="shared" ref="H220:H225" si="127">M220/$S$8</f>
        <v>1.7264904401934002E-4</v>
      </c>
      <c r="I220" s="52">
        <f t="shared" si="113"/>
        <v>0</v>
      </c>
      <c r="J220" s="53">
        <f t="shared" si="120"/>
        <v>5.2880500000000001</v>
      </c>
      <c r="K220" s="149">
        <f t="shared" si="123"/>
        <v>0</v>
      </c>
      <c r="L220" s="254">
        <f t="shared" si="123"/>
        <v>0</v>
      </c>
      <c r="M220" s="252">
        <f t="shared" si="119"/>
        <v>5.2880500000000001</v>
      </c>
      <c r="N220" s="94">
        <f t="shared" si="98"/>
        <v>0</v>
      </c>
      <c r="O220" s="242" t="s">
        <v>489</v>
      </c>
      <c r="P220" s="242" t="s">
        <v>129</v>
      </c>
      <c r="Q220" s="150">
        <f t="shared" si="124"/>
        <v>0</v>
      </c>
      <c r="R220" s="82">
        <f t="shared" si="124"/>
        <v>0</v>
      </c>
      <c r="S220" s="75">
        <f t="shared" si="124"/>
        <v>-1.7264904401934001E-2</v>
      </c>
      <c r="T220" s="137">
        <f t="shared" si="124"/>
        <v>-1.7264904401934001E-2</v>
      </c>
      <c r="U220" s="75">
        <f t="shared" si="124"/>
        <v>0</v>
      </c>
      <c r="V220" s="75">
        <f t="shared" si="124"/>
        <v>0</v>
      </c>
      <c r="W220" s="151">
        <v>0</v>
      </c>
      <c r="X220" s="255">
        <v>0</v>
      </c>
      <c r="Y220" s="248">
        <v>-5.2880500000000001</v>
      </c>
      <c r="Z220" s="132">
        <v>-5.2880500000000001</v>
      </c>
      <c r="AA220" s="207">
        <v>0</v>
      </c>
      <c r="AB220" s="207">
        <v>0</v>
      </c>
      <c r="AC220" s="176">
        <v>0</v>
      </c>
      <c r="AD220" s="176">
        <f t="shared" si="122"/>
        <v>0</v>
      </c>
      <c r="AE220" s="51" t="s">
        <v>1054</v>
      </c>
    </row>
    <row r="221" spans="1:31" ht="75" outlineLevel="1" x14ac:dyDescent="0.25">
      <c r="A221" s="210">
        <v>21</v>
      </c>
      <c r="B221" s="171" t="s">
        <v>1055</v>
      </c>
      <c r="C221" s="63">
        <v>44026</v>
      </c>
      <c r="D221" s="48" t="s">
        <v>1056</v>
      </c>
      <c r="E221" s="49" t="s">
        <v>1057</v>
      </c>
      <c r="F221" s="124">
        <f t="shared" si="117"/>
        <v>1.5112577144073208E-5</v>
      </c>
      <c r="G221" s="52">
        <f t="shared" si="96"/>
        <v>7.2740836879956781E-6</v>
      </c>
      <c r="H221" s="52">
        <f t="shared" si="127"/>
        <v>0</v>
      </c>
      <c r="I221" s="52">
        <f t="shared" si="113"/>
        <v>0</v>
      </c>
      <c r="J221" s="53">
        <f t="shared" si="120"/>
        <v>0.21337800000000001</v>
      </c>
      <c r="K221" s="149">
        <f t="shared" si="123"/>
        <v>0.42608400000000002</v>
      </c>
      <c r="L221" s="254">
        <f t="shared" si="123"/>
        <v>0.21337800000000001</v>
      </c>
      <c r="M221" s="252">
        <f t="shared" si="119"/>
        <v>0</v>
      </c>
      <c r="N221" s="94">
        <f t="shared" si="98"/>
        <v>0</v>
      </c>
      <c r="O221" s="242" t="s">
        <v>459</v>
      </c>
      <c r="P221" s="242" t="s">
        <v>129</v>
      </c>
      <c r="Q221" s="150">
        <f t="shared" si="124"/>
        <v>-1.5112577144073209E-3</v>
      </c>
      <c r="R221" s="82">
        <f t="shared" si="124"/>
        <v>-7.2740836879956784E-4</v>
      </c>
      <c r="S221" s="75">
        <f t="shared" si="124"/>
        <v>0</v>
      </c>
      <c r="T221" s="137">
        <f t="shared" si="124"/>
        <v>0</v>
      </c>
      <c r="U221" s="75">
        <f t="shared" si="124"/>
        <v>0</v>
      </c>
      <c r="V221" s="75">
        <f t="shared" si="124"/>
        <v>0</v>
      </c>
      <c r="W221" s="151">
        <v>-0.42608400000000002</v>
      </c>
      <c r="X221" s="255">
        <v>-0.21337800000000001</v>
      </c>
      <c r="Y221" s="248">
        <v>0</v>
      </c>
      <c r="Z221" s="132">
        <v>0</v>
      </c>
      <c r="AA221" s="207">
        <v>0</v>
      </c>
      <c r="AB221" s="207">
        <v>0</v>
      </c>
      <c r="AC221" s="176">
        <v>0</v>
      </c>
      <c r="AD221" s="176">
        <f t="shared" si="122"/>
        <v>0</v>
      </c>
      <c r="AE221" s="51" t="s">
        <v>1058</v>
      </c>
    </row>
    <row r="222" spans="1:31" ht="140.25" customHeight="1" outlineLevel="1" x14ac:dyDescent="0.25">
      <c r="A222" s="1439">
        <v>22</v>
      </c>
      <c r="B222" s="1441" t="s">
        <v>1059</v>
      </c>
      <c r="C222" s="63">
        <v>44042</v>
      </c>
      <c r="D222" s="48" t="s">
        <v>1060</v>
      </c>
      <c r="E222" s="49" t="s">
        <v>1061</v>
      </c>
      <c r="F222" s="124">
        <f t="shared" si="117"/>
        <v>1.8587110732780025E-5</v>
      </c>
      <c r="G222" s="52">
        <f t="shared" si="96"/>
        <v>1.3324399901220438E-5</v>
      </c>
      <c r="H222" s="52">
        <f t="shared" si="127"/>
        <v>0</v>
      </c>
      <c r="I222" s="52">
        <f t="shared" si="113"/>
        <v>0</v>
      </c>
      <c r="J222" s="53">
        <f t="shared" si="120"/>
        <v>0.39085799999999998</v>
      </c>
      <c r="K222" s="149">
        <f t="shared" si="123"/>
        <v>0.52404499999999998</v>
      </c>
      <c r="L222" s="254">
        <f t="shared" si="123"/>
        <v>0.39085799999999998</v>
      </c>
      <c r="M222" s="252">
        <f t="shared" si="119"/>
        <v>0</v>
      </c>
      <c r="N222" s="94">
        <f t="shared" si="98"/>
        <v>0</v>
      </c>
      <c r="O222" s="242" t="s">
        <v>454</v>
      </c>
      <c r="P222" s="242" t="s">
        <v>326</v>
      </c>
      <c r="Q222" s="150">
        <f t="shared" si="124"/>
        <v>-1.8587110732780025E-3</v>
      </c>
      <c r="R222" s="82">
        <f t="shared" si="124"/>
        <v>-1.3324399901220437E-3</v>
      </c>
      <c r="S222" s="75">
        <f t="shared" si="124"/>
        <v>0</v>
      </c>
      <c r="T222" s="137">
        <f t="shared" si="124"/>
        <v>0</v>
      </c>
      <c r="U222" s="75">
        <f t="shared" si="124"/>
        <v>0</v>
      </c>
      <c r="V222" s="75">
        <f t="shared" si="124"/>
        <v>0</v>
      </c>
      <c r="W222" s="151">
        <v>-0.52404499999999998</v>
      </c>
      <c r="X222" s="255">
        <v>-0.39085799999999998</v>
      </c>
      <c r="Y222" s="248">
        <v>0</v>
      </c>
      <c r="Z222" s="132">
        <v>0</v>
      </c>
      <c r="AA222" s="207">
        <v>0</v>
      </c>
      <c r="AB222" s="207">
        <v>0</v>
      </c>
      <c r="AC222" s="176">
        <v>0</v>
      </c>
      <c r="AD222" s="176">
        <f t="shared" si="122"/>
        <v>0</v>
      </c>
      <c r="AE222" s="51" t="s">
        <v>1062</v>
      </c>
    </row>
    <row r="223" spans="1:31" ht="120" outlineLevel="1" x14ac:dyDescent="0.25">
      <c r="A223" s="1443"/>
      <c r="B223" s="1444"/>
      <c r="C223" s="63">
        <v>44145</v>
      </c>
      <c r="D223" s="48" t="s">
        <v>471</v>
      </c>
      <c r="E223" s="49" t="s">
        <v>1063</v>
      </c>
      <c r="F223" s="124">
        <f t="shared" si="117"/>
        <v>4.5669787898134356E-5</v>
      </c>
      <c r="G223" s="52">
        <f t="shared" si="96"/>
        <v>4.4025016155312446E-5</v>
      </c>
      <c r="H223" s="52">
        <f t="shared" si="127"/>
        <v>0</v>
      </c>
      <c r="I223" s="52">
        <f t="shared" si="113"/>
        <v>0</v>
      </c>
      <c r="J223" s="53">
        <f t="shared" si="120"/>
        <v>1.2914300000000001</v>
      </c>
      <c r="K223" s="149">
        <f t="shared" si="123"/>
        <v>1.287614</v>
      </c>
      <c r="L223" s="254">
        <f t="shared" si="123"/>
        <v>1.2914300000000001</v>
      </c>
      <c r="M223" s="252">
        <f t="shared" si="119"/>
        <v>0</v>
      </c>
      <c r="N223" s="94">
        <f t="shared" si="98"/>
        <v>0</v>
      </c>
      <c r="O223" s="242" t="s">
        <v>454</v>
      </c>
      <c r="P223" s="242" t="s">
        <v>439</v>
      </c>
      <c r="Q223" s="150">
        <f t="shared" si="124"/>
        <v>-4.5669787898134353E-3</v>
      </c>
      <c r="R223" s="82">
        <f t="shared" si="124"/>
        <v>-4.4025016155312445E-3</v>
      </c>
      <c r="S223" s="75">
        <f>Y223/S$8*100</f>
        <v>0</v>
      </c>
      <c r="T223" s="137">
        <f>Z223/T$8*100</f>
        <v>0</v>
      </c>
      <c r="U223" s="75">
        <f>AA223/U$8*100</f>
        <v>0</v>
      </c>
      <c r="V223" s="75">
        <f t="shared" si="124"/>
        <v>0</v>
      </c>
      <c r="W223" s="151">
        <v>-1.287614</v>
      </c>
      <c r="X223" s="255">
        <v>-1.2914300000000001</v>
      </c>
      <c r="Y223" s="248">
        <v>0</v>
      </c>
      <c r="Z223" s="132">
        <v>0</v>
      </c>
      <c r="AA223" s="207">
        <v>0</v>
      </c>
      <c r="AB223" s="207">
        <v>0</v>
      </c>
      <c r="AC223" s="176">
        <v>0</v>
      </c>
      <c r="AD223" s="176">
        <f t="shared" si="122"/>
        <v>0</v>
      </c>
      <c r="AE223" s="51" t="s">
        <v>1064</v>
      </c>
    </row>
    <row r="224" spans="1:31" ht="149.25" customHeight="1" outlineLevel="1" x14ac:dyDescent="0.25">
      <c r="A224" s="1443"/>
      <c r="B224" s="1444"/>
      <c r="C224" s="63" t="s">
        <v>713</v>
      </c>
      <c r="D224" s="48" t="s">
        <v>1065</v>
      </c>
      <c r="E224" s="49" t="s">
        <v>1066</v>
      </c>
      <c r="F224" s="124">
        <f t="shared" si="117"/>
        <v>0</v>
      </c>
      <c r="G224" s="52">
        <f t="shared" si="96"/>
        <v>0</v>
      </c>
      <c r="H224" s="52">
        <f t="shared" si="127"/>
        <v>2.6035872848805723E-4</v>
      </c>
      <c r="I224" s="52">
        <f t="shared" si="113"/>
        <v>0</v>
      </c>
      <c r="J224" s="53">
        <f t="shared" si="120"/>
        <v>7.9745010000000001</v>
      </c>
      <c r="K224" s="149">
        <f t="shared" si="123"/>
        <v>0</v>
      </c>
      <c r="L224" s="254">
        <f t="shared" si="123"/>
        <v>0</v>
      </c>
      <c r="M224" s="252">
        <f t="shared" si="119"/>
        <v>7.9745010000000001</v>
      </c>
      <c r="N224" s="94">
        <f t="shared" si="98"/>
        <v>0</v>
      </c>
      <c r="O224" s="242" t="s">
        <v>454</v>
      </c>
      <c r="P224" s="242" t="s">
        <v>130</v>
      </c>
      <c r="Q224" s="150">
        <f t="shared" si="124"/>
        <v>0</v>
      </c>
      <c r="R224" s="82">
        <f t="shared" si="124"/>
        <v>0</v>
      </c>
      <c r="S224" s="75">
        <f t="shared" si="124"/>
        <v>-2.6035872848805722E-2</v>
      </c>
      <c r="T224" s="137">
        <f t="shared" si="124"/>
        <v>-2.6849989628553311E-2</v>
      </c>
      <c r="U224" s="75">
        <f t="shared" si="124"/>
        <v>0</v>
      </c>
      <c r="V224" s="75">
        <f t="shared" si="124"/>
        <v>0</v>
      </c>
      <c r="W224" s="151">
        <v>0</v>
      </c>
      <c r="X224" s="255">
        <v>0</v>
      </c>
      <c r="Y224" s="248">
        <v>-7.9745010000000001</v>
      </c>
      <c r="Z224" s="132">
        <v>-8.2238559999999996</v>
      </c>
      <c r="AA224" s="207">
        <v>0</v>
      </c>
      <c r="AB224" s="207">
        <v>0</v>
      </c>
      <c r="AC224" s="176">
        <v>-0.75755096</v>
      </c>
      <c r="AD224" s="176">
        <f t="shared" si="122"/>
        <v>0.75755096</v>
      </c>
      <c r="AE224" s="51" t="s">
        <v>1067</v>
      </c>
    </row>
    <row r="225" spans="1:31" ht="135" outlineLevel="1" x14ac:dyDescent="0.25">
      <c r="A225" s="1440"/>
      <c r="B225" s="1442"/>
      <c r="C225" s="63">
        <v>44239</v>
      </c>
      <c r="D225" s="48" t="s">
        <v>1278</v>
      </c>
      <c r="E225" s="49" t="s">
        <v>1068</v>
      </c>
      <c r="F225" s="124">
        <f t="shared" si="117"/>
        <v>0</v>
      </c>
      <c r="G225" s="52">
        <f t="shared" si="96"/>
        <v>0</v>
      </c>
      <c r="H225" s="52">
        <f t="shared" si="127"/>
        <v>4.2279418279292516E-5</v>
      </c>
      <c r="I225" s="52">
        <f t="shared" si="113"/>
        <v>0</v>
      </c>
      <c r="J225" s="53">
        <f t="shared" si="120"/>
        <v>1.294972</v>
      </c>
      <c r="K225" s="149">
        <f t="shared" si="123"/>
        <v>0</v>
      </c>
      <c r="L225" s="254">
        <f t="shared" si="123"/>
        <v>0</v>
      </c>
      <c r="M225" s="252">
        <f t="shared" si="119"/>
        <v>1.294972</v>
      </c>
      <c r="N225" s="94">
        <f t="shared" si="98"/>
        <v>0</v>
      </c>
      <c r="O225" s="242" t="s">
        <v>454</v>
      </c>
      <c r="P225" s="242" t="s">
        <v>127</v>
      </c>
      <c r="Q225" s="150">
        <f t="shared" si="124"/>
        <v>0</v>
      </c>
      <c r="R225" s="82">
        <f t="shared" si="124"/>
        <v>0</v>
      </c>
      <c r="S225" s="75">
        <f t="shared" si="124"/>
        <v>-4.2279418279292519E-3</v>
      </c>
      <c r="T225" s="137">
        <f t="shared" si="124"/>
        <v>-3.4138250481816593E-3</v>
      </c>
      <c r="U225" s="75">
        <f t="shared" si="124"/>
        <v>0</v>
      </c>
      <c r="V225" s="75">
        <f t="shared" si="124"/>
        <v>0</v>
      </c>
      <c r="W225" s="151">
        <v>0</v>
      </c>
      <c r="X225" s="255">
        <v>0</v>
      </c>
      <c r="Y225" s="248">
        <v>-1.294972</v>
      </c>
      <c r="Z225" s="132">
        <v>-1.045617</v>
      </c>
      <c r="AA225" s="207">
        <v>0</v>
      </c>
      <c r="AB225" s="207">
        <v>0</v>
      </c>
      <c r="AC225" s="176">
        <v>-0.42292200000000002</v>
      </c>
      <c r="AD225" s="176">
        <f>-AC225</f>
        <v>0.42292200000000002</v>
      </c>
      <c r="AE225" s="51" t="s">
        <v>1069</v>
      </c>
    </row>
    <row r="226" spans="1:31" ht="60" outlineLevel="1" x14ac:dyDescent="0.25">
      <c r="A226" s="210">
        <v>23</v>
      </c>
      <c r="B226" s="171" t="s">
        <v>1070</v>
      </c>
      <c r="C226" s="63">
        <v>44062</v>
      </c>
      <c r="D226" s="48" t="s">
        <v>1071</v>
      </c>
      <c r="E226" s="49" t="s">
        <v>1072</v>
      </c>
      <c r="F226" s="124">
        <f t="shared" si="117"/>
        <v>2.6598567071008015E-6</v>
      </c>
      <c r="G226" s="52">
        <f t="shared" si="96"/>
        <v>1.2459942393135282E-6</v>
      </c>
      <c r="H226" s="52">
        <f>M226/$S$8</f>
        <v>0</v>
      </c>
      <c r="I226" s="52">
        <f t="shared" si="113"/>
        <v>0</v>
      </c>
      <c r="J226" s="53">
        <f t="shared" si="120"/>
        <v>3.6549999999999999E-2</v>
      </c>
      <c r="K226" s="149">
        <f t="shared" si="123"/>
        <v>7.4992000000000003E-2</v>
      </c>
      <c r="L226" s="254">
        <f t="shared" si="123"/>
        <v>3.6549999999999999E-2</v>
      </c>
      <c r="M226" s="252">
        <f t="shared" si="119"/>
        <v>0</v>
      </c>
      <c r="N226" s="94">
        <f t="shared" ref="N226:N234" si="128">-AA226</f>
        <v>0</v>
      </c>
      <c r="O226" s="242" t="s">
        <v>483</v>
      </c>
      <c r="P226" s="242" t="s">
        <v>127</v>
      </c>
      <c r="Q226" s="150">
        <f t="shared" si="124"/>
        <v>-2.6598567071008014E-4</v>
      </c>
      <c r="R226" s="82">
        <f t="shared" si="124"/>
        <v>-1.2459942393135281E-4</v>
      </c>
      <c r="S226" s="75">
        <f t="shared" si="124"/>
        <v>0</v>
      </c>
      <c r="T226" s="137">
        <f t="shared" si="124"/>
        <v>0</v>
      </c>
      <c r="U226" s="75">
        <f t="shared" si="124"/>
        <v>0</v>
      </c>
      <c r="V226" s="75">
        <f t="shared" si="124"/>
        <v>0</v>
      </c>
      <c r="W226" s="151">
        <v>-7.4992000000000003E-2</v>
      </c>
      <c r="X226" s="255">
        <v>-3.6549999999999999E-2</v>
      </c>
      <c r="Y226" s="248">
        <v>0</v>
      </c>
      <c r="Z226" s="132">
        <v>0</v>
      </c>
      <c r="AA226" s="207">
        <v>0</v>
      </c>
      <c r="AB226" s="207">
        <v>0</v>
      </c>
      <c r="AC226" s="176">
        <v>0</v>
      </c>
      <c r="AD226" s="176">
        <f t="shared" si="122"/>
        <v>0</v>
      </c>
      <c r="AE226" s="51" t="s">
        <v>1072</v>
      </c>
    </row>
    <row r="227" spans="1:31" ht="227.25" customHeight="1" outlineLevel="1" x14ac:dyDescent="0.25">
      <c r="A227" s="210">
        <v>24</v>
      </c>
      <c r="B227" s="171" t="s">
        <v>1073</v>
      </c>
      <c r="C227" s="63" t="s">
        <v>1094</v>
      </c>
      <c r="D227" s="48" t="s">
        <v>764</v>
      </c>
      <c r="E227" s="49" t="s">
        <v>1074</v>
      </c>
      <c r="F227" s="124">
        <f t="shared" si="117"/>
        <v>0</v>
      </c>
      <c r="G227" s="52">
        <f t="shared" si="96"/>
        <v>7.6880060424073017E-7</v>
      </c>
      <c r="H227" s="52">
        <f>M227/$S$8</f>
        <v>1.5795540415948543E-2</v>
      </c>
      <c r="I227" s="52">
        <f t="shared" si="113"/>
        <v>0</v>
      </c>
      <c r="J227" s="53">
        <f t="shared" si="120"/>
        <v>483.82255200000003</v>
      </c>
      <c r="K227" s="149">
        <f t="shared" si="123"/>
        <v>0</v>
      </c>
      <c r="L227" s="254">
        <f t="shared" si="123"/>
        <v>2.2551999999999999E-2</v>
      </c>
      <c r="M227" s="252">
        <f t="shared" si="119"/>
        <v>483.8</v>
      </c>
      <c r="N227" s="94">
        <f t="shared" si="128"/>
        <v>0</v>
      </c>
      <c r="O227" s="242" t="s">
        <v>490</v>
      </c>
      <c r="P227" s="242" t="s">
        <v>127</v>
      </c>
      <c r="Q227" s="150">
        <f t="shared" si="124"/>
        <v>0</v>
      </c>
      <c r="R227" s="82">
        <f t="shared" si="124"/>
        <v>-7.6880060424073022E-5</v>
      </c>
      <c r="S227" s="75">
        <f t="shared" si="124"/>
        <v>-1.5795540415948544</v>
      </c>
      <c r="T227" s="137">
        <f t="shared" si="124"/>
        <v>-1.0147279787674262</v>
      </c>
      <c r="U227" s="75">
        <f t="shared" si="124"/>
        <v>0</v>
      </c>
      <c r="V227" s="75">
        <f t="shared" si="124"/>
        <v>0</v>
      </c>
      <c r="W227" s="151">
        <v>0</v>
      </c>
      <c r="X227" s="255">
        <v>-2.2551999999999999E-2</v>
      </c>
      <c r="Y227" s="248">
        <f>-70.8-240-173</f>
        <v>-483.8</v>
      </c>
      <c r="Z227" s="132">
        <f>-70.8-240</f>
        <v>-310.8</v>
      </c>
      <c r="AA227" s="207">
        <v>0</v>
      </c>
      <c r="AB227" s="207">
        <v>0</v>
      </c>
      <c r="AC227" s="176">
        <v>-308.56</v>
      </c>
      <c r="AD227" s="176">
        <f t="shared" si="122"/>
        <v>308.56</v>
      </c>
      <c r="AE227" s="51" t="s">
        <v>1075</v>
      </c>
    </row>
    <row r="228" spans="1:31" ht="120" customHeight="1" outlineLevel="1" x14ac:dyDescent="0.25">
      <c r="A228" s="210">
        <v>25</v>
      </c>
      <c r="B228" s="171" t="s">
        <v>1076</v>
      </c>
      <c r="C228" s="63" t="s">
        <v>492</v>
      </c>
      <c r="D228" s="48" t="s">
        <v>1077</v>
      </c>
      <c r="E228" s="49" t="s">
        <v>1078</v>
      </c>
      <c r="F228" s="124">
        <f t="shared" si="117"/>
        <v>1.3949457331347095E-5</v>
      </c>
      <c r="G228" s="52">
        <f t="shared" si="96"/>
        <v>1.229535524710503E-5</v>
      </c>
      <c r="H228" s="52">
        <f>M228/$S$8</f>
        <v>0</v>
      </c>
      <c r="I228" s="52">
        <f t="shared" si="113"/>
        <v>0</v>
      </c>
      <c r="J228" s="53">
        <f t="shared" si="120"/>
        <v>0.36067199999999999</v>
      </c>
      <c r="K228" s="149">
        <f t="shared" si="123"/>
        <v>0.393291</v>
      </c>
      <c r="L228" s="254">
        <f t="shared" si="123"/>
        <v>0.36067199999999999</v>
      </c>
      <c r="M228" s="252">
        <f t="shared" si="119"/>
        <v>0</v>
      </c>
      <c r="N228" s="94">
        <f t="shared" si="128"/>
        <v>0</v>
      </c>
      <c r="O228" s="242" t="s">
        <v>486</v>
      </c>
      <c r="P228" s="242" t="s">
        <v>130</v>
      </c>
      <c r="Q228" s="150">
        <f t="shared" si="124"/>
        <v>-1.3949457331347095E-3</v>
      </c>
      <c r="R228" s="82">
        <f t="shared" si="124"/>
        <v>-1.229535524710503E-3</v>
      </c>
      <c r="S228" s="75">
        <f t="shared" si="124"/>
        <v>0</v>
      </c>
      <c r="T228" s="137">
        <f t="shared" si="124"/>
        <v>0</v>
      </c>
      <c r="U228" s="75">
        <f t="shared" si="124"/>
        <v>0</v>
      </c>
      <c r="V228" s="75">
        <f t="shared" si="124"/>
        <v>0</v>
      </c>
      <c r="W228" s="151">
        <v>-0.393291</v>
      </c>
      <c r="X228" s="255">
        <v>-0.36067199999999999</v>
      </c>
      <c r="Y228" s="248">
        <v>0</v>
      </c>
      <c r="Z228" s="132">
        <v>0</v>
      </c>
      <c r="AA228" s="207">
        <v>0</v>
      </c>
      <c r="AB228" s="207">
        <v>0</v>
      </c>
      <c r="AC228" s="176">
        <v>0</v>
      </c>
      <c r="AD228" s="176">
        <f t="shared" si="122"/>
        <v>0</v>
      </c>
      <c r="AE228" s="51" t="s">
        <v>1079</v>
      </c>
    </row>
    <row r="229" spans="1:31" ht="120" customHeight="1" outlineLevel="1" x14ac:dyDescent="0.25">
      <c r="A229" s="210">
        <v>26</v>
      </c>
      <c r="B229" s="171" t="s">
        <v>1080</v>
      </c>
      <c r="C229" s="63">
        <v>44224</v>
      </c>
      <c r="D229" s="48" t="s">
        <v>1402</v>
      </c>
      <c r="E229" s="49" t="s">
        <v>1081</v>
      </c>
      <c r="F229" s="124">
        <f t="shared" si="117"/>
        <v>0</v>
      </c>
      <c r="G229" s="52">
        <f t="shared" si="96"/>
        <v>0</v>
      </c>
      <c r="H229" s="52">
        <f>M229/$S$8</f>
        <v>1.632445268287365E-4</v>
      </c>
      <c r="I229" s="52">
        <f t="shared" si="113"/>
        <v>0</v>
      </c>
      <c r="J229" s="53">
        <f t="shared" si="120"/>
        <v>5</v>
      </c>
      <c r="K229" s="149">
        <f t="shared" ref="K229:L234" si="129">-W229</f>
        <v>0</v>
      </c>
      <c r="L229" s="254">
        <f t="shared" si="129"/>
        <v>0</v>
      </c>
      <c r="M229" s="252">
        <f t="shared" si="119"/>
        <v>5</v>
      </c>
      <c r="N229" s="94">
        <f t="shared" si="128"/>
        <v>0</v>
      </c>
      <c r="O229" s="242" t="s">
        <v>185</v>
      </c>
      <c r="P229" s="72" t="s">
        <v>127</v>
      </c>
      <c r="Q229" s="150">
        <f t="shared" si="124"/>
        <v>0</v>
      </c>
      <c r="R229" s="82">
        <f t="shared" si="124"/>
        <v>0</v>
      </c>
      <c r="S229" s="75">
        <f t="shared" si="124"/>
        <v>-1.632445268287365E-2</v>
      </c>
      <c r="T229" s="137">
        <f t="shared" si="124"/>
        <v>-1.632445268287365E-2</v>
      </c>
      <c r="U229" s="75">
        <f t="shared" si="124"/>
        <v>0</v>
      </c>
      <c r="V229" s="75">
        <f t="shared" si="124"/>
        <v>0</v>
      </c>
      <c r="W229" s="151">
        <v>0</v>
      </c>
      <c r="X229" s="255">
        <v>0</v>
      </c>
      <c r="Y229" s="248">
        <v>-5</v>
      </c>
      <c r="Z229" s="132">
        <v>-5</v>
      </c>
      <c r="AA229" s="207">
        <v>0</v>
      </c>
      <c r="AB229" s="207">
        <v>0</v>
      </c>
      <c r="AC229" s="176">
        <v>-5</v>
      </c>
      <c r="AD229" s="176">
        <f t="shared" si="122"/>
        <v>5</v>
      </c>
      <c r="AE229" s="51" t="s">
        <v>1082</v>
      </c>
    </row>
    <row r="230" spans="1:31" ht="120" customHeight="1" outlineLevel="1" x14ac:dyDescent="0.25">
      <c r="A230" s="1432">
        <v>27</v>
      </c>
      <c r="B230" s="1433" t="s">
        <v>1279</v>
      </c>
      <c r="C230" s="63">
        <v>44273</v>
      </c>
      <c r="D230" s="48" t="s">
        <v>1280</v>
      </c>
      <c r="E230" s="1434" t="s">
        <v>1281</v>
      </c>
      <c r="F230" s="124">
        <f t="shared" si="117"/>
        <v>0</v>
      </c>
      <c r="G230" s="52">
        <f t="shared" ref="G230:G234" si="130">L230/$R$8</f>
        <v>0</v>
      </c>
      <c r="H230" s="52">
        <f t="shared" ref="H230:H234" si="131">M230/$S$8</f>
        <v>2.0135265566069041E-3</v>
      </c>
      <c r="I230" s="52">
        <f t="shared" si="113"/>
        <v>2.8977743108139814E-3</v>
      </c>
      <c r="J230" s="53">
        <f t="shared" si="120"/>
        <v>156.770388</v>
      </c>
      <c r="K230" s="149">
        <f t="shared" si="129"/>
        <v>0</v>
      </c>
      <c r="L230" s="254">
        <f t="shared" si="129"/>
        <v>0</v>
      </c>
      <c r="M230" s="252">
        <f t="shared" si="119"/>
        <v>61.6721</v>
      </c>
      <c r="N230" s="94">
        <f t="shared" si="128"/>
        <v>95.098287999999997</v>
      </c>
      <c r="O230" s="71"/>
      <c r="P230" s="242" t="s">
        <v>171</v>
      </c>
      <c r="Q230" s="150">
        <f t="shared" ref="Q230:Q234" si="132">W230/Q$8*100</f>
        <v>0</v>
      </c>
      <c r="R230" s="82">
        <f>X230/R$8*100</f>
        <v>0</v>
      </c>
      <c r="S230" s="75">
        <f t="shared" ref="S230:V234" si="133">Y230/S$8*100</f>
        <v>-0.20135265566069041</v>
      </c>
      <c r="T230" s="137">
        <f t="shared" si="133"/>
        <v>-0.39429442112200686</v>
      </c>
      <c r="U230" s="75">
        <f t="shared" si="133"/>
        <v>-0.28977743108139814</v>
      </c>
      <c r="V230" s="75">
        <f t="shared" si="133"/>
        <v>0</v>
      </c>
      <c r="W230" s="151">
        <v>0</v>
      </c>
      <c r="X230" s="255">
        <v>0</v>
      </c>
      <c r="Y230" s="248">
        <f>-120.768037+3.55616+55+0.539777</f>
        <v>-61.6721</v>
      </c>
      <c r="Z230" s="132">
        <f>-120.768037</f>
        <v>-120.76803700000001</v>
      </c>
      <c r="AA230" s="207">
        <f>-98.833288+3.735</f>
        <v>-95.098287999999997</v>
      </c>
      <c r="AB230" s="207">
        <v>0</v>
      </c>
      <c r="AC230" s="176">
        <v>0</v>
      </c>
      <c r="AD230" s="176">
        <f t="shared" si="122"/>
        <v>0</v>
      </c>
      <c r="AE230" s="51" t="s">
        <v>1282</v>
      </c>
    </row>
    <row r="231" spans="1:31" ht="55.5" customHeight="1" outlineLevel="1" x14ac:dyDescent="0.25">
      <c r="A231" s="1432"/>
      <c r="B231" s="1433"/>
      <c r="C231" s="63">
        <v>44299</v>
      </c>
      <c r="D231" s="48" t="s">
        <v>1403</v>
      </c>
      <c r="E231" s="1434"/>
      <c r="F231" s="124">
        <f t="shared" si="117"/>
        <v>0</v>
      </c>
      <c r="G231" s="52">
        <f t="shared" si="130"/>
        <v>0</v>
      </c>
      <c r="H231" s="52">
        <f t="shared" si="131"/>
        <v>1.7623128191606978E-5</v>
      </c>
      <c r="I231" s="52">
        <f t="shared" si="113"/>
        <v>0</v>
      </c>
      <c r="J231" s="53">
        <f t="shared" si="120"/>
        <v>0.53977699999999995</v>
      </c>
      <c r="K231" s="149">
        <f t="shared" si="129"/>
        <v>0</v>
      </c>
      <c r="L231" s="254">
        <f t="shared" si="129"/>
        <v>0</v>
      </c>
      <c r="M231" s="252">
        <f t="shared" si="119"/>
        <v>0.53977699999999995</v>
      </c>
      <c r="N231" s="94">
        <f t="shared" si="128"/>
        <v>0</v>
      </c>
      <c r="O231" s="242" t="s">
        <v>1164</v>
      </c>
      <c r="P231" s="242" t="s">
        <v>171</v>
      </c>
      <c r="Q231" s="150">
        <f t="shared" si="132"/>
        <v>0</v>
      </c>
      <c r="R231" s="82">
        <f>X231/R$8*100</f>
        <v>0</v>
      </c>
      <c r="S231" s="75">
        <f t="shared" si="133"/>
        <v>-1.7623128191606979E-3</v>
      </c>
      <c r="T231" s="137">
        <f t="shared" si="133"/>
        <v>0</v>
      </c>
      <c r="U231" s="75">
        <f t="shared" si="133"/>
        <v>0</v>
      </c>
      <c r="V231" s="75">
        <f t="shared" si="133"/>
        <v>0</v>
      </c>
      <c r="W231" s="151">
        <v>0</v>
      </c>
      <c r="X231" s="255">
        <v>0</v>
      </c>
      <c r="Y231" s="248">
        <v>-0.53977699999999995</v>
      </c>
      <c r="Z231" s="132">
        <v>0</v>
      </c>
      <c r="AA231" s="207">
        <v>0</v>
      </c>
      <c r="AB231" s="207">
        <v>0</v>
      </c>
      <c r="AC231" s="176">
        <v>0</v>
      </c>
      <c r="AD231" s="176">
        <f t="shared" si="122"/>
        <v>0</v>
      </c>
      <c r="AE231" s="51" t="s">
        <v>1312</v>
      </c>
    </row>
    <row r="232" spans="1:31" ht="90.75" customHeight="1" outlineLevel="1" x14ac:dyDescent="0.25">
      <c r="A232" s="210">
        <v>28</v>
      </c>
      <c r="B232" s="171" t="s">
        <v>1314</v>
      </c>
      <c r="C232" s="63">
        <v>44294</v>
      </c>
      <c r="D232" s="48" t="s">
        <v>1404</v>
      </c>
      <c r="E232" s="49" t="s">
        <v>1313</v>
      </c>
      <c r="F232" s="124">
        <f t="shared" si="117"/>
        <v>0</v>
      </c>
      <c r="G232" s="52">
        <f t="shared" si="130"/>
        <v>0</v>
      </c>
      <c r="H232" s="52">
        <f t="shared" si="131"/>
        <v>6.5297810731494601E-4</v>
      </c>
      <c r="I232" s="52">
        <f t="shared" si="113"/>
        <v>0</v>
      </c>
      <c r="J232" s="53">
        <f t="shared" si="120"/>
        <v>20</v>
      </c>
      <c r="K232" s="149">
        <f t="shared" si="129"/>
        <v>0</v>
      </c>
      <c r="L232" s="254">
        <f t="shared" si="129"/>
        <v>0</v>
      </c>
      <c r="M232" s="252">
        <f t="shared" si="119"/>
        <v>20</v>
      </c>
      <c r="N232" s="94">
        <f t="shared" si="128"/>
        <v>0</v>
      </c>
      <c r="O232" s="242" t="s">
        <v>459</v>
      </c>
      <c r="P232" s="242" t="s">
        <v>127</v>
      </c>
      <c r="Q232" s="150">
        <f t="shared" si="132"/>
        <v>0</v>
      </c>
      <c r="R232" s="82">
        <f>X232/R$8*100</f>
        <v>0</v>
      </c>
      <c r="S232" s="75">
        <f t="shared" si="133"/>
        <v>-6.5297810731494599E-2</v>
      </c>
      <c r="T232" s="137">
        <f t="shared" si="133"/>
        <v>0</v>
      </c>
      <c r="U232" s="75">
        <f t="shared" si="133"/>
        <v>0</v>
      </c>
      <c r="V232" s="75">
        <f t="shared" si="133"/>
        <v>0</v>
      </c>
      <c r="W232" s="151">
        <v>0</v>
      </c>
      <c r="X232" s="255">
        <v>0</v>
      </c>
      <c r="Y232" s="248">
        <v>-20</v>
      </c>
      <c r="Z232" s="132">
        <v>0</v>
      </c>
      <c r="AA232" s="207">
        <v>0</v>
      </c>
      <c r="AB232" s="207">
        <v>0</v>
      </c>
      <c r="AC232" s="176">
        <v>0</v>
      </c>
      <c r="AD232" s="176">
        <f t="shared" si="122"/>
        <v>0</v>
      </c>
      <c r="AE232" s="51" t="s">
        <v>1316</v>
      </c>
    </row>
    <row r="233" spans="1:31" ht="45" customHeight="1" outlineLevel="1" x14ac:dyDescent="0.25">
      <c r="A233" s="210">
        <v>29</v>
      </c>
      <c r="B233" s="171" t="s">
        <v>1315</v>
      </c>
      <c r="C233" s="63">
        <v>44294</v>
      </c>
      <c r="D233" s="48" t="s">
        <v>1405</v>
      </c>
      <c r="E233" s="49" t="s">
        <v>1315</v>
      </c>
      <c r="F233" s="124">
        <f t="shared" si="117"/>
        <v>0</v>
      </c>
      <c r="G233" s="52">
        <f t="shared" si="130"/>
        <v>0</v>
      </c>
      <c r="H233" s="52">
        <f t="shared" si="131"/>
        <v>2.5139330642571764E-6</v>
      </c>
      <c r="I233" s="52">
        <f t="shared" si="113"/>
        <v>0</v>
      </c>
      <c r="J233" s="53">
        <f t="shared" si="120"/>
        <v>7.6998999999999998E-2</v>
      </c>
      <c r="K233" s="149">
        <f t="shared" si="129"/>
        <v>0</v>
      </c>
      <c r="L233" s="254">
        <f t="shared" si="129"/>
        <v>0</v>
      </c>
      <c r="M233" s="252">
        <f t="shared" si="119"/>
        <v>7.6998999999999998E-2</v>
      </c>
      <c r="N233" s="94">
        <f t="shared" si="128"/>
        <v>0</v>
      </c>
      <c r="O233" s="242" t="s">
        <v>185</v>
      </c>
      <c r="P233" s="242" t="s">
        <v>130</v>
      </c>
      <c r="Q233" s="150">
        <f t="shared" si="132"/>
        <v>0</v>
      </c>
      <c r="R233" s="82">
        <f>X233/R$8*100</f>
        <v>0</v>
      </c>
      <c r="S233" s="75">
        <f t="shared" si="133"/>
        <v>-2.5139330642571763E-4</v>
      </c>
      <c r="T233" s="137">
        <f t="shared" si="133"/>
        <v>0</v>
      </c>
      <c r="U233" s="75">
        <f t="shared" si="133"/>
        <v>0</v>
      </c>
      <c r="V233" s="75">
        <f t="shared" si="133"/>
        <v>0</v>
      </c>
      <c r="W233" s="151">
        <v>0</v>
      </c>
      <c r="X233" s="255">
        <v>0</v>
      </c>
      <c r="Y233" s="248">
        <v>-7.6998999999999998E-2</v>
      </c>
      <c r="Z233" s="132">
        <v>0</v>
      </c>
      <c r="AA233" s="207">
        <v>0</v>
      </c>
      <c r="AB233" s="207">
        <v>0</v>
      </c>
      <c r="AC233" s="176">
        <v>0</v>
      </c>
      <c r="AD233" s="176">
        <f t="shared" si="122"/>
        <v>0</v>
      </c>
      <c r="AE233" s="51" t="s">
        <v>1317</v>
      </c>
    </row>
    <row r="234" spans="1:31" ht="45" customHeight="1" outlineLevel="1" x14ac:dyDescent="0.25">
      <c r="A234" s="120">
        <v>30</v>
      </c>
      <c r="B234" s="116" t="s">
        <v>1406</v>
      </c>
      <c r="C234" s="117">
        <v>44306</v>
      </c>
      <c r="D234" s="48" t="s">
        <v>1407</v>
      </c>
      <c r="E234" s="119" t="s">
        <v>1406</v>
      </c>
      <c r="F234" s="124"/>
      <c r="G234" s="52">
        <f t="shared" si="130"/>
        <v>0</v>
      </c>
      <c r="H234" s="52">
        <f t="shared" si="131"/>
        <v>4.8973358048620953E-6</v>
      </c>
      <c r="I234" s="52">
        <f t="shared" si="113"/>
        <v>0</v>
      </c>
      <c r="J234" s="53">
        <f t="shared" si="120"/>
        <v>0.15</v>
      </c>
      <c r="K234" s="95">
        <f t="shared" si="129"/>
        <v>0</v>
      </c>
      <c r="L234" s="254">
        <f t="shared" si="129"/>
        <v>0</v>
      </c>
      <c r="M234" s="252">
        <f t="shared" si="119"/>
        <v>0.15</v>
      </c>
      <c r="N234" s="94">
        <f t="shared" si="128"/>
        <v>0</v>
      </c>
      <c r="O234" s="242" t="s">
        <v>486</v>
      </c>
      <c r="P234" s="242" t="s">
        <v>129</v>
      </c>
      <c r="Q234" s="82">
        <f t="shared" si="132"/>
        <v>0</v>
      </c>
      <c r="R234" s="82">
        <f>X234/R$8*100</f>
        <v>0</v>
      </c>
      <c r="S234" s="75">
        <f t="shared" si="133"/>
        <v>-4.8973358048620956E-4</v>
      </c>
      <c r="T234" s="137">
        <f t="shared" si="133"/>
        <v>0</v>
      </c>
      <c r="U234" s="75">
        <f t="shared" si="133"/>
        <v>0</v>
      </c>
      <c r="V234" s="75">
        <f t="shared" si="133"/>
        <v>0</v>
      </c>
      <c r="W234" s="77">
        <v>0</v>
      </c>
      <c r="X234" s="255">
        <v>0</v>
      </c>
      <c r="Y234" s="248">
        <v>-0.15</v>
      </c>
      <c r="Z234" s="132">
        <v>0</v>
      </c>
      <c r="AA234" s="207">
        <v>0</v>
      </c>
      <c r="AB234" s="207">
        <v>0</v>
      </c>
      <c r="AC234" s="176">
        <v>0</v>
      </c>
      <c r="AD234" s="176">
        <f t="shared" si="122"/>
        <v>0</v>
      </c>
      <c r="AE234" s="51" t="s">
        <v>1408</v>
      </c>
    </row>
    <row r="235" spans="1:31" ht="18.75" customHeight="1" x14ac:dyDescent="0.25">
      <c r="A235" s="10" t="s">
        <v>246</v>
      </c>
      <c r="B235" s="12"/>
      <c r="C235" s="13"/>
      <c r="D235" s="14"/>
      <c r="E235" s="15"/>
      <c r="F235" s="111">
        <f t="shared" ref="F235:H235" si="134">SUM(F236:F241)</f>
        <v>2.7025076328296805E-2</v>
      </c>
      <c r="G235" s="26">
        <f>SUM(G236:G241)</f>
        <v>9.30728413345822E-4</v>
      </c>
      <c r="H235" s="26">
        <f t="shared" si="134"/>
        <v>2.9337115656081839E-3</v>
      </c>
      <c r="I235" s="26">
        <f t="shared" si="113"/>
        <v>6.2119075986434161E-3</v>
      </c>
      <c r="J235" s="21">
        <f>SUM(J236:J241)</f>
        <v>321.01886400000001</v>
      </c>
      <c r="K235" s="167">
        <f t="shared" ref="K235:L235" si="135">SUM(K236:K241)</f>
        <v>761.94500199999993</v>
      </c>
      <c r="L235" s="21">
        <f t="shared" si="135"/>
        <v>27.301991000000001</v>
      </c>
      <c r="M235" s="21">
        <f>SUM(M236:M241)</f>
        <v>89.856353000000013</v>
      </c>
      <c r="N235" s="21">
        <f>SUM(N236:N241)</f>
        <v>203.86052000000001</v>
      </c>
      <c r="O235" s="25"/>
      <c r="P235" s="18"/>
      <c r="Q235" s="112">
        <f t="shared" ref="Q235:AD235" si="136">SUM(Q236:Q241)</f>
        <v>0</v>
      </c>
      <c r="R235" s="9">
        <f t="shared" si="136"/>
        <v>0</v>
      </c>
      <c r="S235" s="9">
        <f t="shared" si="136"/>
        <v>-2.8020596541098966E-2</v>
      </c>
      <c r="T235" s="148">
        <f>SUM(T236:T241)</f>
        <v>-2.8020596541098966E-2</v>
      </c>
      <c r="U235" s="9">
        <f t="shared" si="136"/>
        <v>-2.0964296705741112E-2</v>
      </c>
      <c r="V235" s="9">
        <f t="shared" si="136"/>
        <v>-8.9705941976102356E-3</v>
      </c>
      <c r="W235" s="112">
        <f>SUM(W236:W241)</f>
        <v>0</v>
      </c>
      <c r="X235" s="9">
        <f>SUM(X236:X241)</f>
        <v>0</v>
      </c>
      <c r="Y235" s="9">
        <f t="shared" si="136"/>
        <v>-8.5823999999999998</v>
      </c>
      <c r="Z235" s="148">
        <f>SUM(Z236:Z241)</f>
        <v>-8.5823999999999998</v>
      </c>
      <c r="AA235" s="9">
        <f t="shared" si="136"/>
        <v>-6.88</v>
      </c>
      <c r="AB235" s="9">
        <f t="shared" si="136"/>
        <v>-3.0975999999999999</v>
      </c>
      <c r="AC235" s="9">
        <f t="shared" si="136"/>
        <v>0</v>
      </c>
      <c r="AD235" s="9">
        <f t="shared" si="136"/>
        <v>20.299999999999997</v>
      </c>
      <c r="AE235" s="101"/>
    </row>
    <row r="236" spans="1:31" ht="84" hidden="1" customHeight="1" outlineLevel="1" x14ac:dyDescent="0.25">
      <c r="A236" s="92">
        <v>1</v>
      </c>
      <c r="B236" s="97" t="s">
        <v>204</v>
      </c>
      <c r="C236" s="63">
        <v>43965</v>
      </c>
      <c r="D236" s="48" t="s">
        <v>1083</v>
      </c>
      <c r="E236" s="96" t="s">
        <v>1084</v>
      </c>
      <c r="F236" s="27">
        <f>K236/$Q$8</f>
        <v>2.1224373980279492E-3</v>
      </c>
      <c r="G236" s="52">
        <f>L236/$R$8</f>
        <v>3.7703683411238368E-4</v>
      </c>
      <c r="H236" s="52">
        <f>M236/$S$8</f>
        <v>0</v>
      </c>
      <c r="I236" s="52">
        <f>N236/$U$8</f>
        <v>0</v>
      </c>
      <c r="J236" s="53">
        <f>L236+M236+N236</f>
        <v>11.06</v>
      </c>
      <c r="K236" s="20">
        <v>59.84</v>
      </c>
      <c r="L236" s="95">
        <v>11.06</v>
      </c>
      <c r="M236" s="95">
        <v>0</v>
      </c>
      <c r="N236" s="95">
        <v>0</v>
      </c>
      <c r="O236" s="242" t="s">
        <v>186</v>
      </c>
      <c r="P236" s="242" t="s">
        <v>127</v>
      </c>
      <c r="Q236" s="28">
        <f t="shared" ref="Q236:V241" si="137">W236/Q$8*100</f>
        <v>0</v>
      </c>
      <c r="R236" s="82">
        <f t="shared" si="137"/>
        <v>0</v>
      </c>
      <c r="S236" s="75">
        <f t="shared" si="137"/>
        <v>0</v>
      </c>
      <c r="T236" s="137">
        <f t="shared" si="137"/>
        <v>0</v>
      </c>
      <c r="U236" s="75">
        <f t="shared" si="137"/>
        <v>0</v>
      </c>
      <c r="V236" s="75">
        <f t="shared" si="137"/>
        <v>0</v>
      </c>
      <c r="W236" s="29">
        <v>0</v>
      </c>
      <c r="X236" s="77">
        <v>0</v>
      </c>
      <c r="Y236" s="207">
        <v>0</v>
      </c>
      <c r="Z236" s="132">
        <v>0</v>
      </c>
      <c r="AA236" s="207">
        <v>0</v>
      </c>
      <c r="AB236" s="207">
        <v>0</v>
      </c>
      <c r="AC236" s="77">
        <v>0</v>
      </c>
      <c r="AD236" s="77">
        <f t="shared" ref="AD236:AD241" si="138">-AC236</f>
        <v>0</v>
      </c>
      <c r="AE236" s="84" t="s">
        <v>1085</v>
      </c>
    </row>
    <row r="237" spans="1:31" ht="135" hidden="1" customHeight="1" outlineLevel="1" x14ac:dyDescent="0.25">
      <c r="A237" s="92">
        <v>2</v>
      </c>
      <c r="B237" s="97" t="s">
        <v>205</v>
      </c>
      <c r="C237" s="63">
        <v>43970</v>
      </c>
      <c r="D237" s="48" t="s">
        <v>206</v>
      </c>
      <c r="E237" s="96" t="s">
        <v>1086</v>
      </c>
      <c r="F237" s="27">
        <f>K237/$Q$8</f>
        <v>1.7592395545151452E-2</v>
      </c>
      <c r="G237" s="52">
        <f>L237/$R$8</f>
        <v>3.1855020542030329E-4</v>
      </c>
      <c r="H237" s="52">
        <f>M237/$S$8</f>
        <v>2.476788698462714E-3</v>
      </c>
      <c r="I237" s="52">
        <f>N237/$U$8</f>
        <v>4.9403648945538546E-3</v>
      </c>
      <c r="J237" s="53">
        <f>L237+M237+N237</f>
        <v>247.33707500000003</v>
      </c>
      <c r="K237" s="20">
        <v>496</v>
      </c>
      <c r="L237" s="95">
        <v>9.3443529999999999</v>
      </c>
      <c r="M237" s="95">
        <v>75.861309000000006</v>
      </c>
      <c r="N237" s="95">
        <v>162.13141300000001</v>
      </c>
      <c r="O237" s="242" t="s">
        <v>185</v>
      </c>
      <c r="P237" s="242" t="s">
        <v>326</v>
      </c>
      <c r="Q237" s="28">
        <f t="shared" si="137"/>
        <v>0</v>
      </c>
      <c r="R237" s="82">
        <f t="shared" si="137"/>
        <v>0</v>
      </c>
      <c r="S237" s="75">
        <f t="shared" si="137"/>
        <v>0</v>
      </c>
      <c r="T237" s="137">
        <f t="shared" si="137"/>
        <v>0</v>
      </c>
      <c r="U237" s="75">
        <f t="shared" si="137"/>
        <v>0</v>
      </c>
      <c r="V237" s="75">
        <f t="shared" si="137"/>
        <v>0</v>
      </c>
      <c r="W237" s="29">
        <v>0</v>
      </c>
      <c r="X237" s="77">
        <v>0</v>
      </c>
      <c r="Y237" s="207">
        <v>0</v>
      </c>
      <c r="Z237" s="132">
        <v>0</v>
      </c>
      <c r="AA237" s="207">
        <v>0</v>
      </c>
      <c r="AB237" s="207">
        <v>0</v>
      </c>
      <c r="AC237" s="77">
        <v>0</v>
      </c>
      <c r="AD237" s="77">
        <v>17.399999999999999</v>
      </c>
      <c r="AE237" s="51" t="s">
        <v>1318</v>
      </c>
    </row>
    <row r="238" spans="1:31" ht="375" hidden="1" customHeight="1" outlineLevel="1" x14ac:dyDescent="0.25">
      <c r="A238" s="92">
        <v>3</v>
      </c>
      <c r="B238" s="97" t="s">
        <v>257</v>
      </c>
      <c r="C238" s="63">
        <v>43984</v>
      </c>
      <c r="D238" s="98" t="s">
        <v>1087</v>
      </c>
      <c r="E238" s="49" t="s">
        <v>261</v>
      </c>
      <c r="F238" s="27">
        <f t="shared" ref="F238:F240" si="139">K238/$Q$8</f>
        <v>2.3675257146910691E-4</v>
      </c>
      <c r="G238" s="52">
        <f>L238/$R$8</f>
        <v>2.2755168370468617E-4</v>
      </c>
      <c r="H238" s="52">
        <f>M238/$S$8</f>
        <v>0</v>
      </c>
      <c r="I238" s="52">
        <f>N238/$U$8</f>
        <v>0</v>
      </c>
      <c r="J238" s="53">
        <f>L238+M238+N238</f>
        <v>6.6750020000000001</v>
      </c>
      <c r="K238" s="20">
        <v>6.6750020000000001</v>
      </c>
      <c r="L238" s="95">
        <v>6.6750020000000001</v>
      </c>
      <c r="M238" s="95">
        <v>0</v>
      </c>
      <c r="N238" s="95">
        <v>0</v>
      </c>
      <c r="O238" s="242" t="s">
        <v>186</v>
      </c>
      <c r="P238" s="242" t="s">
        <v>131</v>
      </c>
      <c r="Q238" s="28">
        <f t="shared" si="137"/>
        <v>0</v>
      </c>
      <c r="R238" s="82">
        <f t="shared" si="137"/>
        <v>0</v>
      </c>
      <c r="S238" s="75">
        <f t="shared" si="137"/>
        <v>0</v>
      </c>
      <c r="T238" s="137">
        <f t="shared" si="137"/>
        <v>0</v>
      </c>
      <c r="U238" s="75">
        <f t="shared" si="137"/>
        <v>0</v>
      </c>
      <c r="V238" s="75">
        <f t="shared" si="137"/>
        <v>0</v>
      </c>
      <c r="W238" s="29">
        <v>0</v>
      </c>
      <c r="X238" s="77">
        <v>0</v>
      </c>
      <c r="Y238" s="207">
        <v>0</v>
      </c>
      <c r="Z238" s="132">
        <v>0</v>
      </c>
      <c r="AA238" s="207">
        <v>0</v>
      </c>
      <c r="AB238" s="207">
        <v>0</v>
      </c>
      <c r="AC238" s="77">
        <v>0</v>
      </c>
      <c r="AD238" s="77">
        <f t="shared" si="138"/>
        <v>0</v>
      </c>
      <c r="AE238" s="51" t="s">
        <v>260</v>
      </c>
    </row>
    <row r="239" spans="1:31" ht="390" hidden="1" customHeight="1" outlineLevel="1" x14ac:dyDescent="0.25">
      <c r="A239" s="1439">
        <v>4</v>
      </c>
      <c r="B239" s="1564" t="s">
        <v>259</v>
      </c>
      <c r="C239" s="63">
        <v>43984</v>
      </c>
      <c r="D239" s="48" t="s">
        <v>247</v>
      </c>
      <c r="E239" s="49" t="s">
        <v>1088</v>
      </c>
      <c r="F239" s="27">
        <f t="shared" si="139"/>
        <v>2.5182662977938568E-3</v>
      </c>
      <c r="G239" s="1201">
        <f>L239/$R$8</f>
        <v>7.589690108448883E-6</v>
      </c>
      <c r="H239" s="1201">
        <f>M239/$S$8</f>
        <v>4.5692286714546959E-4</v>
      </c>
      <c r="I239" s="1201">
        <f>N239/$U$8</f>
        <v>1.2715427040895615E-3</v>
      </c>
      <c r="J239" s="1447">
        <f>L239+M239+N239</f>
        <v>55.946787</v>
      </c>
      <c r="K239" s="20">
        <v>71</v>
      </c>
      <c r="L239" s="1233">
        <v>0.222636</v>
      </c>
      <c r="M239" s="1233">
        <v>13.995044</v>
      </c>
      <c r="N239" s="1233">
        <v>41.729106999999999</v>
      </c>
      <c r="O239" s="242" t="s">
        <v>185</v>
      </c>
      <c r="P239" s="242" t="s">
        <v>730</v>
      </c>
      <c r="Q239" s="152">
        <f t="shared" si="137"/>
        <v>0</v>
      </c>
      <c r="R239" s="153">
        <f t="shared" si="137"/>
        <v>0</v>
      </c>
      <c r="S239" s="154">
        <f t="shared" si="137"/>
        <v>0</v>
      </c>
      <c r="T239" s="155">
        <f t="shared" si="137"/>
        <v>0</v>
      </c>
      <c r="U239" s="154">
        <f t="shared" si="137"/>
        <v>0</v>
      </c>
      <c r="V239" s="154">
        <f t="shared" si="137"/>
        <v>0</v>
      </c>
      <c r="W239" s="156">
        <v>0</v>
      </c>
      <c r="X239" s="157">
        <v>0</v>
      </c>
      <c r="Y239" s="80">
        <v>0</v>
      </c>
      <c r="Z239" s="158">
        <v>0</v>
      </c>
      <c r="AA239" s="80">
        <v>0</v>
      </c>
      <c r="AB239" s="80">
        <v>0</v>
      </c>
      <c r="AC239" s="1409">
        <v>0</v>
      </c>
      <c r="AD239" s="1409">
        <v>2.9</v>
      </c>
      <c r="AE239" s="51" t="s">
        <v>1130</v>
      </c>
    </row>
    <row r="240" spans="1:31" ht="228" hidden="1" customHeight="1" outlineLevel="1" x14ac:dyDescent="0.25">
      <c r="A240" s="1440"/>
      <c r="B240" s="1565"/>
      <c r="C240" s="63">
        <v>43984</v>
      </c>
      <c r="D240" s="48" t="s">
        <v>247</v>
      </c>
      <c r="E240" s="49" t="s">
        <v>1089</v>
      </c>
      <c r="F240" s="27">
        <f t="shared" si="139"/>
        <v>2.4980492303326952E-3</v>
      </c>
      <c r="G240" s="1202"/>
      <c r="H240" s="1202"/>
      <c r="I240" s="1202"/>
      <c r="J240" s="1448"/>
      <c r="K240" s="20">
        <v>70.430000000000007</v>
      </c>
      <c r="L240" s="1234"/>
      <c r="M240" s="1234"/>
      <c r="N240" s="1234"/>
      <c r="O240" s="242" t="s">
        <v>185</v>
      </c>
      <c r="P240" s="242" t="s">
        <v>326</v>
      </c>
      <c r="Q240" s="152">
        <f t="shared" si="137"/>
        <v>0</v>
      </c>
      <c r="R240" s="153">
        <f t="shared" si="137"/>
        <v>0</v>
      </c>
      <c r="S240" s="154">
        <f t="shared" si="137"/>
        <v>0</v>
      </c>
      <c r="T240" s="155">
        <f t="shared" si="137"/>
        <v>0</v>
      </c>
      <c r="U240" s="154">
        <f t="shared" si="137"/>
        <v>0</v>
      </c>
      <c r="V240" s="154">
        <f t="shared" si="137"/>
        <v>0</v>
      </c>
      <c r="W240" s="156">
        <v>0</v>
      </c>
      <c r="X240" s="157">
        <v>0</v>
      </c>
      <c r="Y240" s="80">
        <v>0</v>
      </c>
      <c r="Z240" s="158">
        <v>0</v>
      </c>
      <c r="AA240" s="80">
        <v>0</v>
      </c>
      <c r="AB240" s="80">
        <v>0</v>
      </c>
      <c r="AC240" s="1411"/>
      <c r="AD240" s="1411"/>
      <c r="AE240" s="99" t="s">
        <v>1131</v>
      </c>
    </row>
    <row r="241" spans="1:31" ht="210" hidden="1" customHeight="1" outlineLevel="1" x14ac:dyDescent="0.25">
      <c r="A241" s="92">
        <v>5</v>
      </c>
      <c r="B241" s="97" t="s">
        <v>258</v>
      </c>
      <c r="C241" s="63" t="s">
        <v>299</v>
      </c>
      <c r="D241" s="48" t="s">
        <v>1090</v>
      </c>
      <c r="E241" s="49" t="s">
        <v>1091</v>
      </c>
      <c r="F241" s="27">
        <f>K241/$Q$8</f>
        <v>2.0571752855217422E-3</v>
      </c>
      <c r="G241" s="52">
        <f>L241/$R$8</f>
        <v>0</v>
      </c>
      <c r="H241" s="52">
        <f>M241/$S$8</f>
        <v>0</v>
      </c>
      <c r="I241" s="52">
        <f>N241/$U$8</f>
        <v>0</v>
      </c>
      <c r="J241" s="53">
        <f>L241+M241+N241</f>
        <v>0</v>
      </c>
      <c r="K241" s="20">
        <v>58</v>
      </c>
      <c r="L241" s="95">
        <v>0</v>
      </c>
      <c r="M241" s="95">
        <v>0</v>
      </c>
      <c r="N241" s="95">
        <v>0</v>
      </c>
      <c r="O241" s="242" t="s">
        <v>186</v>
      </c>
      <c r="P241" s="242" t="s">
        <v>171</v>
      </c>
      <c r="Q241" s="28">
        <f t="shared" si="137"/>
        <v>0</v>
      </c>
      <c r="R241" s="82">
        <f t="shared" si="137"/>
        <v>0</v>
      </c>
      <c r="S241" s="75">
        <f t="shared" si="137"/>
        <v>-2.8020596541098966E-2</v>
      </c>
      <c r="T241" s="137">
        <f t="shared" si="137"/>
        <v>-2.8020596541098966E-2</v>
      </c>
      <c r="U241" s="75">
        <f t="shared" si="137"/>
        <v>-2.0964296705741112E-2</v>
      </c>
      <c r="V241" s="75">
        <f t="shared" si="137"/>
        <v>-8.9705941976102356E-3</v>
      </c>
      <c r="W241" s="29">
        <v>0</v>
      </c>
      <c r="X241" s="77">
        <v>0</v>
      </c>
      <c r="Y241" s="207">
        <v>-8.5823999999999998</v>
      </c>
      <c r="Z241" s="132">
        <f>-26.82*0.32</f>
        <v>-8.5823999999999998</v>
      </c>
      <c r="AA241" s="207">
        <v>-6.88</v>
      </c>
      <c r="AB241" s="207">
        <v>-3.0975999999999999</v>
      </c>
      <c r="AC241" s="77">
        <v>0</v>
      </c>
      <c r="AD241" s="77">
        <f t="shared" si="138"/>
        <v>0</v>
      </c>
      <c r="AE241" s="51" t="s">
        <v>1132</v>
      </c>
    </row>
    <row r="242" spans="1:31" ht="15" customHeight="1" collapsed="1" x14ac:dyDescent="0.25"/>
    <row r="243" spans="1:31" x14ac:dyDescent="0.25">
      <c r="A243" t="s">
        <v>1283</v>
      </c>
      <c r="F243" s="23"/>
      <c r="G243" s="23"/>
      <c r="H243" s="23"/>
      <c r="I243" s="23"/>
      <c r="W243" s="23"/>
      <c r="X243" s="23"/>
      <c r="Y243" s="23"/>
      <c r="Z243" s="23"/>
    </row>
    <row r="244" spans="1:31" ht="18.75" x14ac:dyDescent="0.3">
      <c r="A244" s="104"/>
      <c r="F244" s="23"/>
      <c r="G244" s="23"/>
      <c r="H244" s="23"/>
      <c r="I244" s="23"/>
      <c r="Q244" s="23"/>
      <c r="R244" s="23"/>
      <c r="S244" s="23"/>
      <c r="T244" s="23"/>
      <c r="W244" s="23"/>
      <c r="X244" s="23"/>
      <c r="Y244" s="23"/>
      <c r="Z244" s="23"/>
    </row>
    <row r="245" spans="1:31" x14ac:dyDescent="0.25">
      <c r="F245" s="24"/>
      <c r="G245"/>
      <c r="H245"/>
      <c r="I245"/>
      <c r="J245"/>
      <c r="K245"/>
      <c r="L245"/>
      <c r="M245"/>
      <c r="N245"/>
    </row>
    <row r="246" spans="1:31" x14ac:dyDescent="0.25">
      <c r="G246"/>
      <c r="H246"/>
      <c r="I246"/>
      <c r="J246"/>
      <c r="K246"/>
      <c r="L246"/>
      <c r="M246"/>
      <c r="N246"/>
    </row>
    <row r="247" spans="1:31" x14ac:dyDescent="0.25">
      <c r="G247"/>
      <c r="H247"/>
      <c r="I247"/>
      <c r="J247"/>
      <c r="K247"/>
      <c r="L247"/>
      <c r="M247"/>
      <c r="N247"/>
    </row>
    <row r="248" spans="1:31" x14ac:dyDescent="0.25">
      <c r="G248"/>
      <c r="H248"/>
      <c r="I248"/>
      <c r="J248"/>
      <c r="K248"/>
      <c r="L248"/>
      <c r="M248"/>
      <c r="N248"/>
    </row>
    <row r="249" spans="1:31" x14ac:dyDescent="0.25">
      <c r="G249"/>
      <c r="H249"/>
      <c r="I249"/>
      <c r="J249"/>
      <c r="K249"/>
      <c r="L249"/>
      <c r="M249"/>
      <c r="N249"/>
    </row>
    <row r="250" spans="1:31" x14ac:dyDescent="0.25">
      <c r="G250"/>
      <c r="H250"/>
      <c r="I250"/>
      <c r="J250"/>
      <c r="K250"/>
      <c r="L250"/>
      <c r="M250"/>
      <c r="N250"/>
    </row>
  </sheetData>
  <mergeCells count="360">
    <mergeCell ref="AC239:AC240"/>
    <mergeCell ref="AD239:AD240"/>
    <mergeCell ref="A239:A240"/>
    <mergeCell ref="B239:B240"/>
    <mergeCell ref="G239:G240"/>
    <mergeCell ref="H239:H240"/>
    <mergeCell ref="I239:I240"/>
    <mergeCell ref="J239:J240"/>
    <mergeCell ref="L239:L240"/>
    <mergeCell ref="M239:M240"/>
    <mergeCell ref="N239:N240"/>
    <mergeCell ref="R202:R203"/>
    <mergeCell ref="X202:X203"/>
    <mergeCell ref="AC202:AC203"/>
    <mergeCell ref="AD202:AD203"/>
    <mergeCell ref="A216:A219"/>
    <mergeCell ref="B216:B219"/>
    <mergeCell ref="E217:E218"/>
    <mergeCell ref="AE217:AE218"/>
    <mergeCell ref="AC218:AC219"/>
    <mergeCell ref="AD218:AD219"/>
    <mergeCell ref="AF87:AF89"/>
    <mergeCell ref="D127:D128"/>
    <mergeCell ref="R166:R169"/>
    <mergeCell ref="X166:X169"/>
    <mergeCell ref="A175:A176"/>
    <mergeCell ref="B175:B176"/>
    <mergeCell ref="A177:A187"/>
    <mergeCell ref="B177:B187"/>
    <mergeCell ref="A190:A193"/>
    <mergeCell ref="B190:B193"/>
    <mergeCell ref="AE190:AE192"/>
    <mergeCell ref="C87:C88"/>
    <mergeCell ref="E87:E88"/>
    <mergeCell ref="F87:F88"/>
    <mergeCell ref="H87:H88"/>
    <mergeCell ref="I87:I88"/>
    <mergeCell ref="K87:K88"/>
    <mergeCell ref="M87:M88"/>
    <mergeCell ref="N87:N88"/>
    <mergeCell ref="O87:O88"/>
    <mergeCell ref="B155:B161"/>
    <mergeCell ref="N78:N79"/>
    <mergeCell ref="O78:O79"/>
    <mergeCell ref="AB78:AB79"/>
    <mergeCell ref="AC78:AC79"/>
    <mergeCell ref="AD78:AD79"/>
    <mergeCell ref="AE78:AE79"/>
    <mergeCell ref="G80:G93"/>
    <mergeCell ref="J80:J93"/>
    <mergeCell ref="L80:L93"/>
    <mergeCell ref="X80:X93"/>
    <mergeCell ref="P87:P88"/>
    <mergeCell ref="Q87:Q88"/>
    <mergeCell ref="S87:S88"/>
    <mergeCell ref="T87:T88"/>
    <mergeCell ref="U87:U88"/>
    <mergeCell ref="V87:V88"/>
    <mergeCell ref="W87:W88"/>
    <mergeCell ref="Y87:Y88"/>
    <mergeCell ref="Z87:Z88"/>
    <mergeCell ref="AA87:AA88"/>
    <mergeCell ref="AB87:AB88"/>
    <mergeCell ref="AC87:AC88"/>
    <mergeCell ref="AD87:AD88"/>
    <mergeCell ref="AE87:AE88"/>
    <mergeCell ref="E78:E79"/>
    <mergeCell ref="F78:F79"/>
    <mergeCell ref="G78:G79"/>
    <mergeCell ref="H78:H79"/>
    <mergeCell ref="I78:I79"/>
    <mergeCell ref="J78:J79"/>
    <mergeCell ref="K78:K79"/>
    <mergeCell ref="L78:L79"/>
    <mergeCell ref="M78:M79"/>
    <mergeCell ref="E1:AC1"/>
    <mergeCell ref="A2:AE2"/>
    <mergeCell ref="A3:A6"/>
    <mergeCell ref="B3:B6"/>
    <mergeCell ref="C3:C6"/>
    <mergeCell ref="D3:D6"/>
    <mergeCell ref="E3:E6"/>
    <mergeCell ref="F3:I4"/>
    <mergeCell ref="J3:N4"/>
    <mergeCell ref="O3:O6"/>
    <mergeCell ref="F5:G5"/>
    <mergeCell ref="J5:J6"/>
    <mergeCell ref="K5:L5"/>
    <mergeCell ref="Q5:R5"/>
    <mergeCell ref="S5:T5"/>
    <mergeCell ref="W5:X5"/>
    <mergeCell ref="AE3:AE6"/>
    <mergeCell ref="A61:A62"/>
    <mergeCell ref="B61:B62"/>
    <mergeCell ref="A69:A73"/>
    <mergeCell ref="B69:B73"/>
    <mergeCell ref="A74:A109"/>
    <mergeCell ref="B74:B109"/>
    <mergeCell ref="C78:C79"/>
    <mergeCell ref="P3:AC3"/>
    <mergeCell ref="AD3:AD6"/>
    <mergeCell ref="P4:P6"/>
    <mergeCell ref="Q4:V4"/>
    <mergeCell ref="W4:AB4"/>
    <mergeCell ref="AC4:AC6"/>
    <mergeCell ref="Y5:Z5"/>
    <mergeCell ref="A7:D7"/>
    <mergeCell ref="A24:A25"/>
    <mergeCell ref="B24:B25"/>
    <mergeCell ref="C24:C25"/>
    <mergeCell ref="E24:E25"/>
    <mergeCell ref="F24:F25"/>
    <mergeCell ref="G24:G25"/>
    <mergeCell ref="M15:M19"/>
    <mergeCell ref="N15:N19"/>
    <mergeCell ref="A10:A19"/>
    <mergeCell ref="AE7:AE8"/>
    <mergeCell ref="AD15:AD19"/>
    <mergeCell ref="AE15:AE19"/>
    <mergeCell ref="O10:O19"/>
    <mergeCell ref="AC10:AC14"/>
    <mergeCell ref="AD10:AD14"/>
    <mergeCell ref="AE10:AE14"/>
    <mergeCell ref="F15:F19"/>
    <mergeCell ref="G15:G19"/>
    <mergeCell ref="H15:H19"/>
    <mergeCell ref="I15:I19"/>
    <mergeCell ref="J15:J19"/>
    <mergeCell ref="K15:K19"/>
    <mergeCell ref="I10:I14"/>
    <mergeCell ref="J10:J14"/>
    <mergeCell ref="K10:K14"/>
    <mergeCell ref="L10:L14"/>
    <mergeCell ref="M10:M14"/>
    <mergeCell ref="N10:N14"/>
    <mergeCell ref="F10:F14"/>
    <mergeCell ref="G10:G14"/>
    <mergeCell ref="H10:H14"/>
    <mergeCell ref="AC15:AC19"/>
    <mergeCell ref="L15:L19"/>
    <mergeCell ref="B10:B19"/>
    <mergeCell ref="C10:C19"/>
    <mergeCell ref="D10:D19"/>
    <mergeCell ref="E10:E19"/>
    <mergeCell ref="AC24:AC25"/>
    <mergeCell ref="AD24:AD25"/>
    <mergeCell ref="A26:A29"/>
    <mergeCell ref="B26:B27"/>
    <mergeCell ref="B28:B29"/>
    <mergeCell ref="C28:C29"/>
    <mergeCell ref="E28:E29"/>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F28:F29"/>
    <mergeCell ref="G28:G29"/>
    <mergeCell ref="H28:H29"/>
    <mergeCell ref="I28:I29"/>
    <mergeCell ref="J28:J29"/>
    <mergeCell ref="K28:K29"/>
    <mergeCell ref="Z24:Z25"/>
    <mergeCell ref="AA24:AA25"/>
    <mergeCell ref="AB24:AB25"/>
    <mergeCell ref="M24:M25"/>
    <mergeCell ref="T28:T29"/>
    <mergeCell ref="U28:U29"/>
    <mergeCell ref="V28:V29"/>
    <mergeCell ref="W28:W29"/>
    <mergeCell ref="L28:L29"/>
    <mergeCell ref="M28:M29"/>
    <mergeCell ref="N28:N29"/>
    <mergeCell ref="O28:O29"/>
    <mergeCell ref="P28:P29"/>
    <mergeCell ref="Q28:Q29"/>
    <mergeCell ref="L30:L35"/>
    <mergeCell ref="M30:M35"/>
    <mergeCell ref="N30:N35"/>
    <mergeCell ref="P30:P36"/>
    <mergeCell ref="Q30:Q35"/>
    <mergeCell ref="R30:R35"/>
    <mergeCell ref="AD28:AD29"/>
    <mergeCell ref="AE28:AE29"/>
    <mergeCell ref="A30:A36"/>
    <mergeCell ref="B30:B36"/>
    <mergeCell ref="F30:F35"/>
    <mergeCell ref="G30:G35"/>
    <mergeCell ref="H30:H35"/>
    <mergeCell ref="I30:I35"/>
    <mergeCell ref="J30:J35"/>
    <mergeCell ref="K30:K35"/>
    <mergeCell ref="X28:X29"/>
    <mergeCell ref="Y28:Y29"/>
    <mergeCell ref="Z28:Z29"/>
    <mergeCell ref="AA28:AA29"/>
    <mergeCell ref="AB28:AB29"/>
    <mergeCell ref="AC28:AC29"/>
    <mergeCell ref="R28:R29"/>
    <mergeCell ref="S28:S29"/>
    <mergeCell ref="Y30:Y35"/>
    <mergeCell ref="Z30:Z35"/>
    <mergeCell ref="AA30:AA35"/>
    <mergeCell ref="AB30:AB35"/>
    <mergeCell ref="AC30:AC35"/>
    <mergeCell ref="AD30:AD35"/>
    <mergeCell ref="S30:S35"/>
    <mergeCell ref="T30:T35"/>
    <mergeCell ref="U30:U35"/>
    <mergeCell ref="V30:V35"/>
    <mergeCell ref="W30:W35"/>
    <mergeCell ref="X30:X35"/>
    <mergeCell ref="A38:A41"/>
    <mergeCell ref="B38:B41"/>
    <mergeCell ref="C39:C41"/>
    <mergeCell ref="E39:E41"/>
    <mergeCell ref="M45:M46"/>
    <mergeCell ref="N45:N46"/>
    <mergeCell ref="O45:O46"/>
    <mergeCell ref="G45:G46"/>
    <mergeCell ref="H45:H46"/>
    <mergeCell ref="I45:I46"/>
    <mergeCell ref="J45:J46"/>
    <mergeCell ref="K45:K46"/>
    <mergeCell ref="F39:F41"/>
    <mergeCell ref="G39:G41"/>
    <mergeCell ref="H39:H41"/>
    <mergeCell ref="I39:I41"/>
    <mergeCell ref="J39:J41"/>
    <mergeCell ref="K39:K41"/>
    <mergeCell ref="L39:L41"/>
    <mergeCell ref="M39:M41"/>
    <mergeCell ref="E53:E54"/>
    <mergeCell ref="F53:F54"/>
    <mergeCell ref="G53:G54"/>
    <mergeCell ref="A43:A44"/>
    <mergeCell ref="B43:B44"/>
    <mergeCell ref="A45:A46"/>
    <mergeCell ref="B45:B46"/>
    <mergeCell ref="C45:C46"/>
    <mergeCell ref="E45:E46"/>
    <mergeCell ref="A53:A54"/>
    <mergeCell ref="B53:B54"/>
    <mergeCell ref="C53:C54"/>
    <mergeCell ref="A50:A52"/>
    <mergeCell ref="B50:B52"/>
    <mergeCell ref="F50:F51"/>
    <mergeCell ref="AC45:AC46"/>
    <mergeCell ref="R45:R46"/>
    <mergeCell ref="S45:S46"/>
    <mergeCell ref="T45:T46"/>
    <mergeCell ref="U45:U46"/>
    <mergeCell ref="V45:V46"/>
    <mergeCell ref="W45:W46"/>
    <mergeCell ref="L45:L46"/>
    <mergeCell ref="P45:P46"/>
    <mergeCell ref="Q45:Q46"/>
    <mergeCell ref="K50:K51"/>
    <mergeCell ref="Q50:Q51"/>
    <mergeCell ref="W50:W51"/>
    <mergeCell ref="X45:X46"/>
    <mergeCell ref="Y45:Y46"/>
    <mergeCell ref="Z45:Z46"/>
    <mergeCell ref="F45:F46"/>
    <mergeCell ref="N53:N54"/>
    <mergeCell ref="O53:O54"/>
    <mergeCell ref="P53:P54"/>
    <mergeCell ref="Q53:Q54"/>
    <mergeCell ref="R53:R54"/>
    <mergeCell ref="S53:S54"/>
    <mergeCell ref="H53:H54"/>
    <mergeCell ref="I53:I54"/>
    <mergeCell ref="J53:J54"/>
    <mergeCell ref="K53:K54"/>
    <mergeCell ref="L53:L54"/>
    <mergeCell ref="M53:M54"/>
    <mergeCell ref="Z78:Z79"/>
    <mergeCell ref="AA78:AA79"/>
    <mergeCell ref="A162:A164"/>
    <mergeCell ref="B162:B164"/>
    <mergeCell ref="A165:A174"/>
    <mergeCell ref="B165:B174"/>
    <mergeCell ref="J166:J169"/>
    <mergeCell ref="L166:L169"/>
    <mergeCell ref="P78:P79"/>
    <mergeCell ref="Q78:Q79"/>
    <mergeCell ref="R78:R79"/>
    <mergeCell ref="S78:S79"/>
    <mergeCell ref="T78:T79"/>
    <mergeCell ref="U78:U79"/>
    <mergeCell ref="V78:V79"/>
    <mergeCell ref="W78:W79"/>
    <mergeCell ref="X78:X79"/>
    <mergeCell ref="A133:A140"/>
    <mergeCell ref="B133:B140"/>
    <mergeCell ref="A141:A151"/>
    <mergeCell ref="B141:B151"/>
    <mergeCell ref="A153:A154"/>
    <mergeCell ref="B153:B154"/>
    <mergeCell ref="A155:A161"/>
    <mergeCell ref="A230:A231"/>
    <mergeCell ref="B230:B231"/>
    <mergeCell ref="E230:E231"/>
    <mergeCell ref="AC39:AC41"/>
    <mergeCell ref="Z39:Z41"/>
    <mergeCell ref="AA39:AA41"/>
    <mergeCell ref="AB39:AB41"/>
    <mergeCell ref="X39:X41"/>
    <mergeCell ref="Y39:Y41"/>
    <mergeCell ref="N39:N41"/>
    <mergeCell ref="O39:O41"/>
    <mergeCell ref="P39:P41"/>
    <mergeCell ref="Q39:Q41"/>
    <mergeCell ref="A194:A195"/>
    <mergeCell ref="B194:B195"/>
    <mergeCell ref="A197:A201"/>
    <mergeCell ref="B197:B201"/>
    <mergeCell ref="A202:A209"/>
    <mergeCell ref="B202:B209"/>
    <mergeCell ref="J202:J203"/>
    <mergeCell ref="L202:L203"/>
    <mergeCell ref="A222:A225"/>
    <mergeCell ref="B222:B225"/>
    <mergeCell ref="Y78:Y79"/>
    <mergeCell ref="AD39:AD41"/>
    <mergeCell ref="AE39:AE41"/>
    <mergeCell ref="R39:R41"/>
    <mergeCell ref="S39:S41"/>
    <mergeCell ref="T39:T41"/>
    <mergeCell ref="U39:U41"/>
    <mergeCell ref="V39:V41"/>
    <mergeCell ref="W39:W41"/>
    <mergeCell ref="AA53:AA54"/>
    <mergeCell ref="AB53:AB54"/>
    <mergeCell ref="AC53:AC54"/>
    <mergeCell ref="AD53:AD54"/>
    <mergeCell ref="AE53:AE54"/>
    <mergeCell ref="T53:T54"/>
    <mergeCell ref="U53:U54"/>
    <mergeCell ref="V53:V54"/>
    <mergeCell ref="Z53:Z54"/>
    <mergeCell ref="W53:W54"/>
    <mergeCell ref="X53:X54"/>
    <mergeCell ref="Y53:Y54"/>
    <mergeCell ref="AD45:AD46"/>
    <mergeCell ref="AE45:AE46"/>
    <mergeCell ref="AA45:AA46"/>
    <mergeCell ref="AB45:AB46"/>
  </mergeCells>
  <hyperlinks>
    <hyperlink ref="D58" r:id="rId1" display="MK 24.03.2020 not. Nr. 153 &quot;Grozījumi Ministru kabineta 2020.gada 19.marta noteikumos Nr.149 &quot;Noteikumi par apgrozāmo līdzekļu aizdevumiem saimnieciskās darbības veicējiem, kuru darbību ietekmējusi Covid-19 izplatība&quot;&quot;" xr:uid="{00000000-0004-0000-0300-000000000000}"/>
    <hyperlink ref="D59" r:id="rId2" display="MK 24.03.2020 not. Nr. 154 &quot;Grozījumi Ministru kabineta 2020.gada 19.marta noteikumos Nr.150 &quot;Noteikumi par garantijām saimnieciskās darbības veicējiem, kuru darbību ietekmējusi Covid-19 izplatība&quot;&quot;" xr:uid="{00000000-0004-0000-0300-000001000000}"/>
    <hyperlink ref="D81" r:id="rId3" display="MK 27.03.2020. rīkojums Nr.137" xr:uid="{00000000-0004-0000-0300-000002000000}"/>
    <hyperlink ref="D80" r:id="rId4" display="MK rīk. Nr.79  &quot;Par finanšu līdzekļu piešķiršanu no valsts budžeta programmas &quot;Līdzekļi neparedzētiem gadījumiem&quot; un Nr.118  &quot;Par finanšu līdzekļu piešķiršanu no valsts budžeta programmas &quot;Līdzekļi neparedzētiem gadījumiem&quot;&quot;" xr:uid="{00000000-0004-0000-0300-000003000000}"/>
    <hyperlink ref="D74" r:id="rId5" display="MK rīkojums Nr.80 &quot;Par apropriācijas palielināšanuVeselības ministrijai&quot;" xr:uid="{00000000-0004-0000-0300-000004000000}"/>
    <hyperlink ref="D134" r:id="rId6" display="MK rīk. Nr.117 19.03.2020 &quot;Par iekārtu iegādi un dāvinājumapieņemšanu attālināta mācību procesa nodrošināšanai ārkārtējāssituācijas laikā&quot;" xr:uid="{00000000-0004-0000-0300-000005000000}"/>
    <hyperlink ref="D141" r:id="rId7" display="MK 19.03.2020. prot. Nr.16 5.§" xr:uid="{00000000-0004-0000-0300-000006000000}"/>
    <hyperlink ref="D143" r:id="rId8" display="MK 07.04.2020. rīkojums Nr.160 &quot;Par finanšu līdzekļu piešķiršanu no valsts budžeta programmas &quot;Līdzekļi neparedzētiem gadījumiem&quot;&quot;" xr:uid="{00000000-0004-0000-0300-000007000000}"/>
    <hyperlink ref="D152" r:id="rId9" display="MK 02.04.2020. noteikumu Nr.180 &quot;Noteikumi par publiskas personas un publiskas personas kontrolētas kapitālsabiedrības mantas nomas maksas atbrīvojuma vai samazinājuma piemērošanu sakarā ar Covid-19 izplatību&quot;" xr:uid="{00000000-0004-0000-0300-000008000000}"/>
    <hyperlink ref="D142" r:id="rId10" display="MK 19.03.2020. rīkojums Nr.116 &quot;GrozījumiMinistru kabineta 2020. gada 10. marta rīkojumā Nr. 100 &quot;Parfinanšu līdzekļu piešķiršanu no valsts budžeta programmas&quot;Līdzekļi neparedzētiem gadījumiem&quot;&quot;&quot;" xr:uid="{00000000-0004-0000-0300-000009000000}"/>
    <hyperlink ref="D30" r:id="rId11" display="MK noteikumi Nr. 165 &quot;Noteikumi par Covid-19 krīzē skartiem uzņēmumiem, kuri kvalificējas dīkstāves pabalstam un nokavēto nodokļu maksājumu samaksas sadalei termiņos vai atlikšanai uz laiku līdz trim gadiem&quot;" xr:uid="{00000000-0004-0000-0300-00000A000000}"/>
    <hyperlink ref="D31" r:id="rId12" display="MK noteikumi Nr. 179 &quot;Noteikumi par dīkstāves pabalstu pašnodarbinātām personām, kuras skārusi Covid-19 izplatība&quot;" xr:uid="{00000000-0004-0000-0300-00000B000000}"/>
    <hyperlink ref="D32" r:id="rId13" display="MK noteikumi Nr.184 &quot;Grozījumi Ministru kabineta 2020.gada 26. marta noteikumos Nr. 165 &quot;Noteikumi par Covid-19 izraisītās krīzes skartiem darba devējiem, kuri kvalificējas dīkstāves pabalstam un nokavēto nodokļu maksājumu samaksas sadalei termiņos vai at" xr:uid="{00000000-0004-0000-0300-00000C000000}"/>
    <hyperlink ref="D42" r:id="rId14" display="Grozījums Bezdarbnieku un darba meklētāju atbalsta likumā" xr:uid="{00000000-0004-0000-0300-00000D000000}"/>
    <hyperlink ref="D153" r:id="rId15" display="MK 14.04.2020 TA-602" xr:uid="{00000000-0004-0000-0300-00000E000000}"/>
    <hyperlink ref="D144" r:id="rId16" display="MK 07.04.2020. rīkojums Nr.160 &quot;Par finanšu līdzekļu piešķiršanu no valsts budžeta programmas &quot;Līdzekļi neparedzētiem gadījumiem&quot;&quot;" xr:uid="{00000000-0004-0000-0300-00000F000000}"/>
    <hyperlink ref="D33" r:id="rId17" display="MK noteikumi Nr. 205 &quot;Grozījumi Ministru kabineta 2020.gada 26. marta noteikumos Nr. 165 &quot;Noteikumi par Covid-19izraisītās krīzes skartiem darba devējiem, kuri kvalificējasdīkstāves pabalstam un nokavēto nodokļu maksājumu samaksassadalei termiņos vai atli" xr:uid="{00000000-0004-0000-0300-000010000000}"/>
    <hyperlink ref="D70" r:id="rId18" display="MK rīkojums Nr.120 &quot;Par valsts akciju sabiedrības &quot;Latvijas gaisa satiksme&quot; pamatkapitāla palielināšanu&quot;" xr:uid="{00000000-0004-0000-0300-000011000000}"/>
    <hyperlink ref="D34" r:id="rId19" display="MK noteikumi Nr.234 &quot;Grozījumi Ministru kabineta 2020.gada 31.marta noteikumos Nr.179 &quot;Noteikumi par dīkstāves pabalstu pašnodarbinātām personām, kuras skārusi Covid-19 izplatība&quot;&quot; " xr:uid="{00000000-0004-0000-0300-000012000000}"/>
    <hyperlink ref="D155" r:id="rId20" display="MK rīkojums Nr.423 &quot;Par finanšu līdzekļu piešķiršanu no valsts budžeta programmas &quot;Līdzekļi neparedzētiem gadījumiem&quot;&quot;" xr:uid="{00000000-0004-0000-0300-000013000000}"/>
    <hyperlink ref="D162" r:id="rId21" display="MK rīkojums Nr.222 &quot;Par finanšu līdzekļu piešķiršanu no valsts budžeta programmas &quot;Līdzekļi neparedzētiem gadījumiem&quot;&quot;" xr:uid="{00000000-0004-0000-0300-000014000000}"/>
    <hyperlink ref="D60" r:id="rId22" display="MK 24.03.2020 not. Nr. 155 &quot;Grozījumi Ministru kabineta 2017.gada 5.septembra noteikumos Nr.537 &quot;Noteikumi par portfeļgarantijām sīko (mikro), mazo un vidējo komersantu kreditēšanas veicināšanai&quot;&quot;" xr:uid="{00000000-0004-0000-0300-000015000000}"/>
    <hyperlink ref="D71" r:id="rId23" display="Rīkojums Nr.219 &quot;Par valsts akciju sabiedrības&quot;Starptautiskā lidosta &quot;Rīga&quot;&quot; pamatkapitāla palielināšanu&quot;" xr:uid="{00000000-0004-0000-0300-000016000000}"/>
    <hyperlink ref="D165" r:id="rId24" display="MK rīkojums Nr.239 &quot;Par finanšu līdzekļu piešķiršanu no valsts budžeta programmas &quot;Līdzekļi neparedzētiem gadījumiem&quot;&quot;" xr:uid="{00000000-0004-0000-0300-000017000000}"/>
    <hyperlink ref="D175" r:id="rId25" display="Cabinet Order No. 260 &quot;On Allocation of Financial Resources from the State Budget Program&quot; Contingency Funds &quot;" xr:uid="{00000000-0004-0000-0300-000018000000}"/>
    <hyperlink ref="D188" r:id="rId26" display="MK rīkojums Nr.261 &quot;Par finanšu līdzekļu piešķiršanu no valsts budžeta programmas &quot;Līdzekļi neparedzētiem gadījumiem&quot;&quot;" xr:uid="{00000000-0004-0000-0300-000019000000}"/>
    <hyperlink ref="D48" r:id="rId27" display="Noteikumi Nr.256 &quot;Grozījums Ministru kabineta 2009.gada 22.decembra noteikumos Nr.1643 &quot;Kārtība, kādā piešķir un izmaksā pabalstu aizbildnībā esoša bērna uzturēšanai&quot;&quot;" xr:uid="{00000000-0004-0000-0300-00001A000000}"/>
    <hyperlink ref="D82" r:id="rId28" display="MK rīk. Nr.237 &quot;Par finanšu līdzekļu piešķiršanu no valsts budžeta programmas &quot;Līdzekļi neparedzētiem gadījumiem&quot;&quot;" xr:uid="{00000000-0004-0000-0300-00001B000000}"/>
    <hyperlink ref="D177" r:id="rId29" display="MK rīkojums Nr.255 &quot;Par finanšu līdzekļu piešķiršanu no valsts budžeta programmas &quot;Līdzekļi neparedzētiem gadījumiem&quot;&quot;" xr:uid="{00000000-0004-0000-0300-00001C000000}"/>
    <hyperlink ref="D237" r:id="rId30" display="Informatīvais ziņojums &quot;Par Eiropas Savienības struktūrfondu un Kohēzijas fonda finansējuma pārdalēm un risinājumiem COVID-19 seku mazināšanai&quot; " xr:uid="{00000000-0004-0000-0300-00001D000000}"/>
    <hyperlink ref="D239" r:id="rId31" display="Informatīvais ziņojums &quot;Par pasākumiem Covid-19 krīzes pārvarēšanai un ekonomikas atlabšanai&quot; " xr:uid="{00000000-0004-0000-0300-00001E000000}"/>
    <hyperlink ref="D240" r:id="rId32" display="Informatīvais ziņojums &quot;Par pasākumiem Covid-19 krīzes pārvarēšanai un ekonomikas atlabšanai&quot; " xr:uid="{00000000-0004-0000-0300-00001F000000}"/>
    <hyperlink ref="D61" r:id="rId33" display="Informatīvais ziņojums &quot;Par pašvaldību aizņēmuma limita palielināšanu Covid-19 ekonomisko seku mazināšanai&quot; " xr:uid="{00000000-0004-0000-0300-000020000000}"/>
    <hyperlink ref="D63" r:id="rId34" display="Noteikumi par kapitāla ieguldījumiem komersantos, kuru darbību ietekmējusi Covid-19 izplatība" xr:uid="{00000000-0004-0000-0300-000021000000}"/>
    <hyperlink ref="D172" r:id="rId35" display="Informatīvais ziņojums &quot;Par pasākumiem Covid-19 krīzes pārvarēšanai un ekonomikas atlabšanai&quot; " xr:uid="{00000000-0004-0000-0300-000022000000}"/>
    <hyperlink ref="D202" r:id="rId36" display="Informatīvais ziņojums &quot;Par pasākumiem Covid-19 krīzes pārvarēšanai un ekonomikas atlabšanai&quot; " xr:uid="{00000000-0004-0000-0300-000023000000}"/>
    <hyperlink ref="D194" r:id="rId37" display="MK rīk. Nr 363 Par finanšu līdzekļu piešķiršanu no valsts budžeta programmas &quot;Līdzekļi neparedzētiem gadījumiem&quot;" xr:uid="{00000000-0004-0000-0300-000024000000}"/>
    <hyperlink ref="D197" r:id="rId38" display="Informatīvais ziņojums &quot;Par pasākumiem Covid-19 krīzes pārvarēšanai un ekonomikas atlabšanai&quot; " xr:uid="{00000000-0004-0000-0300-000025000000}"/>
    <hyperlink ref="D37" r:id="rId39" display="MK rīk. Nr.236 &quot;&quot;Par finanšu līdzekļu piešķiršanu no valsts budžeta programmas &quot;Līdzekļi neparedzētiem gadījumiem&quot;&quot; " xr:uid="{00000000-0004-0000-0300-000026000000}"/>
    <hyperlink ref="D47" r:id="rId40" display="MK rīk. Nr.277 &quot;&quot;Par finanšu līdzekļu piešķiršanu no valsts budžeta programmas &quot;Līdzekļi neparedzētiem gadījumiem&quot;&quot; " xr:uid="{00000000-0004-0000-0300-000027000000}"/>
    <hyperlink ref="D72" r:id="rId41" display="Rīkojums Nr.219 &quot;Par valsts akciju sabiedrības&quot;Starptautiskā lidosta &quot;Rīga&quot;&quot; pamatkapitāla palielināšanu&quot;" xr:uid="{00000000-0004-0000-0300-000028000000}"/>
    <hyperlink ref="D236" r:id="rId42" display="MK noteikumi &quot;Noteikumi par valsts atbalstu īstermiņa aizdevumiem lauksaimniecībā Covid-19 izplatības negatīvās ietekmes mazināšanai&quot;" xr:uid="{00000000-0004-0000-0300-000029000000}"/>
    <hyperlink ref="D203" r:id="rId43" display="http://tap.mk.gov.lv/lv/mk/tap/?pid=40488130&amp;mode=mk&amp;date=2020-06-02" xr:uid="{00000000-0004-0000-0300-00002A000000}"/>
    <hyperlink ref="D216" r:id="rId44" display="MK rīkojums Nr. 334 &quot;Par finanšu līdzekļu piešķiršanu no valsts budžeta programmas &quot;Līdzekļi neparedzētiem gadījumiem&quot;&quot; " xr:uid="{00000000-0004-0000-0300-00002B000000}"/>
    <hyperlink ref="D69" r:id="rId45" display="Informatīvais ziņojums &quot;Par COVID-19 pandēmijas ietekmi uz airBaltic darbību&quot; (IP) un MK __.05.2020. rīk.___ &quot;Par akciju sabiedrības &quot;Air Baltic Corporation&quot; pamatkapitāla palielināšanu&quot;" xr:uid="{00000000-0004-0000-0300-00002C000000}"/>
    <hyperlink ref="D190" r:id="rId46" display="MK __.07.2020. rīk. Nr.___ &quot;Par finanšu līdzekļu piešķiršanu no valsts budžeta programmas 02.00.00 Līdzekļi neparedzētiem gadījumiem&quot;" xr:uid="{00000000-0004-0000-0300-00002D000000}"/>
    <hyperlink ref="D191" r:id="rId47" display="MK __.07.2020. rīk. Nr.___  &quot;Par finanšu līdzekļu piešķiršanu valsts akciju sabiedrībai &quot;Latvijas dzelzceļš&quot;&quot;" xr:uid="{00000000-0004-0000-0300-00002E000000}"/>
    <hyperlink ref="D193" r:id="rId48" display="Rīkojums &quot;Par finanšu līdzekļu piešķiršanu no valsts budžeta programmas 02.00.00 &quot;Līdzekļi neparedzētiem gadījumiem&quot;&quot;" xr:uid="{00000000-0004-0000-0300-00002F000000}"/>
    <hyperlink ref="D241" r:id="rId49" display="http://tap.mk.gov.lv/lv/mk/tap/?pid=40489541&amp;mode=mk&amp;date=2020-07-14" xr:uid="{00000000-0004-0000-0300-000030000000}"/>
    <hyperlink ref="D64" r:id="rId50" display="Noteikumi par garantijām lielajiem komersantiem, kuru darbību ietekmējusi Covid-19 izplatība" xr:uid="{00000000-0004-0000-0300-000031000000}"/>
    <hyperlink ref="D221" r:id="rId51" display="Rīkojuma projekts &quot;Par finanšu līdzekļu piešķiršanu no valsts budžeta programmas &quot;Līdzekļi neparedzētiem gadījumiem&quot;&quot; " xr:uid="{00000000-0004-0000-0300-000032000000}"/>
    <hyperlink ref="D204" r:id="rId52" display="MK rīkojums Nr.303 &quot;Par finanšu līdzekļu piešķiršanu no valsts budžeta programmas &quot;Līdzekļi neparedzētiem gadījumiem&quot;&quot;" xr:uid="{00000000-0004-0000-0300-000033000000}"/>
    <hyperlink ref="D222" r:id="rId53" display="MK rīkojums Nr. 399 &quot;Par finanšu līdzekļu piešķiršanu no valsts budžeta programmas &quot;Līdzekļi neparedzētiem gadījumiem&quot;&quot; " xr:uid="{00000000-0004-0000-0300-000034000000}"/>
    <hyperlink ref="D86" r:id="rId54" display="MK rīk. Nr.413 &quot;Par finanšu līdzekļu piešķiršanu no valsts budžeta programmas &quot;Līdzekļi neparedzētiem gadījumiem&quot;&quot;" xr:uid="{00000000-0004-0000-0300-000035000000}"/>
    <hyperlink ref="D50" r:id="rId55" display="MK rīk. Nr.415 &quot;Par finanšu līdzekļu piešķiršanu no valsts budžeta programmas &quot;Līdzekļi neparedzētiem gadījumiem&quot;&quot; " xr:uid="{00000000-0004-0000-0300-000036000000}"/>
    <hyperlink ref="D220" r:id="rId56" display="Informatīvais ziņojums &quot;Par pasākumiem Covid-19 krīzes pārvarēšanai un ekonomikas atlabšanai&quot; " xr:uid="{00000000-0004-0000-0300-000037000000}"/>
    <hyperlink ref="D226" r:id="rId57" display="MK rīkojums Nr. 443 &quot;Par finanšu līdzekļu piešķiršanu no valsts budžeta programmas &quot;Līdzekļi neparedzētiem gadījumiem&quot;&quot; " xr:uid="{00000000-0004-0000-0300-000038000000}"/>
    <hyperlink ref="D179" r:id="rId58" display="MK rīkojums Nr. 552 &quot;Par finanšu līdzekļu piešķiršanu no valsts budžeta programmas &quot;Līdzekļi neparedzētiem gadījumiem&quot;&quot; " xr:uid="{00000000-0004-0000-0300-000039000000}"/>
    <hyperlink ref="D198" r:id="rId59" display="Informatīvais ziņojums &quot;Par pasākumiem Covid-19 krīzes pārvarēšanai un ekonomikas atlabšanai&quot; " xr:uid="{00000000-0004-0000-0300-00003A000000}"/>
    <hyperlink ref="D199" r:id="rId60" display="MK rīkojums Nr. 560 &quot;Par finanšu līdzekļu piešķiršanu no valsts budžeta programmas &quot;Līdzekļi neparedzētiem gadījumiem&quot;&quot; " xr:uid="{00000000-0004-0000-0300-00003B000000}"/>
    <hyperlink ref="D146" r:id="rId61" display="MK rīk. Nr.607 &quot;Par finanšu līdzekļu piešķiršanu no valsts budžeta programmas &quot;Līdzekļi neparedzētiem gadījumiem&quot;&quot;" xr:uid="{00000000-0004-0000-0300-00003C000000}"/>
    <hyperlink ref="D89" r:id="rId62" display="MK rīkojums Nr. 608 &quot;Par finanšu līdzekļu piešķiršanu no valsts budžeta programmas &quot;Līdzekļi neparedzētiem gadījumiem&quot;&quot; " xr:uid="{00000000-0004-0000-0300-00003D000000}"/>
    <hyperlink ref="D77" r:id="rId63" display="MK rīk Nr.118 20.03.2020." xr:uid="{00000000-0004-0000-0300-00003E000000}"/>
    <hyperlink ref="D79" r:id="rId64" display="MK rīk. Nr.18&quot;Par finanšu līdzekļu piešķiršanu no valsts budžeta programmas &quot;Līdzekļi neparedzētiem gadījumiem&quot;&quot;" xr:uid="{00000000-0004-0000-0300-00003F000000}"/>
    <hyperlink ref="D75" r:id="rId65" display="MK 09.04.2020. rīkojums Nr.176&quot;Par apropriācijas palielināšanu Veselības ministrijai&quot;" xr:uid="{00000000-0004-0000-0300-000040000000}"/>
    <hyperlink ref="D180" r:id="rId66" display="MK rīkojums Nr. 573 &quot;Par finanšu līdzekļu piešķiršanu no valsts budžeta programmas &quot;Līdzekļi neparedzētiem gadījumiem&quot;&quot; " xr:uid="{00000000-0004-0000-0300-000041000000}"/>
    <hyperlink ref="D92" r:id="rId67" display="MK rīkojums Nr.640  &quot;Par finanšu līdzekļu piešķiršanu no valsts budžeta programmas &quot;Līdzekļi neparedzētiem gadījumiem&quot;&quot; " xr:uid="{00000000-0004-0000-0300-000042000000}"/>
    <hyperlink ref="D35" r:id="rId68" display="Grozījums likumā &quot;Par valsts apdraudējuma un tā seku novēršanas un pārvarēšanas pasākumiem sakarā ar Covid-19 izplatību&quot;" xr:uid="{00000000-0004-0000-0300-000043000000}"/>
    <hyperlink ref="D36" r:id="rId69" display="MK noteikumi &quot;Noteikumi par atbalstu par dīkstāvi nodokļu maksātājiem to darbības turpināšanai Covid-19 izraisītās krīzes apstākļos&quot;" xr:uid="{00000000-0004-0000-0300-000044000000}"/>
    <hyperlink ref="D217" r:id="rId70" display="Noteikumi &quot;Grozījumi Ministru kabineta 2020.gada 14.jūlija noteikumos Nr.455 &quot;Covid-19 skarto tūrisma nozares saimnieciskās darbības veicēju atbalsta piešķiršanas kārtība&quot;&quot; " xr:uid="{00000000-0004-0000-0300-000045000000}"/>
    <hyperlink ref="D192" r:id="rId71" display="MK __.07.2020. rīk. Nr.___ &quot;Par valsts akciju sabiedrības &quot;Latvijas dzelzceļš&quot; pamatkapitāla palielināšanu&quot;" xr:uid="{00000000-0004-0000-0300-000046000000}"/>
    <hyperlink ref="D156" r:id="rId72" display="MK rīkojums Nr.697 &quot;Par finanšu līdzekļu piešķiršanu no valsts budžeta programmas &quot;Līdzekļi neparedzētiem gadījumiem&quot;&quot;" xr:uid="{00000000-0004-0000-0300-000047000000}"/>
    <hyperlink ref="D43" r:id="rId73" display="Rīkojums &quot;Par finanšu līdzekļu piešķiršanu no valsts budžeta programmas &quot;Līdzekļi neparedzētiem gadījumiem&quot;&quot; " xr:uid="{00000000-0004-0000-0300-000048000000}"/>
    <hyperlink ref="D38" r:id="rId74" display="MK rīk. Nr.178 &quot;&quot;Par finanšu līdzekļu piešķiršanu no valsts budžeta programmas &quot;Līdzekļi neparedzētiem gadījumiem&quot;&quot; " xr:uid="{00000000-0004-0000-0300-000049000000}"/>
    <hyperlink ref="D205" r:id="rId75" display="Rīkojuma projekts &quot;Par finanšu līdzekļu piešķiršanu no valsts budžeta programmas &quot;Līdzekļi neparedzētiem gadījumiem&quot;&quot;" xr:uid="{00000000-0004-0000-0300-00004A000000}"/>
    <hyperlink ref="D207" r:id="rId76" xr:uid="{00000000-0004-0000-0300-00004B000000}"/>
    <hyperlink ref="D93" r:id="rId77" display="MK rīkojums Nr. 656 &quot;Par finanšu līdzekļu piešķiršanu no valsts budžeta programmas &quot;Līdzekļi neparedzētiem gadījumiem&quot;&quot; " xr:uid="{00000000-0004-0000-0300-00004C000000}"/>
    <hyperlink ref="D137" r:id="rId78" display="Par finansējuma sadalījumu atbalsta sniegšanai attālinātā mācību procesa nodrošināšanai vispārējās izglītības un profesionālās izglītības iestāžu pedagogiem" xr:uid="{00000000-0004-0000-0300-00004D000000}"/>
    <hyperlink ref="D84" r:id="rId79" display="Noteikumu projekts &quot;Grozījumi Ministru kabineta 2018.gada 28.augusta noteikumos Nr.555 &quot;Veselības aprūpes pakalpojumu organizēšanas un samaksas kārtība&quot;&quot; " xr:uid="{00000000-0004-0000-0300-00004E000000}"/>
    <hyperlink ref="D181" r:id="rId80" display="MK rīkojums Nr. 675 &quot;Par finanšu līdzekļu piešķiršanu no valsts budžeta programmas &quot;Līdzekļi neparedzētiem gadījumiem&quot;&quot; " xr:uid="{00000000-0004-0000-0300-00004F000000}"/>
    <hyperlink ref="D94" r:id="rId81" display="MK 01.12.2020. sēdes prot. Nr.78 3.§, &quot;Informatīvais ziņojums &quot;Par Covid-19 vakcīnu ieviešanas stratēģiju&quot;&quot;" xr:uid="{00000000-0004-0000-0300-000050000000}"/>
    <hyperlink ref="D54" r:id="rId82" display="MK rīk. Nr.14 &quot;Par finanšu līdzekļu piešķiršanu no valsts budžeta programmas &quot;Līdzekļi neparedzētiem gadījumiem&quot;&quot;" xr:uid="{00000000-0004-0000-0300-000051000000}"/>
    <hyperlink ref="D182" r:id="rId83" display="MK rīkojums Nr. 676 &quot;Par finanšu līdzekļu piešķiršanu no valsts budžeta programmas &quot;Līdzekļi neparedzētiem gadījumiem&quot;&quot; " xr:uid="{00000000-0004-0000-0300-000052000000}"/>
    <hyperlink ref="D96" r:id="rId84" xr:uid="{00000000-0004-0000-0300-000053000000}"/>
    <hyperlink ref="D100" r:id="rId85" display="Noteikumi &quot;Grozījumi Ministru kabineta 2018.gada 28.augusta noteikumos Nr.555 &quot;Veselības aprūpes pakalpojumu organizēšanas un samaksas kārtība&quot;&quot;" xr:uid="{00000000-0004-0000-0300-000054000000}"/>
    <hyperlink ref="D98" r:id="rId86" display="Informatīvais ziņojums “ Veselības nozares kapacitātes celšana un noturības stiprināšana Covid-19 apstākļos Latvijā”" xr:uid="{00000000-0004-0000-0300-000055000000}"/>
    <hyperlink ref="D65" r:id="rId87" display="Noteikumi par aizdevumiem un to procentu likmju subsīdijām komersantiem konkurētspējas veicināšanai" xr:uid="{00000000-0004-0000-0300-000056000000}"/>
    <hyperlink ref="D66" r:id="rId88" display="Grozījumi Ministru kabineta 2020.gada 16.jūnija noteikumos Nr.383 &quot;Noteikumi par garantijām saimnieciskās darbības veicējiem konkurētspējas uzlabošanai&quot;" xr:uid="{00000000-0004-0000-0300-000057000000}"/>
    <hyperlink ref="D223" r:id="rId89" display="MK rīkojums Nr. 663 &quot;Par apropriācijas pārdali neatliekamu pasākumu īstenošanai labklājības nozarē&quot;" xr:uid="{00000000-0004-0000-0300-000058000000}"/>
    <hyperlink ref="D224" r:id="rId90" display="Rīkojums Nr.17 &quot;Par finanšu līdzekļu piešķiršanu no valsts budžeta programmas &quot;Līdzekļi neparedzētiem gadījumiem&quot;" xr:uid="{00000000-0004-0000-0300-000059000000}"/>
    <hyperlink ref="D228" r:id="rId91" display="MK rīkojums Nr. 756 &quot;Par finanšu līdzekļu piešķiršanu no valsts budžeta programmas &quot;Līdzekļi neparedzētiem gadījumiem&quot;&quot; " xr:uid="{00000000-0004-0000-0300-00005A000000}"/>
    <hyperlink ref="D200" r:id="rId92" display="MK rīkojums Nr. 619 &quot;Par finanšu līdzekļu piešķiršanu no valsts budžeta programmas &quot;Līdzekļi neparedzētiem gadījumiem&quot;&quot; " xr:uid="{00000000-0004-0000-0300-00005B000000}"/>
    <hyperlink ref="D40" r:id="rId93" display="MK rīkojums Nr.15 &quot;Par finanšu līdzekļu piešķiršanu no valsts budžeta programmas &quot;Līdzekļi neparedzētiem gadījumiem&quot;&quot;" xr:uid="{00000000-0004-0000-0300-00005C000000}"/>
    <hyperlink ref="D219" r:id="rId94" display="MK rīkojums Nr. 796 &quot;Par finanšu līdzekļu piešķiršanu no valsts budžeta programmas &quot;Līdzekļi neparedzētiem gadījumiem&quot;&quot; " xr:uid="{00000000-0004-0000-0300-00005D000000}"/>
    <hyperlink ref="D102" r:id="rId95" display="Rik. Nr.1 Par apropriācijas palielināšanu Veselības ministrijai" xr:uid="{00000000-0004-0000-0300-00005E000000}"/>
    <hyperlink ref="D208" r:id="rId96" display="MK rīkojums Nr.708 Par apropriācijas palielināšanu Kultūras ministrijai" xr:uid="{00000000-0004-0000-0300-00005F000000}"/>
    <hyperlink ref="D209" r:id="rId97" display="MK rīkojums Nr. 21 &quot;Par finanšu līdzekļu piešķiršanu no valsts budžeta programmas &quot;Līdzekļi neparedzētiem gadījumiem&quot;&quot; " xr:uid="{00000000-0004-0000-0300-000060000000}"/>
    <hyperlink ref="D103" r:id="rId98" display="MK rīkojums Nr. 2 &quot;Par finanšu līdzekļu piešķiršanu no valsts budžeta programmas &quot;Līdzekļi neparedzētiem gadījumiem&quot;&quot; " xr:uid="{00000000-0004-0000-0300-000061000000}"/>
    <hyperlink ref="D10:D19" r:id="rId99" display="&quot;Covid-19 infekcijas izplatības seku pārvarēšanas likums&quot;; Likums &quot;Par valsts apdraudējuma un tā seku novēršanas un pārvarēšanas pasākumiem sakarā ar Covid-19 izplatību&quot; [zaudējis spēku]" xr:uid="{00000000-0004-0000-0300-000062000000}"/>
    <hyperlink ref="D44" r:id="rId100" display="MK rīk. Nr.12 &quot;&quot;Par finanšu līdzekļu piešķiršanu no valsts budžeta programmas &quot;Līdzekļi neparedzētiem gadījumiem&quot;&quot; " xr:uid="{00000000-0004-0000-0300-000063000000}"/>
    <hyperlink ref="D45" r:id="rId101" display="MK rīk. Nr.238 &quot;&quot;Par finanšu līdzekļu piešķiršanu no valsts budžeta programmas &quot;Līdzekļi neparedzētiem gadījumiem&quot;&quot; " xr:uid="{00000000-0004-0000-0300-000064000000}"/>
    <hyperlink ref="D46" r:id="rId102" display="MK rīk. Nr.16 &quot;&quot;Par finanšu līdzekļu piešķiršanu no valsts budžeta programmas &quot;Līdzekļi neparedzētiem gadījumiem&quot;&quot; " xr:uid="{00000000-0004-0000-0300-000065000000}"/>
    <hyperlink ref="D49" r:id="rId103" display="Noteikumi Nr.294 &quot;Grozījums Ministru kabineta 2009.gada 22.decembra noteikumos Nr.1517 &quot;Noteikumi par ģimenes valsts pabalstu un piemaksām pie ģimenes valsts pabalsta&quot;" xr:uid="{00000000-0004-0000-0300-000066000000}"/>
    <hyperlink ref="D53" r:id="rId104" display="MK rīk. Nr.368 &quot;Par finanšu līdzekļu piešķiršanu no valsts budžeta programmas &quot;Līdzekļi neparedzētiem gadījumiem&quot;&quot; " xr:uid="{00000000-0004-0000-0300-000067000000}"/>
    <hyperlink ref="D78" r:id="rId105" display="MK rīk. Nr.220 &quot;Par finanšu līdzekļu piešķiršanu no valsts budžeta programmas &quot;Līdzekļi neparedzētiem gadījumiem&quot;&quot;" xr:uid="{00000000-0004-0000-0300-000068000000}"/>
    <hyperlink ref="D85" r:id="rId106" display="Noteikumu projekts &quot;Grozījumi Ministru kabineta 2018.gada 28.augusta noteikumos Nr.555 &quot;Veselības aprūpes pakalpojumu organizēšanas un samaksas kārtība&quot;&quot;" xr:uid="{00000000-0004-0000-0300-000069000000}"/>
    <hyperlink ref="D88" r:id="rId107" display="Informatīvais ziņojums &quot;Par pasākumiem Covid-19 krīzes pārvarēšanai un ekonomikas atlabšanai&quot;" xr:uid="{00000000-0004-0000-0300-00006A000000}"/>
    <hyperlink ref="D90" r:id="rId108" display="MK rīkojums Nr. 614 &quot;Par finanšu līdzekļu piešķiršanu no valsts budžeta programmas &quot;Līdzekļi neparedzētiem gadījumiem&quot;&quot; " xr:uid="{00000000-0004-0000-0300-00006B000000}"/>
    <hyperlink ref="D101" r:id="rId109" display="Noteikumi &quot;Grozījumi Ministru kabineta 2018.gada 28.augusta noteikumos Nr.555 &quot;Veselības aprūpes pakalpojumu organizēšanas un samaksas kārtība&quot;&quot;" xr:uid="{00000000-0004-0000-0300-00006C000000}"/>
    <hyperlink ref="D99" r:id="rId110" xr:uid="{00000000-0004-0000-0300-00006D000000}"/>
    <hyperlink ref="D136" r:id="rId111" display="MK rīk. Nr.498 &quot;Par finanšu līdzekļu piešķiršanu no valsts budžeta programmas &quot;Līdzekļi neparedzētiem gadījumiem&quot;&quot;" xr:uid="{00000000-0004-0000-0300-00006E000000}"/>
    <hyperlink ref="D189" r:id="rId112" display="MK rīkojums Nr.446 &quot;Par finanšu līdzekļu piešķiršanu no valsts budžeta programmas &quot;Līdzekļi neparedzētiem gadījumiem&quot;&quot;" xr:uid="{00000000-0004-0000-0300-00006F000000}"/>
    <hyperlink ref="D104" r:id="rId113" display="Informatīvais ziņojums &quot;Par Covid-19 vakcīnu iepirkšanu&quot;" xr:uid="{00000000-0004-0000-0300-000070000000}"/>
    <hyperlink ref="D106" r:id="rId114" display="Informatīvais ziņojums “Par Moderna ražoto vakcīnu pret Covid-19 iegādi" xr:uid="{00000000-0004-0000-0300-000071000000}"/>
    <hyperlink ref="D107" r:id="rId115" display="MK rīkojums Nr. 22 &quot;Par finanšu līdzekļu piešķiršanu no valsts budžeta programmas &quot;Līdzekļi neparedzētiem gadījumiem&quot;&quot; " xr:uid="{00000000-0004-0000-0300-000072000000}"/>
    <hyperlink ref="D109" r:id="rId116" display="MK rīkojums Nr. 34 &quot;Par finanšu līdzekļu piešķiršanu no valsts budžeta programmas &quot;Līdzekļi neparedzētiem gadījumiem&quot;&quot; " xr:uid="{00000000-0004-0000-0300-000073000000}"/>
    <hyperlink ref="D39" r:id="rId117" display="MK rīkojums Nr.706 &quot;Par finanšu līdzekļu piešķiršanu no valsts budžeta programmas &quot;Līdzekļi neparedzētiem gadījumiem&quot;&quot;" xr:uid="{00000000-0004-0000-0300-000074000000}"/>
    <hyperlink ref="D52" r:id="rId118" display="MK noteikumi &quot;Noteikumi par atbalstu par dīkstāvi nodokļu maksātājiem to darbības turpināšanai Covid-19 izraisītās krīzes apstākļos&quot;" xr:uid="{00000000-0004-0000-0300-000075000000}"/>
    <hyperlink ref="D227" r:id="rId119" display="MK noteikumi &quot;Noteikumi par atbalstu par dīkstāvi nodokļu maksātājiem to darbības turpināšanai Covid-19 izraisītās krīzes apstākļos&quot;" xr:uid="{00000000-0004-0000-0300-000076000000}"/>
    <hyperlink ref="D183" r:id="rId120" display="MK rīkojums Nr.598 &quot;Par finanšu līdzekļu piešķiršanu no valsts budžeta programmas &quot;Līdzekļi neparedzētiem gadījumiem&quot;&quot;" xr:uid="{00000000-0004-0000-0300-000077000000}"/>
    <hyperlink ref="D133" r:id="rId121" display="MK rīk. Nr.142 &quot;Par finanšu līdzekļu piešķiršanu no valsts budžeta programmas &quot;Līdzekļi neparedzētiem gadījumiem&quot;&quot;" xr:uid="{00000000-0004-0000-0300-000078000000}"/>
    <hyperlink ref="D166" r:id="rId122" display="MK rīkojums Nr.472 &quot;Par finanšu līdzekļu piešķiršanu no valsts budžeta programmas &quot;Līdzekļi neparedzētiem gadījumiem&quot;&quot;" xr:uid="{00000000-0004-0000-0300-000079000000}"/>
    <hyperlink ref="D167" r:id="rId123" display="MK rīkojums Nr.473 &quot;Par finanšu līdzekļu piešķiršanu no valsts budžeta programmas &quot;Līdzekļi neparedzētiem gadījumiem&quot;&quot;" xr:uid="{00000000-0004-0000-0300-00007A000000}"/>
    <hyperlink ref="D168" r:id="rId124" display="MK rīkojums Nr.499 &quot;Par finanšu līdzekļu piešķiršanu no valsts budžeta programmas &quot;Līdzekļi neparedzētiem gadījumiem&quot;&quot;" xr:uid="{00000000-0004-0000-0300-00007B000000}"/>
    <hyperlink ref="D169" r:id="rId125" display="MK rīkojums Nr.507 &quot;Par finanšu līdzekļu piešķiršanu no valsts budžeta programmas &quot;Līdzekļi neparedzētiem gadījumiem&quot;&quot;" xr:uid="{00000000-0004-0000-0300-00007C000000}"/>
    <hyperlink ref="D171" r:id="rId126" display="Informatīvais ziņojums &quot;Par pasākumiem Covid-19 krīzes pārvarēšanai un ekonomikas atlabšanai&quot; " xr:uid="{00000000-0004-0000-0300-00007D000000}"/>
    <hyperlink ref="D170" r:id="rId127" display="Informatīvais ziņojums &quot;Par pasākumiem Covid-19 krīzes pārvarēšanai un ekonomikas atlabšanai&quot; " xr:uid="{00000000-0004-0000-0300-00007E000000}"/>
    <hyperlink ref="D28" r:id="rId128" display="MK rīk. Nr.707 &quot;Par finanšu līdzekļu piešķiršanu no valsts budžeta programmas &quot;Līdzekļi neparedzētiem gadījumiem&quot;&quot; " xr:uid="{00000000-0004-0000-0300-00007F000000}"/>
    <hyperlink ref="D25" r:id="rId129" display="MK rīk. Nr.11 &quot;Par finanšu līdzekļu piešķiršanu no valsts budžeta programmas &quot;Līdzekļi neparedzētiem gadījumiem&quot;&quot; " xr:uid="{00000000-0004-0000-0300-000080000000}"/>
    <hyperlink ref="D22" r:id="rId130" display="https://likumi.lv/ta/id/315287-covid-19-infekcijas-izplatibas-seku-parvaresanas-likums" xr:uid="{00000000-0004-0000-0300-000081000000}"/>
    <hyperlink ref="D21" r:id="rId131" display="https://likumi.lv/ta/id/315287-covid-19-infekcijas-izplatibas-seku-parvaresanas-likums" xr:uid="{00000000-0004-0000-0300-000082000000}"/>
    <hyperlink ref="D27" r:id="rId132" display="Grozījums likumā &quot;Par maternitātes un slimības apdrošināšanu&quot;" xr:uid="{00000000-0004-0000-0300-000083000000}"/>
    <hyperlink ref="D29" r:id="rId133" xr:uid="{00000000-0004-0000-0300-000084000000}"/>
    <hyperlink ref="D24" r:id="rId134" display="MK 01.04.2020. rīk. Nr.141 &quot;Par finanšu līdzekļu piešķiršanuno valsts budžeta programmas &quot;Līdzekļi neparedzētiemgadījumiem&quot;&quot; " xr:uid="{00000000-0004-0000-0300-000085000000}"/>
    <hyperlink ref="D26" r:id="rId135" display="Pieņemts Saeimā 20.03.2020. Grozījums likumā &quot;Par maternitātes un slimības apdrošināšanu&quot;." xr:uid="{00000000-0004-0000-0300-000086000000}"/>
    <hyperlink ref="D20" r:id="rId136" display="https://likumi.lv/ta/id/315287-covid-19-infekcijas-izplatibas-seku-parvaresanas-likums" xr:uid="{00000000-0004-0000-0300-000087000000}"/>
    <hyperlink ref="D83" r:id="rId137" display="MK rīk. Nr.271 &quot;Par finanšu līdzekļu piešķiršanu no valsts budžeta programmas &quot;Līdzekļi neparedzētiem gadījumiem&quot;&quot;" xr:uid="{00000000-0004-0000-0300-000088000000}"/>
    <hyperlink ref="D108" r:id="rId138" display="MK rīkojums Nr. 35 &quot;Par finanšu līdzekļu piešķiršanu no valsts budžeta programmas &quot;Līdzekļi neparedzētiem gadījumiem&quot;&quot; " xr:uid="{00000000-0004-0000-0300-000089000000}"/>
    <hyperlink ref="D105" r:id="rId139" xr:uid="{00000000-0004-0000-0300-00008A000000}"/>
    <hyperlink ref="D110" r:id="rId140" xr:uid="{00000000-0004-0000-0300-00008B000000}"/>
    <hyperlink ref="D111" r:id="rId141" xr:uid="{00000000-0004-0000-0300-00008C000000}"/>
    <hyperlink ref="D112" r:id="rId142" xr:uid="{00000000-0004-0000-0300-00008D000000}"/>
    <hyperlink ref="D113" r:id="rId143" xr:uid="{00000000-0004-0000-0300-00008E000000}"/>
    <hyperlink ref="D114" r:id="rId144" xr:uid="{00000000-0004-0000-0300-00008F000000}"/>
    <hyperlink ref="D115" r:id="rId145" display="Cabinet of Ministers Order No. 55 &quot;On the Allocation of Financial Resources from the State Budget Program&quot; Contingency Funds &quot;&quot;" xr:uid="{00000000-0004-0000-0300-000090000000}"/>
    <hyperlink ref="D116" r:id="rId146" xr:uid="{00000000-0004-0000-0300-000091000000}"/>
    <hyperlink ref="D117" r:id="rId147" xr:uid="{00000000-0004-0000-0300-000092000000}"/>
    <hyperlink ref="D118" r:id="rId148" xr:uid="{00000000-0004-0000-0300-000093000000}"/>
    <hyperlink ref="D138" r:id="rId149" xr:uid="{00000000-0004-0000-0300-000094000000}"/>
    <hyperlink ref="D157" r:id="rId150" xr:uid="{00000000-0004-0000-0300-000095000000}"/>
    <hyperlink ref="D178" r:id="rId151" xr:uid="{00000000-0004-0000-0300-000096000000}"/>
    <hyperlink ref="D206" r:id="rId152" xr:uid="{00000000-0004-0000-0300-000097000000}"/>
    <hyperlink ref="D218" r:id="rId153" xr:uid="{00000000-0004-0000-0300-000098000000}"/>
    <hyperlink ref="D120" r:id="rId154" xr:uid="{00000000-0004-0000-0300-000099000000}"/>
    <hyperlink ref="D121" r:id="rId155" xr:uid="{00000000-0004-0000-0300-00009A000000}"/>
    <hyperlink ref="D139" r:id="rId156" xr:uid="{00000000-0004-0000-0300-00009B000000}"/>
    <hyperlink ref="D185" r:id="rId157" xr:uid="{00000000-0004-0000-0300-00009C000000}"/>
    <hyperlink ref="D67" r:id="rId158" display="Draft Order &quot;On Increasing the Reserve Capital of the Joint Stock Company&quot; Development Financial Institution Altum &quot;&quot;" xr:uid="{00000000-0004-0000-0300-00009D000000}"/>
    <hyperlink ref="D119" r:id="rId159" xr:uid="{00000000-0004-0000-0300-00009E000000}"/>
    <hyperlink ref="D122" r:id="rId160" xr:uid="{00000000-0004-0000-0300-00009F000000}"/>
    <hyperlink ref="D123" r:id="rId161" xr:uid="{00000000-0004-0000-0300-0000A0000000}"/>
    <hyperlink ref="D148" r:id="rId162" xr:uid="{00000000-0004-0000-0300-0000A1000000}"/>
    <hyperlink ref="D212" r:id="rId163" xr:uid="{00000000-0004-0000-0300-0000A2000000}"/>
    <hyperlink ref="D95" r:id="rId164" xr:uid="{00000000-0004-0000-0300-0000A3000000}"/>
    <hyperlink ref="D97" r:id="rId165" xr:uid="{00000000-0004-0000-0300-0000A4000000}"/>
    <hyperlink ref="D124" r:id="rId166" display="Draft Order &quot;On the Allocation of Financial Resources from the State Budget Program&quot; Contingency Funds &quot;&quot;" xr:uid="{00000000-0004-0000-0300-0000A5000000}"/>
    <hyperlink ref="D147" r:id="rId167" xr:uid="{00000000-0004-0000-0300-0000A6000000}"/>
    <hyperlink ref="D149" r:id="rId168" xr:uid="{00000000-0004-0000-0300-0000A7000000}"/>
    <hyperlink ref="D186" r:id="rId169" xr:uid="{00000000-0004-0000-0300-0000A8000000}"/>
    <hyperlink ref="D196" r:id="rId170" xr:uid="{00000000-0004-0000-0300-0000A9000000}"/>
    <hyperlink ref="D211" r:id="rId171" display="Cabinet Order No. 21 &quot;On Allocation of Financial Funds from the State Budget Program &quot;Contingency Funds" xr:uid="{00000000-0004-0000-0300-0000AA000000}"/>
    <hyperlink ref="D213" r:id="rId172" xr:uid="{00000000-0004-0000-0300-0000AB000000}"/>
    <hyperlink ref="D225" r:id="rId173" display="Cabinet Order No. 399 &quot;On Allocation of Financial Funds from the State Budget Program &quot;Contingency Funds&quot;" xr:uid="{00000000-0004-0000-0300-0000AC000000}"/>
    <hyperlink ref="D41" r:id="rId174" xr:uid="{00000000-0004-0000-0300-0000AD000000}"/>
    <hyperlink ref="D73" r:id="rId175" display="Draft Order &quot;On the Allocation of Financial Resources from the State Budget Program&quot; Contingency Funds &quot;&quot;" xr:uid="{00000000-0004-0000-0300-0000AE000000}"/>
    <hyperlink ref="D163" r:id="rId176" xr:uid="{00000000-0004-0000-0300-0000AF000000}"/>
    <hyperlink ref="D164" r:id="rId177" xr:uid="{00000000-0004-0000-0300-0000B0000000}"/>
    <hyperlink ref="D174" r:id="rId178" xr:uid="{00000000-0004-0000-0300-0000B1000000}"/>
    <hyperlink ref="D62" r:id="rId179" xr:uid="{00000000-0004-0000-0300-0000B2000000}"/>
    <hyperlink ref="D76" r:id="rId180" xr:uid="{00000000-0004-0000-0300-0000B3000000}"/>
    <hyperlink ref="D187" r:id="rId181" display="Draft Order &quot;On the Allocation of Financial Resources from the State Budget Program&quot; Contingency Funds &quot;&quot;" xr:uid="{00000000-0004-0000-0300-0000B4000000}"/>
    <hyperlink ref="D195" r:id="rId182" xr:uid="{00000000-0004-0000-0300-0000B5000000}"/>
    <hyperlink ref="D201" r:id="rId183" xr:uid="{00000000-0004-0000-0300-0000B6000000}"/>
    <hyperlink ref="D214" r:id="rId184" xr:uid="{00000000-0004-0000-0300-0000B7000000}"/>
    <hyperlink ref="D215" r:id="rId185" xr:uid="{00000000-0004-0000-0300-0000B8000000}"/>
    <hyperlink ref="D229" r:id="rId186" xr:uid="{00000000-0004-0000-0300-0000B9000000}"/>
    <hyperlink ref="D230" r:id="rId187" xr:uid="{00000000-0004-0000-0300-0000BA000000}"/>
    <hyperlink ref="D231" r:id="rId188" xr:uid="{00000000-0004-0000-0300-0000BB000000}"/>
    <hyperlink ref="D232" r:id="rId189" xr:uid="{00000000-0004-0000-0300-0000BC000000}"/>
    <hyperlink ref="D233" r:id="rId190" xr:uid="{00000000-0004-0000-0300-0000BD000000}"/>
    <hyperlink ref="D234" r:id="rId191" xr:uid="{00000000-0004-0000-0300-0000BE000000}"/>
    <hyperlink ref="D131" r:id="rId192" xr:uid="{00000000-0004-0000-0300-0000BF000000}"/>
    <hyperlink ref="D132" r:id="rId193" display="Rīkojuma projekts &quot;Par finanšu līdzekļu piešķiršanu no valsts budžeta programmas &quot;Līdzekļi neparedzētiem gadījumiem&quot;&quot;" xr:uid="{00000000-0004-0000-0300-0000C0000000}"/>
    <hyperlink ref="D161" r:id="rId194" display="Rīkojuma projekts &quot;Par finanšu līdzekļu piešķiršanu no valsts budžeta programmas &quot;Līdzekļi neparedzētiem gadījumiem&quot;&quot;" xr:uid="{00000000-0004-0000-0300-0000C1000000}"/>
    <hyperlink ref="D160" r:id="rId195" display="Rīkojuma projekts &quot;Par finanšu līdzekļu piešķiršanu no valsts budžeta programmas &quot;Līdzekļi neparedzētiem gadījumiem&quot;&quot;" xr:uid="{00000000-0004-0000-0300-0000C2000000}"/>
  </hyperlinks>
  <pageMargins left="0.70866141732283472" right="0.70866141732283472" top="0.74803149606299213" bottom="0.74803149606299213" header="0.31496062992125984" footer="0.31496062992125984"/>
  <pageSetup paperSize="8" scale="50" orientation="landscape" horizontalDpi="90" verticalDpi="90" r:id="rId196"/>
  <legacyDrawing r:id="rId1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K43"/>
  <sheetViews>
    <sheetView zoomScale="60" zoomScaleNormal="60" workbookViewId="0">
      <selection activeCell="E13" sqref="E13"/>
    </sheetView>
  </sheetViews>
  <sheetFormatPr defaultColWidth="8.85546875" defaultRowHeight="15" x14ac:dyDescent="0.25"/>
  <cols>
    <col min="1" max="1" width="57.42578125" customWidth="1"/>
    <col min="2" max="7" width="12.28515625" customWidth="1"/>
    <col min="8" max="11" width="11.42578125" customWidth="1"/>
  </cols>
  <sheetData>
    <row r="1" spans="1:11" ht="15.75" x14ac:dyDescent="0.25">
      <c r="A1" s="604"/>
      <c r="B1" s="605"/>
      <c r="C1" s="605"/>
      <c r="D1" s="605"/>
      <c r="E1" s="606"/>
    </row>
    <row r="2" spans="1:11" ht="20.25" x14ac:dyDescent="0.3">
      <c r="A2" s="906" t="s">
        <v>2354</v>
      </c>
      <c r="B2" s="605"/>
      <c r="C2" s="605"/>
      <c r="D2" s="605"/>
      <c r="E2" s="605"/>
      <c r="F2" s="665"/>
      <c r="G2" s="665"/>
    </row>
    <row r="3" spans="1:11" ht="19.5" thickBot="1" x14ac:dyDescent="0.35">
      <c r="A3" s="607"/>
      <c r="B3" s="605"/>
      <c r="C3" s="605"/>
      <c r="D3" s="605"/>
      <c r="E3" s="605"/>
    </row>
    <row r="4" spans="1:11" ht="15" customHeight="1" x14ac:dyDescent="0.25">
      <c r="A4" s="1088" t="s">
        <v>1741</v>
      </c>
      <c r="B4" s="1091">
        <v>2020</v>
      </c>
      <c r="C4" s="1092"/>
      <c r="D4" s="1091">
        <v>2021</v>
      </c>
      <c r="E4" s="1092"/>
      <c r="F4" s="1097">
        <v>2022</v>
      </c>
      <c r="G4" s="1098"/>
      <c r="H4" s="1097">
        <v>2023</v>
      </c>
      <c r="I4" s="1099"/>
      <c r="J4" s="1099"/>
      <c r="K4" s="1098"/>
    </row>
    <row r="5" spans="1:11" ht="33" customHeight="1" x14ac:dyDescent="0.25">
      <c r="A5" s="1089"/>
      <c r="B5" s="1093" t="s">
        <v>1954</v>
      </c>
      <c r="C5" s="1094"/>
      <c r="D5" s="1093" t="s">
        <v>1954</v>
      </c>
      <c r="E5" s="1094"/>
      <c r="F5" s="1093" t="s">
        <v>1954</v>
      </c>
      <c r="G5" s="1087"/>
      <c r="H5" s="1095" t="s">
        <v>2271</v>
      </c>
      <c r="I5" s="1096"/>
      <c r="J5" s="1086" t="s">
        <v>2387</v>
      </c>
      <c r="K5" s="1087"/>
    </row>
    <row r="6" spans="1:11" ht="47.25" x14ac:dyDescent="0.25">
      <c r="A6" s="1090"/>
      <c r="B6" s="601" t="s">
        <v>1955</v>
      </c>
      <c r="C6" s="608" t="s">
        <v>1956</v>
      </c>
      <c r="D6" s="601" t="s">
        <v>1955</v>
      </c>
      <c r="E6" s="608" t="s">
        <v>1956</v>
      </c>
      <c r="F6" s="601" t="s">
        <v>1955</v>
      </c>
      <c r="G6" s="608" t="s">
        <v>1956</v>
      </c>
      <c r="H6" s="1068" t="s">
        <v>1955</v>
      </c>
      <c r="I6" s="608" t="s">
        <v>1713</v>
      </c>
      <c r="J6" s="601" t="s">
        <v>2273</v>
      </c>
      <c r="K6" s="608" t="s">
        <v>1713</v>
      </c>
    </row>
    <row r="7" spans="1:11" ht="15.75" x14ac:dyDescent="0.25">
      <c r="A7" s="628" t="s">
        <v>1742</v>
      </c>
      <c r="B7" s="622">
        <f>'C-19_izvērsts'!$AR$7</f>
        <v>1281.6858186900001</v>
      </c>
      <c r="C7" s="623">
        <f>'C-19_izvērsts'!$BB$7</f>
        <v>-960.77715680799997</v>
      </c>
      <c r="D7" s="622">
        <f>'C-19_izvērsts'!$AU$7</f>
        <v>2315.1273903029</v>
      </c>
      <c r="E7" s="623">
        <f>'C-19_izvērsts'!$BG$7</f>
        <v>-2102.778497035446</v>
      </c>
      <c r="F7" s="622">
        <f>'C-19_izvērsts'!$AX$7</f>
        <v>965.88075563999985</v>
      </c>
      <c r="G7" s="623">
        <f>'C-19_izvērsts'!$BN$7</f>
        <v>-796.40862290312305</v>
      </c>
      <c r="H7" s="1069">
        <f>'C-19_izvērsts'!$AY$7</f>
        <v>100.80846314999999</v>
      </c>
      <c r="I7" s="623">
        <f>'C-19_izvērsts'!$BR$7</f>
        <v>-132.69533600087681</v>
      </c>
      <c r="J7" s="622">
        <f>'C-19_izvērsts'!$BW$7</f>
        <v>0.59044363</v>
      </c>
      <c r="K7" s="623">
        <f>'C-19_izvērsts'!$BV$7</f>
        <v>-0.59044363</v>
      </c>
    </row>
    <row r="8" spans="1:11" ht="15.75" x14ac:dyDescent="0.25">
      <c r="A8" s="629" t="s">
        <v>1743</v>
      </c>
      <c r="B8" s="616">
        <f>B7/B9</f>
        <v>4.2308177025880835E-2</v>
      </c>
      <c r="C8" s="617">
        <f t="shared" ref="C8:K8" si="0">C7/C9</f>
        <v>-3.1715050162763013E-2</v>
      </c>
      <c r="D8" s="616">
        <f t="shared" si="0"/>
        <v>6.8928081726369744E-2</v>
      </c>
      <c r="E8" s="617">
        <f t="shared" si="0"/>
        <v>-6.260583702789195E-2</v>
      </c>
      <c r="F8" s="616">
        <f t="shared" si="0"/>
        <v>2.4715011247102243E-2</v>
      </c>
      <c r="G8" s="617">
        <f t="shared" si="0"/>
        <v>-2.0378548757085058E-2</v>
      </c>
      <c r="H8" s="1070">
        <f t="shared" si="0"/>
        <v>2.3101504587688406E-3</v>
      </c>
      <c r="I8" s="617">
        <f t="shared" si="0"/>
        <v>-3.0408775390492701E-3</v>
      </c>
      <c r="J8" s="616">
        <f t="shared" si="0"/>
        <v>1.3530745138848391E-5</v>
      </c>
      <c r="K8" s="617">
        <f t="shared" si="0"/>
        <v>-1.3530745138848391E-5</v>
      </c>
    </row>
    <row r="9" spans="1:11" ht="15.75" x14ac:dyDescent="0.25">
      <c r="A9" s="630" t="s">
        <v>2400</v>
      </c>
      <c r="B9" s="602">
        <f>'C-19_izvērsts'!U8</f>
        <v>30294.044999999998</v>
      </c>
      <c r="C9" s="609">
        <f>'C-19_izvērsts'!U8</f>
        <v>30294.044999999998</v>
      </c>
      <c r="D9" s="602">
        <f>'C-19_izvērsts'!Z8</f>
        <v>33587.578999999998</v>
      </c>
      <c r="E9" s="609">
        <f>'C-19_izvērsts'!Z8</f>
        <v>33587.578999999998</v>
      </c>
      <c r="F9" s="602">
        <f>'C-19_izvērsts'!AG8</f>
        <v>39080.733</v>
      </c>
      <c r="G9" s="609">
        <f>'C-19_izvērsts'!AG8</f>
        <v>39080.733</v>
      </c>
      <c r="H9" s="1071">
        <f>'C-19_izvērsts'!AK8</f>
        <v>43637.185087816455</v>
      </c>
      <c r="I9" s="609">
        <f>'C-19_izvērsts'!AK8</f>
        <v>43637.185087816455</v>
      </c>
      <c r="J9" s="602">
        <f>'C-19_izvērsts'!$AK$8</f>
        <v>43637.185087816455</v>
      </c>
      <c r="K9" s="609">
        <f>'C-19_izvērsts'!$AK$8</f>
        <v>43637.185087816455</v>
      </c>
    </row>
    <row r="10" spans="1:11" ht="15.75" x14ac:dyDescent="0.25">
      <c r="A10" s="631" t="s">
        <v>2282</v>
      </c>
      <c r="B10" s="618">
        <f>'C-19_izvērsts'!$AR$9</f>
        <v>252.99299999999999</v>
      </c>
      <c r="C10" s="619">
        <f>'C-19_izvērsts'!$BB$9</f>
        <v>-127.12445199999999</v>
      </c>
      <c r="D10" s="618">
        <f>'C-19_izvērsts'!$AU$9</f>
        <v>93.55</v>
      </c>
      <c r="E10" s="619">
        <f>'C-19_izvērsts'!$BG$9</f>
        <v>-12.759348012</v>
      </c>
      <c r="F10" s="618">
        <f>'C-19_izvērsts'!$AX$9</f>
        <v>36.980000000000004</v>
      </c>
      <c r="G10" s="619">
        <f>'C-19_izvērsts'!$BN$9</f>
        <v>-5.6758423631231869</v>
      </c>
      <c r="H10" s="1072">
        <f>'C-19_izvērsts'!$AY$9</f>
        <v>5.5</v>
      </c>
      <c r="I10" s="619">
        <f>'C-19_izvērsts'!$BR$9</f>
        <v>-4.9478989008768135</v>
      </c>
      <c r="J10" s="618">
        <f>'C-19_izvērsts'!$BW$9</f>
        <v>0</v>
      </c>
      <c r="K10" s="619">
        <f>'C-19_izvērsts'!$BV$9</f>
        <v>0</v>
      </c>
    </row>
    <row r="11" spans="1:11" ht="15.75" x14ac:dyDescent="0.25">
      <c r="A11" s="632" t="s">
        <v>2283</v>
      </c>
      <c r="B11" s="603">
        <f>'C-19_izvērsts'!$AR$10</f>
        <v>161.99299999999999</v>
      </c>
      <c r="C11" s="612">
        <f>'C-19_izvērsts'!$BB$10</f>
        <v>-36.124451999999998</v>
      </c>
      <c r="D11" s="603">
        <f>'C-19_izvērsts'!$AU$10</f>
        <v>62.55</v>
      </c>
      <c r="E11" s="612">
        <f>'C-19_izvērsts'!$BG$10</f>
        <v>-12.759348012</v>
      </c>
      <c r="F11" s="603">
        <f>'C-19_izvērsts'!$AX$10</f>
        <v>1.48</v>
      </c>
      <c r="G11" s="612">
        <f>'C-19_izvērsts'!$BN$10</f>
        <v>-0.17584236312318702</v>
      </c>
      <c r="H11" s="1073">
        <f>'C-19_izvērsts'!$AY$10</f>
        <v>0</v>
      </c>
      <c r="I11" s="620">
        <f>'C-19_izvērsts'!$BR$10</f>
        <v>0.55210109912318683</v>
      </c>
      <c r="J11" s="603">
        <f>'C-19_izvērsts'!$BW$10</f>
        <v>0</v>
      </c>
      <c r="K11" s="620">
        <f>'C-19_izvērsts'!$BV$10</f>
        <v>0</v>
      </c>
    </row>
    <row r="12" spans="1:11" ht="15.75" x14ac:dyDescent="0.25">
      <c r="A12" s="632" t="s">
        <v>534</v>
      </c>
      <c r="B12" s="603">
        <f>'C-19_izvērsts'!$AR$23</f>
        <v>60</v>
      </c>
      <c r="C12" s="612">
        <f>'C-19_izvērsts'!$BB$23</f>
        <v>-60</v>
      </c>
      <c r="D12" s="603">
        <f>'C-19_izvērsts'!$AU$23</f>
        <v>0</v>
      </c>
      <c r="E12" s="612">
        <f>'C-19_izvērsts'!$BG$23</f>
        <v>0</v>
      </c>
      <c r="F12" s="603">
        <f>'C-19_izvērsts'!$AX$23</f>
        <v>0</v>
      </c>
      <c r="G12" s="612">
        <f>'C-19_izvērsts'!$BN$23</f>
        <v>0</v>
      </c>
      <c r="H12" s="1073">
        <f>'C-19_izvērsts'!$AY$23</f>
        <v>0</v>
      </c>
      <c r="I12" s="620">
        <f>'C-19_izvērsts'!$BR$23</f>
        <v>0</v>
      </c>
      <c r="J12" s="603">
        <f>'C-19_izvērsts'!$BW$23</f>
        <v>0</v>
      </c>
      <c r="K12" s="620">
        <f>'C-19_izvērsts'!$BV$23</f>
        <v>0</v>
      </c>
    </row>
    <row r="13" spans="1:11" ht="15.75" x14ac:dyDescent="0.25">
      <c r="A13" s="632" t="s">
        <v>2284</v>
      </c>
      <c r="B13" s="603">
        <f>'C-19_izvērsts'!$AR$21</f>
        <v>31</v>
      </c>
      <c r="C13" s="612">
        <f>'C-19_izvērsts'!$BB$21</f>
        <v>-31</v>
      </c>
      <c r="D13" s="603">
        <f>'C-19_izvērsts'!$AU$21</f>
        <v>31</v>
      </c>
      <c r="E13" s="612">
        <f>'C-19_izvērsts'!$BG$21</f>
        <v>0</v>
      </c>
      <c r="F13" s="603">
        <f>'C-19_izvērsts'!$AX$21</f>
        <v>30</v>
      </c>
      <c r="G13" s="612">
        <f>'C-19_izvērsts'!$BN$21</f>
        <v>0</v>
      </c>
      <c r="H13" s="1073">
        <f>'C-19_izvērsts'!$AY$21</f>
        <v>0</v>
      </c>
      <c r="I13" s="620">
        <f>'C-19_izvērsts'!$BR$21</f>
        <v>0</v>
      </c>
      <c r="J13" s="603">
        <f>'C-19_izvērsts'!$BW$21</f>
        <v>0</v>
      </c>
      <c r="K13" s="620">
        <f>'C-19_izvērsts'!$BV$21</f>
        <v>0</v>
      </c>
    </row>
    <row r="14" spans="1:11" ht="15.75" x14ac:dyDescent="0.25">
      <c r="A14" s="633" t="s">
        <v>2285</v>
      </c>
      <c r="B14" s="610">
        <f>'C-19_izvērsts'!$AR$29</f>
        <v>129.587782</v>
      </c>
      <c r="C14" s="611">
        <f>'C-19_izvērsts'!$BB$29</f>
        <v>-129.587782</v>
      </c>
      <c r="D14" s="610">
        <f>'C-19_izvērsts'!$AU$29</f>
        <v>533.45613600000001</v>
      </c>
      <c r="E14" s="611">
        <f>'C-19_izvērsts'!$BG$29</f>
        <v>-533.45613600000001</v>
      </c>
      <c r="F14" s="610">
        <f>'C-19_izvērsts'!$AX$29</f>
        <v>87.069663000000006</v>
      </c>
      <c r="G14" s="611">
        <f>'C-19_izvērsts'!$BN$29</f>
        <v>-87.069663000000006</v>
      </c>
      <c r="H14" s="1074">
        <f>'C-19_izvērsts'!$AY$29</f>
        <v>0</v>
      </c>
      <c r="I14" s="611">
        <f>'C-19_izvērsts'!$BR$29</f>
        <v>0</v>
      </c>
      <c r="J14" s="610">
        <f>'C-19_izvērsts'!$BW$29</f>
        <v>0</v>
      </c>
      <c r="K14" s="611">
        <f>'C-19_izvērsts'!$BV$29</f>
        <v>0</v>
      </c>
    </row>
    <row r="15" spans="1:11" ht="15.75" x14ac:dyDescent="0.25">
      <c r="A15" s="632" t="s">
        <v>2286</v>
      </c>
      <c r="B15" s="603">
        <f>'C-19_izvērsts'!$AR$30</f>
        <v>60.502936000000005</v>
      </c>
      <c r="C15" s="612">
        <f>'C-19_izvērsts'!$BB$30</f>
        <v>-60.502936000000005</v>
      </c>
      <c r="D15" s="603">
        <f>'C-19_izvērsts'!$AU$30</f>
        <v>135.88231999999999</v>
      </c>
      <c r="E15" s="612">
        <f>'C-19_izvērsts'!$BG$30</f>
        <v>-135.88231999999999</v>
      </c>
      <c r="F15" s="603">
        <f>'C-19_izvērsts'!$AX$30</f>
        <v>0</v>
      </c>
      <c r="G15" s="612">
        <f>'C-19_izvērsts'!$BN$30</f>
        <v>0</v>
      </c>
      <c r="H15" s="1073">
        <f>'C-19_izvērsts'!$AY$30</f>
        <v>0</v>
      </c>
      <c r="I15" s="620">
        <f>'C-19_izvērsts'!$BR$30</f>
        <v>0</v>
      </c>
      <c r="J15" s="603">
        <f>'C-19_izvērsts'!$BW$30</f>
        <v>0</v>
      </c>
      <c r="K15" s="620">
        <f>'C-19_izvērsts'!$BV$30</f>
        <v>0</v>
      </c>
    </row>
    <row r="16" spans="1:11" ht="15.75" x14ac:dyDescent="0.25">
      <c r="A16" s="634" t="s">
        <v>1716</v>
      </c>
      <c r="B16" s="603">
        <f>'C-19_izvērsts'!$AR$38</f>
        <v>47.324961000000002</v>
      </c>
      <c r="C16" s="612">
        <f>'C-19_izvērsts'!$BB$38</f>
        <v>-47.324961000000002</v>
      </c>
      <c r="D16" s="603">
        <f>'C-19_izvērsts'!$AU$38</f>
        <v>32.712878000000003</v>
      </c>
      <c r="E16" s="612">
        <f>'C-19_izvērsts'!$BG$38</f>
        <v>-32.712878000000003</v>
      </c>
      <c r="F16" s="603">
        <f>'C-19_izvērsts'!$AX$38</f>
        <v>7.6351550000000001</v>
      </c>
      <c r="G16" s="612">
        <f>'C-19_izvērsts'!$BN$38</f>
        <v>-7.6351550000000001</v>
      </c>
      <c r="H16" s="1073">
        <f>'C-19_izvērsts'!$AY$38</f>
        <v>0</v>
      </c>
      <c r="I16" s="621">
        <f>'C-19_izvērsts'!$BR$38</f>
        <v>0</v>
      </c>
      <c r="J16" s="603">
        <f>'C-19_izvērsts'!$BW$38</f>
        <v>0</v>
      </c>
      <c r="K16" s="621">
        <f>'C-19_izvērsts'!$BV$38</f>
        <v>0</v>
      </c>
    </row>
    <row r="17" spans="1:11" ht="15.75" x14ac:dyDescent="0.25">
      <c r="A17" s="634" t="s">
        <v>2287</v>
      </c>
      <c r="B17" s="603">
        <f>'C-19_izvērsts'!$AR$52</f>
        <v>6.2191000000000003E-2</v>
      </c>
      <c r="C17" s="612">
        <f>'C-19_izvērsts'!$BB$52</f>
        <v>-6.2191000000000003E-2</v>
      </c>
      <c r="D17" s="603">
        <f>'C-19_izvērsts'!$AU$52</f>
        <v>2.873157</v>
      </c>
      <c r="E17" s="612">
        <f>'C-19_izvērsts'!$BG$52</f>
        <v>-2.873157</v>
      </c>
      <c r="F17" s="603">
        <f>'C-19_izvērsts'!$AX$52</f>
        <v>0</v>
      </c>
      <c r="G17" s="612">
        <f>'C-19_izvērsts'!$BN$52</f>
        <v>0</v>
      </c>
      <c r="H17" s="1073">
        <f>'C-19_izvērsts'!$AY$52</f>
        <v>0</v>
      </c>
      <c r="I17" s="620">
        <f>'C-19_izvērsts'!$BR$52</f>
        <v>0</v>
      </c>
      <c r="J17" s="603">
        <f>'C-19_izvērsts'!$BW$52</f>
        <v>0</v>
      </c>
      <c r="K17" s="620">
        <f>'C-19_izvērsts'!$BV$52</f>
        <v>0</v>
      </c>
    </row>
    <row r="18" spans="1:11" ht="15.75" x14ac:dyDescent="0.25">
      <c r="A18" s="634" t="s">
        <v>152</v>
      </c>
      <c r="B18" s="603">
        <f>'C-19_izvērsts'!$AR$56</f>
        <v>5.1554669999999998</v>
      </c>
      <c r="C18" s="612">
        <f>'C-19_izvērsts'!$BB$56</f>
        <v>-5.1554669999999998</v>
      </c>
      <c r="D18" s="603">
        <f>'C-19_izvērsts'!$AU$56</f>
        <v>10.821989</v>
      </c>
      <c r="E18" s="612">
        <f>'C-19_izvērsts'!$BG$56</f>
        <v>-10.821989</v>
      </c>
      <c r="F18" s="603">
        <f>'C-19_izvērsts'!$AX$56</f>
        <v>0</v>
      </c>
      <c r="G18" s="612">
        <f>'C-19_izvērsts'!$BN$56</f>
        <v>0</v>
      </c>
      <c r="H18" s="1073">
        <f>'C-19_izvērsts'!$AY$56</f>
        <v>0</v>
      </c>
      <c r="I18" s="620">
        <f>'C-19_izvērsts'!$BR$56</f>
        <v>0</v>
      </c>
      <c r="J18" s="603">
        <f>'C-19_izvērsts'!$BW$56</f>
        <v>0</v>
      </c>
      <c r="K18" s="620">
        <f>'C-19_izvērsts'!$BV$56</f>
        <v>0</v>
      </c>
    </row>
    <row r="19" spans="1:11" ht="15.75" x14ac:dyDescent="0.25">
      <c r="A19" s="634" t="s">
        <v>2288</v>
      </c>
      <c r="B19" s="603">
        <f>'C-19_izvērsts'!$AR$47</f>
        <v>2.8603730000000001</v>
      </c>
      <c r="C19" s="612">
        <f>'C-19_izvērsts'!$BB$47</f>
        <v>-2.8603730000000001</v>
      </c>
      <c r="D19" s="603">
        <f>'C-19_izvērsts'!$AU$47</f>
        <v>32.656832999999999</v>
      </c>
      <c r="E19" s="612">
        <f>'C-19_izvērsts'!$BG$47</f>
        <v>-32.656832999999999</v>
      </c>
      <c r="F19" s="603">
        <f>'C-19_izvērsts'!$AX$47</f>
        <v>49.010249999999999</v>
      </c>
      <c r="G19" s="612">
        <f>'C-19_izvērsts'!$BN$47</f>
        <v>-49.010249999999999</v>
      </c>
      <c r="H19" s="1073">
        <f>'C-19_izvērsts'!$AY$47</f>
        <v>0</v>
      </c>
      <c r="I19" s="620">
        <f>'C-19_izvērsts'!$BR$47</f>
        <v>0</v>
      </c>
      <c r="J19" s="603">
        <f>'C-19_izvērsts'!$BW$47</f>
        <v>0</v>
      </c>
      <c r="K19" s="620">
        <f>'C-19_izvērsts'!$BV$47</f>
        <v>0</v>
      </c>
    </row>
    <row r="20" spans="1:11" ht="15.75" x14ac:dyDescent="0.25">
      <c r="A20" s="634" t="s">
        <v>2289</v>
      </c>
      <c r="B20" s="603">
        <f>'C-19_izvērsts'!$AR$43</f>
        <v>0</v>
      </c>
      <c r="C20" s="612">
        <f>'C-19_izvērsts'!$BB$43</f>
        <v>0</v>
      </c>
      <c r="D20" s="603">
        <f>'C-19_izvērsts'!$AU$43</f>
        <v>187.92102600000001</v>
      </c>
      <c r="E20" s="612">
        <f>'C-19_izvērsts'!$BG$43</f>
        <v>-187.92102600000001</v>
      </c>
      <c r="F20" s="603">
        <f>'C-19_izvērsts'!$AX$43</f>
        <v>0.218886</v>
      </c>
      <c r="G20" s="612">
        <f>'C-19_izvērsts'!$BN$43</f>
        <v>-0.218886</v>
      </c>
      <c r="H20" s="1073">
        <f>'C-19_izvērsts'!$AY$43</f>
        <v>0</v>
      </c>
      <c r="I20" s="620">
        <f>'C-19_izvērsts'!$BR$43</f>
        <v>0</v>
      </c>
      <c r="J20" s="603">
        <f>'C-19_izvērsts'!$BW$43</f>
        <v>0</v>
      </c>
      <c r="K20" s="620">
        <f>'C-19_izvērsts'!$BV$43</f>
        <v>0</v>
      </c>
    </row>
    <row r="21" spans="1:11" ht="31.5" x14ac:dyDescent="0.25">
      <c r="A21" s="634" t="s">
        <v>2290</v>
      </c>
      <c r="B21" s="603">
        <f>'C-19_izvērsts'!$AR$45</f>
        <v>0</v>
      </c>
      <c r="C21" s="612">
        <f>'C-19_izvērsts'!$BB$45</f>
        <v>0</v>
      </c>
      <c r="D21" s="603">
        <f>'C-19_izvērsts'!$AU$45</f>
        <v>110.007152</v>
      </c>
      <c r="E21" s="612">
        <f>'C-19_izvērsts'!$BG$45</f>
        <v>-110.007152</v>
      </c>
      <c r="F21" s="603">
        <f>'C-19_izvērsts'!$AX$45</f>
        <v>1.8599999999999998E-2</v>
      </c>
      <c r="G21" s="612">
        <f>'C-19_izvērsts'!$BN$45</f>
        <v>-1.8599999999999998E-2</v>
      </c>
      <c r="H21" s="1073">
        <f>'C-19_izvērsts'!$AY$45</f>
        <v>0</v>
      </c>
      <c r="I21" s="620">
        <f>'C-19_izvērsts'!$BR$45</f>
        <v>0</v>
      </c>
      <c r="J21" s="603">
        <f>'C-19_izvērsts'!$BW$45</f>
        <v>0</v>
      </c>
      <c r="K21" s="620">
        <f>'C-19_izvērsts'!$BV$45</f>
        <v>0</v>
      </c>
    </row>
    <row r="22" spans="1:11" ht="31.5" x14ac:dyDescent="0.25">
      <c r="A22" s="634" t="s">
        <v>2291</v>
      </c>
      <c r="B22" s="603">
        <f>'C-19_izvērsts'!$AR$50</f>
        <v>0</v>
      </c>
      <c r="C22" s="612">
        <f>'C-19_izvērsts'!$BB$50</f>
        <v>0</v>
      </c>
      <c r="D22" s="603">
        <f>'C-19_izvērsts'!$AU$50</f>
        <v>15.038055999999999</v>
      </c>
      <c r="E22" s="612">
        <f>'C-19_izvērsts'!$BG$50</f>
        <v>-15.038055999999999</v>
      </c>
      <c r="F22" s="603">
        <f>'C-19_izvērsts'!$AX$50</f>
        <v>23.75704</v>
      </c>
      <c r="G22" s="612">
        <f>'C-19_izvērsts'!$BN$50</f>
        <v>-23.75704</v>
      </c>
      <c r="H22" s="1073">
        <f>'C-19_izvērsts'!$AY$50</f>
        <v>0</v>
      </c>
      <c r="I22" s="620">
        <f>'C-19_izvērsts'!$BR$50</f>
        <v>0</v>
      </c>
      <c r="J22" s="603">
        <f>'C-19_izvērsts'!$BW$50</f>
        <v>0</v>
      </c>
      <c r="K22" s="620">
        <f>'C-19_izvērsts'!$BV$50</f>
        <v>0</v>
      </c>
    </row>
    <row r="23" spans="1:11" ht="15.75" x14ac:dyDescent="0.25">
      <c r="A23" s="633" t="s">
        <v>2292</v>
      </c>
      <c r="B23" s="610">
        <f>'C-19_izvērsts'!$AR$77</f>
        <v>239.96399569000002</v>
      </c>
      <c r="C23" s="611">
        <f>'C-19_izvērsts'!$BB$77</f>
        <v>-81.687714698000008</v>
      </c>
      <c r="D23" s="610">
        <f>'C-19_izvērsts'!$AU$77</f>
        <v>133.71341889289999</v>
      </c>
      <c r="E23" s="611">
        <f>'C-19_izvērsts'!$BG$77</f>
        <v>-91.726519613446044</v>
      </c>
      <c r="F23" s="610">
        <f>'C-19_izvērsts'!$AX$77</f>
        <v>76.861741370000004</v>
      </c>
      <c r="G23" s="611">
        <f>'C-19_izvērsts'!$BN$77</f>
        <v>-72.810081370000006</v>
      </c>
      <c r="H23" s="1074">
        <f>'C-19_izvērsts'!$AY$77</f>
        <v>31.90594815</v>
      </c>
      <c r="I23" s="611">
        <f>'C-19_izvērsts'!$BR$77</f>
        <v>-30.475948150000001</v>
      </c>
      <c r="J23" s="610">
        <f>'C-19_izvērsts'!$BW$77</f>
        <v>0.59044363</v>
      </c>
      <c r="K23" s="611">
        <f>'C-19_izvērsts'!$BV$77</f>
        <v>-0.59044363</v>
      </c>
    </row>
    <row r="24" spans="1:11" ht="15.75" x14ac:dyDescent="0.25">
      <c r="A24" s="630" t="s">
        <v>2293</v>
      </c>
      <c r="B24" s="603">
        <f>'C-19_izvērsts'!$AR$80</f>
        <v>91.8</v>
      </c>
      <c r="C24" s="612">
        <f>'C-19_izvērsts'!$BB$80</f>
        <v>-17.717400000000001</v>
      </c>
      <c r="D24" s="603">
        <f>'C-19_izvērsts'!$AU$80</f>
        <v>14.8</v>
      </c>
      <c r="E24" s="612">
        <f>'C-19_izvērsts'!$BG$80</f>
        <v>-2.8564000000000003</v>
      </c>
      <c r="F24" s="603">
        <f>'C-19_izvērsts'!$AX$80</f>
        <v>0</v>
      </c>
      <c r="G24" s="612">
        <f>'C-19_izvērsts'!$BN$80</f>
        <v>0</v>
      </c>
      <c r="H24" s="1073">
        <f>'C-19_izvērsts'!$AY$80</f>
        <v>0</v>
      </c>
      <c r="I24" s="621">
        <f>'C-19_izvērsts'!$BR$80</f>
        <v>0</v>
      </c>
      <c r="J24" s="603">
        <f>'C-19_izvērsts'!$BW$80</f>
        <v>0</v>
      </c>
      <c r="K24" s="621">
        <f>'C-19_izvērsts'!$BV$80</f>
        <v>0</v>
      </c>
    </row>
    <row r="25" spans="1:11" ht="15.75" x14ac:dyDescent="0.25">
      <c r="A25" s="630" t="s">
        <v>2294</v>
      </c>
      <c r="B25" s="603">
        <f>'C-19_izvērsts'!$AR$82</f>
        <v>3.0398809999999998</v>
      </c>
      <c r="C25" s="612">
        <f>'C-19_izvērsts'!$BB$82</f>
        <v>-0.51070000800000004</v>
      </c>
      <c r="D25" s="603">
        <f>'C-19_izvērsts'!$AU$82</f>
        <v>5.8999999999999997E-2</v>
      </c>
      <c r="E25" s="612">
        <f>'C-19_izvērsts'!$BG$82</f>
        <v>-9.9120000000000007E-3</v>
      </c>
      <c r="F25" s="603">
        <f>'C-19_izvērsts'!$AX$82</f>
        <v>0</v>
      </c>
      <c r="G25" s="612">
        <f>'C-19_izvērsts'!$BN$82</f>
        <v>0</v>
      </c>
      <c r="H25" s="1073">
        <f>'C-19_izvērsts'!$AY$82</f>
        <v>0</v>
      </c>
      <c r="I25" s="621">
        <f>'C-19_izvērsts'!$BR$82</f>
        <v>0</v>
      </c>
      <c r="J25" s="603">
        <f>'C-19_izvērsts'!$BW$82</f>
        <v>0</v>
      </c>
      <c r="K25" s="621">
        <f>'C-19_izvērsts'!$BV$82</f>
        <v>0</v>
      </c>
    </row>
    <row r="26" spans="1:11" ht="31.5" x14ac:dyDescent="0.25">
      <c r="A26" s="632" t="s">
        <v>2295</v>
      </c>
      <c r="B26" s="603">
        <f>'C-19_izvērsts'!$AR$78</f>
        <v>92.5</v>
      </c>
      <c r="C26" s="612">
        <f>'C-19_izvērsts'!$BB$78</f>
        <v>-13.1165</v>
      </c>
      <c r="D26" s="603">
        <f>'C-19_izvērsts'!$AU$78</f>
        <v>13.3</v>
      </c>
      <c r="E26" s="612">
        <f>'C-19_izvērsts'!$BG$78</f>
        <v>-1.8859400000000002</v>
      </c>
      <c r="F26" s="603">
        <f>'C-19_izvērsts'!$AX$78</f>
        <v>3.1</v>
      </c>
      <c r="G26" s="612">
        <f>'C-19_izvērsts'!$BN$78</f>
        <v>-0.43958000000000003</v>
      </c>
      <c r="H26" s="1073">
        <f>'C-19_izvērsts'!$AY$78</f>
        <v>0</v>
      </c>
      <c r="I26" s="621">
        <f>'C-19_izvērsts'!$BR$78</f>
        <v>0</v>
      </c>
      <c r="J26" s="603">
        <f>'C-19_izvērsts'!$BW$78</f>
        <v>0</v>
      </c>
      <c r="K26" s="621">
        <f>'C-19_izvērsts'!$BV$78</f>
        <v>0</v>
      </c>
    </row>
    <row r="27" spans="1:11" ht="31.5" x14ac:dyDescent="0.25">
      <c r="A27" s="632" t="s">
        <v>2296</v>
      </c>
      <c r="B27" s="603">
        <f>'C-19_izvērsts'!$AR$84</f>
        <v>0</v>
      </c>
      <c r="C27" s="612">
        <f>'C-19_izvērsts'!$BB$84</f>
        <v>0</v>
      </c>
      <c r="D27" s="603">
        <f>'C-19_izvērsts'!$AU$84</f>
        <v>16.088100000000001</v>
      </c>
      <c r="E27" s="612">
        <f>'C-19_izvērsts'!$BG$84</f>
        <v>0</v>
      </c>
      <c r="F27" s="603">
        <f>'C-19_izvērsts'!$AX$84</f>
        <v>1.3</v>
      </c>
      <c r="G27" s="612">
        <f>'C-19_izvērsts'!$BN$84</f>
        <v>0</v>
      </c>
      <c r="H27" s="1073">
        <f>'C-19_izvērsts'!$AY$84</f>
        <v>0</v>
      </c>
      <c r="I27" s="620">
        <f>'C-19_izvērsts'!$BR$84</f>
        <v>0</v>
      </c>
      <c r="J27" s="603">
        <f>'C-19_izvērsts'!$BW$84</f>
        <v>0</v>
      </c>
      <c r="K27" s="620">
        <f>'C-19_izvērsts'!$BV$84</f>
        <v>0</v>
      </c>
    </row>
    <row r="28" spans="1:11" ht="31.5" x14ac:dyDescent="0.25">
      <c r="A28" s="632" t="s">
        <v>1536</v>
      </c>
      <c r="B28" s="603">
        <f>'C-19_izvērsts'!$AR$88</f>
        <v>0</v>
      </c>
      <c r="C28" s="612">
        <f>'C-19_izvērsts'!$BB$88</f>
        <v>0</v>
      </c>
      <c r="D28" s="603">
        <f>'C-19_izvērsts'!$AU$88</f>
        <v>0</v>
      </c>
      <c r="E28" s="612">
        <f>'C-19_izvērsts'!$BG$88</f>
        <v>0</v>
      </c>
      <c r="F28" s="603">
        <f>'C-19_izvērsts'!$AX$88</f>
        <v>0</v>
      </c>
      <c r="G28" s="612">
        <f>'C-19_izvērsts'!$BN$88</f>
        <v>0</v>
      </c>
      <c r="H28" s="1073">
        <f>'C-19_izvērsts'!$AY$88</f>
        <v>11</v>
      </c>
      <c r="I28" s="620">
        <f>'C-19_izvērsts'!$BR$88</f>
        <v>-9.57</v>
      </c>
      <c r="J28" s="603">
        <f>'C-19_izvērsts'!$BW$88</f>
        <v>0</v>
      </c>
      <c r="K28" s="620">
        <f>'C-19_izvērsts'!$BV$88</f>
        <v>0</v>
      </c>
    </row>
    <row r="29" spans="1:11" ht="15.75" x14ac:dyDescent="0.25">
      <c r="A29" s="630" t="s">
        <v>165</v>
      </c>
      <c r="B29" s="603">
        <f>'C-19_izvērsts'!$AR$95</f>
        <v>50.124114689999999</v>
      </c>
      <c r="C29" s="612">
        <f>'C-19_izvērsts'!$BB$95</f>
        <v>-50.124114689999999</v>
      </c>
      <c r="D29" s="603">
        <f>'C-19_izvērsts'!$AU$95</f>
        <v>83.737523469999999</v>
      </c>
      <c r="E29" s="612">
        <f>'C-19_izvērsts'!$BG$95</f>
        <v>-83.737523469999999</v>
      </c>
      <c r="F29" s="603">
        <f>'C-19_izvērsts'!$AX$95</f>
        <v>68.161741370000001</v>
      </c>
      <c r="G29" s="612">
        <f>'C-19_izvērsts'!$BN$95</f>
        <v>-68.161741370000001</v>
      </c>
      <c r="H29" s="1073">
        <f>'C-19_izvērsts'!$AY$95</f>
        <v>20.90594815</v>
      </c>
      <c r="I29" s="621">
        <f>'C-19_izvērsts'!$BR$95</f>
        <v>-20.90594815</v>
      </c>
      <c r="J29" s="603">
        <f>'C-19_izvērsts'!$BW$95</f>
        <v>0.59044363</v>
      </c>
      <c r="K29" s="621">
        <f>'C-19_izvērsts'!$BV$95</f>
        <v>-0.59044363</v>
      </c>
    </row>
    <row r="30" spans="1:11" ht="15.75" x14ac:dyDescent="0.25">
      <c r="A30" s="633" t="s">
        <v>2297</v>
      </c>
      <c r="B30" s="610">
        <f>'C-19_izvērsts'!$AR$107</f>
        <v>631.83905000000004</v>
      </c>
      <c r="C30" s="611">
        <f>'C-19_izvērsts'!$BB$107</f>
        <v>-622.37720810999997</v>
      </c>
      <c r="D30" s="610">
        <f>'C-19_izvērsts'!$AU$107</f>
        <v>1497.2107644100001</v>
      </c>
      <c r="E30" s="611">
        <f>'C-19_izvērsts'!$BG$107</f>
        <v>-1456.25409341</v>
      </c>
      <c r="F30" s="610">
        <f>'C-19_izvērsts'!$AX$107</f>
        <v>594.38529026999981</v>
      </c>
      <c r="G30" s="611">
        <f>'C-19_izvērsts'!$BN$107</f>
        <v>-623.97303616999989</v>
      </c>
      <c r="H30" s="1074">
        <f>'C-19_izvērsts'!$AY$107</f>
        <v>63.402515000000001</v>
      </c>
      <c r="I30" s="611">
        <f>'C-19_izvērsts'!$BR$107</f>
        <v>-97.271488949999991</v>
      </c>
      <c r="J30" s="610">
        <f>'C-19_izvērsts'!$BW$107</f>
        <v>0</v>
      </c>
      <c r="K30" s="611">
        <f>'C-19_izvērsts'!$BV$107</f>
        <v>0</v>
      </c>
    </row>
    <row r="31" spans="1:11" ht="15.75" x14ac:dyDescent="0.25">
      <c r="A31" s="630" t="s">
        <v>1724</v>
      </c>
      <c r="B31" s="603">
        <f>'C-19_izvērsts'!$AR$108</f>
        <v>133.10977500000001</v>
      </c>
      <c r="C31" s="612">
        <f>'C-19_izvērsts'!$BB$108</f>
        <v>-123.64793311000001</v>
      </c>
      <c r="D31" s="603">
        <f>'C-19_izvērsts'!$AU$108</f>
        <v>578.44283900000016</v>
      </c>
      <c r="E31" s="612">
        <f>'C-19_izvērsts'!$BG$108</f>
        <v>-538.17287899999985</v>
      </c>
      <c r="F31" s="603">
        <f>'C-19_izvērsts'!$AX$108</f>
        <v>378.4128495999999</v>
      </c>
      <c r="G31" s="612">
        <f>'C-19_izvērsts'!$BN$108</f>
        <v>-408.00059549999992</v>
      </c>
      <c r="H31" s="1073">
        <f>'C-19_izvērsts'!$AY$108</f>
        <v>63.402515000000001</v>
      </c>
      <c r="I31" s="621">
        <f>'C-19_izvērsts'!$BR$108</f>
        <v>-83.803772949999995</v>
      </c>
      <c r="J31" s="603">
        <f>'C-19_izvērsts'!$BW$108</f>
        <v>0</v>
      </c>
      <c r="K31" s="621">
        <f>'C-19_izvērsts'!$BV$108</f>
        <v>0</v>
      </c>
    </row>
    <row r="32" spans="1:11" ht="15.75" x14ac:dyDescent="0.25">
      <c r="A32" s="630" t="s">
        <v>2298</v>
      </c>
      <c r="B32" s="603">
        <f>'C-19_izvērsts'!$AR$263</f>
        <v>408.375744</v>
      </c>
      <c r="C32" s="612">
        <f>'C-19_izvērsts'!$BB$263</f>
        <v>-408.375744</v>
      </c>
      <c r="D32" s="603">
        <f>'C-19_izvērsts'!$AU$263</f>
        <v>227.910798</v>
      </c>
      <c r="E32" s="612">
        <f>'C-19_izvērsts'!$BG$263</f>
        <v>-227.910798</v>
      </c>
      <c r="F32" s="603">
        <f>'C-19_izvērsts'!$AX$263</f>
        <v>68.769563000000005</v>
      </c>
      <c r="G32" s="612">
        <f>'C-19_izvērsts'!$BN$263</f>
        <v>-68.769563000000005</v>
      </c>
      <c r="H32" s="1073">
        <f>'C-19_izvērsts'!$AY$263</f>
        <v>0</v>
      </c>
      <c r="I32" s="621">
        <f>'C-19_izvērsts'!$BR$263</f>
        <v>0</v>
      </c>
      <c r="J32" s="603">
        <f>'C-19_izvērsts'!$BW$263</f>
        <v>0</v>
      </c>
      <c r="K32" s="621">
        <f>'C-19_izvērsts'!$BV$263</f>
        <v>0</v>
      </c>
    </row>
    <row r="33" spans="1:11" ht="15.75" x14ac:dyDescent="0.25">
      <c r="A33" s="630" t="s">
        <v>2299</v>
      </c>
      <c r="B33" s="603">
        <f>'C-19_izvērsts'!$AR$386</f>
        <v>6.7655999999999994E-2</v>
      </c>
      <c r="C33" s="612">
        <f>'C-19_izvērsts'!$BB$386</f>
        <v>-6.7655999999999994E-2</v>
      </c>
      <c r="D33" s="603">
        <f>'C-19_izvērsts'!$AU$386</f>
        <v>513.12829199999999</v>
      </c>
      <c r="E33" s="612">
        <f>'C-19_izvērsts'!$BG$386</f>
        <v>-513.12829199999999</v>
      </c>
      <c r="F33" s="603">
        <f>'C-19_izvērsts'!$AX$386</f>
        <v>55.725071</v>
      </c>
      <c r="G33" s="612">
        <f>'C-19_izvērsts'!$BN$386</f>
        <v>-55.725071</v>
      </c>
      <c r="H33" s="1073">
        <f>'C-19_izvērsts'!$AY$386</f>
        <v>0</v>
      </c>
      <c r="I33" s="620">
        <f>'C-19_izvērsts'!$BR$386</f>
        <v>0</v>
      </c>
      <c r="J33" s="603">
        <f>'C-19_izvērsts'!$BW$386</f>
        <v>0</v>
      </c>
      <c r="K33" s="620">
        <f>'C-19_izvērsts'!$BV$386</f>
        <v>0</v>
      </c>
    </row>
    <row r="34" spans="1:11" ht="15.75" x14ac:dyDescent="0.25">
      <c r="A34" s="632" t="s">
        <v>1728</v>
      </c>
      <c r="B34" s="603">
        <f>'C-19_izvērsts'!$AR$346</f>
        <v>37.540770000000002</v>
      </c>
      <c r="C34" s="612">
        <f>'C-19_izvērsts'!$BB$346</f>
        <v>-37.540770000000002</v>
      </c>
      <c r="D34" s="603">
        <f>'C-19_izvērsts'!$AU$346</f>
        <v>24.146602999999999</v>
      </c>
      <c r="E34" s="612">
        <f>'C-19_izvērsts'!$BG$346</f>
        <v>-24.146602999999999</v>
      </c>
      <c r="F34" s="603">
        <f>'C-19_izvērsts'!$AX$346</f>
        <v>0.21742600000000001</v>
      </c>
      <c r="G34" s="612">
        <f>'C-19_izvērsts'!$BN$346</f>
        <v>-0.21742600000000001</v>
      </c>
      <c r="H34" s="1073">
        <f>'C-19_izvērsts'!$AY$346</f>
        <v>0</v>
      </c>
      <c r="I34" s="621">
        <f>'C-19_izvērsts'!$BR$346</f>
        <v>0</v>
      </c>
      <c r="J34" s="603">
        <f>'C-19_izvērsts'!$BW$346</f>
        <v>0</v>
      </c>
      <c r="K34" s="621">
        <f>'C-19_izvērsts'!$BV$346</f>
        <v>0</v>
      </c>
    </row>
    <row r="35" spans="1:11" ht="15.75" x14ac:dyDescent="0.25">
      <c r="A35" s="630" t="s">
        <v>1727</v>
      </c>
      <c r="B35" s="603">
        <f>'C-19_izvērsts'!$AR$316</f>
        <v>21.134721999999996</v>
      </c>
      <c r="C35" s="612">
        <f>'C-19_izvērsts'!$BB$316</f>
        <v>-21.134721999999996</v>
      </c>
      <c r="D35" s="603">
        <f>'C-19_izvērsts'!$AU$316</f>
        <v>19.821274999999996</v>
      </c>
      <c r="E35" s="612">
        <f>'C-19_izvērsts'!$BG$316</f>
        <v>-19.821274999999996</v>
      </c>
      <c r="F35" s="603">
        <f>'C-19_izvērsts'!$AX$316</f>
        <v>4.7907249999999992</v>
      </c>
      <c r="G35" s="612">
        <f>'C-19_izvērsts'!$BN$316</f>
        <v>-4.7907249999999992</v>
      </c>
      <c r="H35" s="1073">
        <f>'C-19_izvērsts'!$AY$316</f>
        <v>0</v>
      </c>
      <c r="I35" s="621">
        <f>'C-19_izvērsts'!$BR$316</f>
        <v>0</v>
      </c>
      <c r="J35" s="603">
        <f>'C-19_izvērsts'!$BW$316</f>
        <v>0</v>
      </c>
      <c r="K35" s="621">
        <f>'C-19_izvērsts'!$BV$316</f>
        <v>0</v>
      </c>
    </row>
    <row r="36" spans="1:11" ht="31.5" x14ac:dyDescent="0.25">
      <c r="A36" s="632" t="s">
        <v>2300</v>
      </c>
      <c r="B36" s="603">
        <f>'C-19_izvērsts'!$AR$281</f>
        <v>22.05678</v>
      </c>
      <c r="C36" s="612">
        <f>'C-19_izvērsts'!$BB$281</f>
        <v>-22.05678</v>
      </c>
      <c r="D36" s="603">
        <f>'C-19_izvērsts'!$AU$281</f>
        <v>36.901719999999997</v>
      </c>
      <c r="E36" s="612">
        <f>'C-19_izvērsts'!$BG$281</f>
        <v>-36.901719999999997</v>
      </c>
      <c r="F36" s="603">
        <f>'C-19_izvērsts'!$AX$281</f>
        <v>16.005141000000002</v>
      </c>
      <c r="G36" s="612">
        <f>'C-19_izvērsts'!$BN$281</f>
        <v>-16.005141000000002</v>
      </c>
      <c r="H36" s="1073">
        <f>'C-19_izvērsts'!$AY$281</f>
        <v>0</v>
      </c>
      <c r="I36" s="621">
        <f>'C-19_izvērsts'!$BR$281</f>
        <v>0</v>
      </c>
      <c r="J36" s="603">
        <f>'C-19_izvērsts'!$BW$281</f>
        <v>0</v>
      </c>
      <c r="K36" s="621">
        <f>'C-19_izvērsts'!$BV$281</f>
        <v>0</v>
      </c>
    </row>
    <row r="37" spans="1:11" ht="15.75" x14ac:dyDescent="0.25">
      <c r="A37" s="632" t="s">
        <v>2301</v>
      </c>
      <c r="B37" s="603">
        <f>'C-19_izvērsts'!$AR$351</f>
        <v>0</v>
      </c>
      <c r="C37" s="612">
        <f>'C-19_izvērsts'!$BB$351</f>
        <v>0</v>
      </c>
      <c r="D37" s="603">
        <f>'C-19_izvērsts'!$AU$351</f>
        <v>52.511577999999993</v>
      </c>
      <c r="E37" s="612">
        <f>'C-19_izvērsts'!$BG$351</f>
        <v>-51.82486699999999</v>
      </c>
      <c r="F37" s="603">
        <f>'C-19_izvērsts'!$AX$351</f>
        <v>52.009733000000004</v>
      </c>
      <c r="G37" s="612">
        <f>'C-19_izvērsts'!$BN$351</f>
        <v>-52.009733000000004</v>
      </c>
      <c r="H37" s="1073">
        <f>'C-19_izvērsts'!$AY$351</f>
        <v>0</v>
      </c>
      <c r="I37" s="621">
        <f>'C-19_izvērsts'!$BR$351</f>
        <v>-13.467715999999999</v>
      </c>
      <c r="J37" s="603">
        <f>'C-19_izvērsts'!$BW$351</f>
        <v>0</v>
      </c>
      <c r="K37" s="621">
        <f>'C-19_izvērsts'!$BV$351</f>
        <v>0</v>
      </c>
    </row>
    <row r="38" spans="1:11" ht="15.75" x14ac:dyDescent="0.25">
      <c r="A38" s="633" t="s">
        <v>2339</v>
      </c>
      <c r="B38" s="624">
        <f>'C-19_izvērsts'!$AR$491</f>
        <v>27.301991000000001</v>
      </c>
      <c r="C38" s="625">
        <f>'C-19_izvērsts'!$BB$491</f>
        <v>0</v>
      </c>
      <c r="D38" s="610">
        <f>'C-19_izvērsts'!$AU$491</f>
        <v>57.197071000000001</v>
      </c>
      <c r="E38" s="611">
        <f>'C-19_izvērsts'!$BG$491</f>
        <v>-8.5823999999999998</v>
      </c>
      <c r="F38" s="610">
        <f>'C-19_izvērsts'!$AX$491</f>
        <v>170.58406099999999</v>
      </c>
      <c r="G38" s="611">
        <f>'C-19_izvērsts'!$BN$491</f>
        <v>-6.88</v>
      </c>
      <c r="H38" s="1075">
        <f>'C-19_izvērsts'!$AY$491</f>
        <v>0</v>
      </c>
      <c r="I38" s="611">
        <f>'C-19_izvērsts'!$BR$491</f>
        <v>0</v>
      </c>
      <c r="J38" s="624">
        <f>'C-19_izvērsts'!$BW$491</f>
        <v>0</v>
      </c>
      <c r="K38" s="625">
        <f>'C-19_izvērsts'!$BV$491</f>
        <v>0</v>
      </c>
    </row>
    <row r="39" spans="1:11" ht="15.75" x14ac:dyDescent="0.25">
      <c r="A39" s="630" t="s">
        <v>200</v>
      </c>
      <c r="B39" s="603">
        <f>'C-19_izvērsts'!$AR$492</f>
        <v>9.3443529999999999</v>
      </c>
      <c r="C39" s="612">
        <f>'C-19_izvērsts'!$BB$492</f>
        <v>0</v>
      </c>
      <c r="D39" s="603">
        <f>'C-19_izvērsts'!$AU$492</f>
        <v>36.971586000000002</v>
      </c>
      <c r="E39" s="612">
        <f>'C-19_izvērsts'!$BG$492</f>
        <v>0</v>
      </c>
      <c r="F39" s="603">
        <f>'C-19_izvērsts'!$AX$492</f>
        <v>136.58406099999999</v>
      </c>
      <c r="G39" s="612">
        <f>'C-19_izvērsts'!$BN$492</f>
        <v>0</v>
      </c>
      <c r="H39" s="1073">
        <f>'C-19_izvērsts'!$AY$492</f>
        <v>0</v>
      </c>
      <c r="I39" s="621">
        <f>'C-19_izvērsts'!$BR$492</f>
        <v>0</v>
      </c>
      <c r="J39" s="603">
        <f>'C-19_izvērsts'!$BW$492</f>
        <v>0</v>
      </c>
      <c r="K39" s="621">
        <f>'C-19_izvērsts'!$BV$492</f>
        <v>0</v>
      </c>
    </row>
    <row r="40" spans="1:11" ht="16.5" thickBot="1" x14ac:dyDescent="0.3">
      <c r="A40" s="635" t="s">
        <v>213</v>
      </c>
      <c r="B40" s="626">
        <f>'C-19_izvērsts'!$AR$494</f>
        <v>0.222636</v>
      </c>
      <c r="C40" s="627">
        <f>'C-19_izvērsts'!$BB$494</f>
        <v>0</v>
      </c>
      <c r="D40" s="626">
        <f>'C-19_izvērsts'!$AU$494</f>
        <v>20.225484999999999</v>
      </c>
      <c r="E40" s="627">
        <f>'C-19_izvērsts'!$BG$494</f>
        <v>0</v>
      </c>
      <c r="F40" s="626">
        <f>'C-19_izvērsts'!$AX$494</f>
        <v>34</v>
      </c>
      <c r="G40" s="627">
        <f>'C-19_izvērsts'!$BN$494</f>
        <v>0</v>
      </c>
      <c r="H40" s="1076">
        <f>'C-19_izvērsts'!$AY$494</f>
        <v>0</v>
      </c>
      <c r="I40" s="627">
        <f>'C-19_izvērsts'!$BR$494</f>
        <v>0</v>
      </c>
      <c r="J40" s="626">
        <f>'C-19_izvērsts'!$BW$494</f>
        <v>0</v>
      </c>
      <c r="K40" s="627">
        <f>'C-19_izvērsts'!$BV$494</f>
        <v>0</v>
      </c>
    </row>
    <row r="41" spans="1:11" ht="15.75" x14ac:dyDescent="0.25">
      <c r="A41" s="613"/>
      <c r="B41" s="614"/>
      <c r="C41" s="614"/>
      <c r="D41" s="614"/>
      <c r="E41" s="614"/>
      <c r="F41" s="614"/>
      <c r="G41" s="614"/>
      <c r="H41" s="614"/>
      <c r="I41" s="614"/>
      <c r="J41" s="614"/>
      <c r="K41" s="614"/>
    </row>
    <row r="42" spans="1:11" ht="15.75" x14ac:dyDescent="0.25">
      <c r="A42" s="903" t="s">
        <v>2347</v>
      </c>
      <c r="B42" s="605"/>
      <c r="C42" s="605"/>
      <c r="D42" s="605"/>
      <c r="E42" s="605"/>
    </row>
    <row r="43" spans="1:11" ht="15.75" x14ac:dyDescent="0.25">
      <c r="A43" s="903" t="s">
        <v>2348</v>
      </c>
      <c r="B43" s="605"/>
      <c r="C43" s="605"/>
      <c r="D43" s="605"/>
      <c r="E43" s="605"/>
    </row>
  </sheetData>
  <mergeCells count="10">
    <mergeCell ref="J5:K5"/>
    <mergeCell ref="A4:A6"/>
    <mergeCell ref="B4:C4"/>
    <mergeCell ref="D4:E4"/>
    <mergeCell ref="B5:C5"/>
    <mergeCell ref="D5:E5"/>
    <mergeCell ref="H5:I5"/>
    <mergeCell ref="F5:G5"/>
    <mergeCell ref="F4:G4"/>
    <mergeCell ref="H4:K4"/>
  </mergeCells>
  <pageMargins left="0.7" right="0.7" top="0.75" bottom="0.75" header="0.3" footer="0.3"/>
  <pageSetup paperSize="9" orientation="portrait" verticalDpi="9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E87A0-7C6F-40FC-B71A-81534F09E366}">
  <sheetPr>
    <tabColor rgb="FF00B0F0"/>
  </sheetPr>
  <dimension ref="A2:K50"/>
  <sheetViews>
    <sheetView zoomScale="40" zoomScaleNormal="40" workbookViewId="0">
      <pane ySplit="5" topLeftCell="A6" activePane="bottomLeft" state="frozen"/>
      <selection pane="bottomLeft" activeCell="I6" sqref="I6"/>
    </sheetView>
  </sheetViews>
  <sheetFormatPr defaultColWidth="8.7109375" defaultRowHeight="15" outlineLevelRow="1" outlineLevelCol="1" x14ac:dyDescent="0.25"/>
  <cols>
    <col min="1" max="1" width="187" customWidth="1"/>
    <col min="2" max="2" width="18.28515625" hidden="1" customWidth="1"/>
    <col min="3" max="3" width="19" customWidth="1"/>
    <col min="4" max="5" width="14.7109375" hidden="1" customWidth="1" outlineLevel="1"/>
    <col min="6" max="6" width="19.28515625" customWidth="1" collapsed="1"/>
    <col min="7" max="7" width="15.5703125" customWidth="1"/>
    <col min="8" max="8" width="24.5703125" customWidth="1"/>
    <col min="9" max="9" width="29" customWidth="1"/>
    <col min="10" max="10" width="24.5703125" customWidth="1"/>
    <col min="11" max="12" width="36.7109375" customWidth="1"/>
  </cols>
  <sheetData>
    <row r="2" spans="1:8" ht="27" x14ac:dyDescent="0.35">
      <c r="A2" s="904" t="s">
        <v>2366</v>
      </c>
      <c r="F2" s="940"/>
      <c r="G2" s="940"/>
      <c r="H2" s="898"/>
    </row>
    <row r="4" spans="1:8" ht="27" x14ac:dyDescent="0.35">
      <c r="A4" s="1109" t="s">
        <v>1741</v>
      </c>
      <c r="B4" s="1111">
        <v>2021</v>
      </c>
      <c r="C4" s="1112"/>
      <c r="D4" s="1111">
        <v>2022</v>
      </c>
      <c r="E4" s="1113"/>
      <c r="F4" s="1112"/>
      <c r="G4" s="1111">
        <v>2023</v>
      </c>
      <c r="H4" s="1112"/>
    </row>
    <row r="5" spans="1:8" ht="81" x14ac:dyDescent="0.25">
      <c r="A5" s="1110"/>
      <c r="B5" s="887" t="s">
        <v>524</v>
      </c>
      <c r="C5" s="887" t="s">
        <v>1954</v>
      </c>
      <c r="D5" s="800" t="s">
        <v>524</v>
      </c>
      <c r="E5" s="887" t="s">
        <v>2357</v>
      </c>
      <c r="F5" s="888" t="s">
        <v>1954</v>
      </c>
      <c r="G5" s="800" t="s">
        <v>524</v>
      </c>
      <c r="H5" s="1065" t="s">
        <v>2383</v>
      </c>
    </row>
    <row r="6" spans="1:8" ht="27" x14ac:dyDescent="0.35">
      <c r="A6" s="801" t="s">
        <v>2205</v>
      </c>
      <c r="B6" s="802">
        <f t="shared" ref="B6:H6" si="0">B8+B32+B44</f>
        <v>2.97</v>
      </c>
      <c r="C6" s="802">
        <f t="shared" si="0"/>
        <v>1.8805700000000001</v>
      </c>
      <c r="D6" s="802">
        <f t="shared" si="0"/>
        <v>836.07835399999999</v>
      </c>
      <c r="E6" s="802">
        <f t="shared" si="0"/>
        <v>658.70002045000001</v>
      </c>
      <c r="F6" s="802">
        <f t="shared" si="0"/>
        <v>603.54405190000011</v>
      </c>
      <c r="G6" s="802">
        <f t="shared" ref="G6" si="1">G8+G32+G44</f>
        <v>621.568939</v>
      </c>
      <c r="H6" s="802">
        <f t="shared" si="0"/>
        <v>199.46437569000003</v>
      </c>
    </row>
    <row r="7" spans="1:8" ht="27" x14ac:dyDescent="0.35">
      <c r="A7" s="803" t="s">
        <v>2150</v>
      </c>
      <c r="B7" s="804">
        <f>B6/KOPĀ!D14</f>
        <v>8.8425545645906789E-5</v>
      </c>
      <c r="C7" s="804">
        <f>C6/KOPĀ!D14</f>
        <v>5.5990043224014453E-5</v>
      </c>
      <c r="D7" s="804">
        <f>D6/KOPĀ!E14</f>
        <v>2.1393620073605069E-2</v>
      </c>
      <c r="E7" s="804">
        <f>E6/KOPĀ!F14</f>
        <v>1.5094924641092619E-2</v>
      </c>
      <c r="F7" s="804">
        <f>F6/KOPĀ!F14</f>
        <v>1.3830957489247174E-2</v>
      </c>
      <c r="G7" s="804">
        <f>G6/KOPĀ!F14</f>
        <v>1.4244020042748877E-2</v>
      </c>
      <c r="H7" s="804">
        <f>H6/KOPĀ!G14</f>
        <v>4.5709725613279914E-3</v>
      </c>
    </row>
    <row r="8" spans="1:8" ht="20.25" x14ac:dyDescent="0.25">
      <c r="A8" s="805" t="s">
        <v>2279</v>
      </c>
      <c r="B8" s="806">
        <f>SUM(B10:B15)</f>
        <v>2.97</v>
      </c>
      <c r="C8" s="806">
        <f>SUM(C10:C15)</f>
        <v>1.8805700000000001</v>
      </c>
      <c r="D8" s="806">
        <f>SUM(D10:D15)+SUM(D17:D31)</f>
        <v>571.1295419999999</v>
      </c>
      <c r="E8" s="806">
        <f>SUM(E10:E15)+SUM(E17:E31)</f>
        <v>381.10527745000002</v>
      </c>
      <c r="F8" s="806">
        <f>SUM(F10:F15)+SUM(F17:F31)</f>
        <v>339.56395824000003</v>
      </c>
      <c r="G8" s="806">
        <f>SUM(G10:G15)+SUM(G17:G31)</f>
        <v>546.95583599999998</v>
      </c>
      <c r="H8" s="806">
        <f>SUM(H10:H15)+SUM(H17:H31)</f>
        <v>177.39213506000002</v>
      </c>
    </row>
    <row r="9" spans="1:8" ht="20.25" outlineLevel="1" x14ac:dyDescent="0.25">
      <c r="A9" s="1114" t="s">
        <v>2302</v>
      </c>
      <c r="B9" s="1115"/>
      <c r="C9" s="1115"/>
      <c r="D9" s="1115"/>
      <c r="E9" s="1115"/>
      <c r="F9" s="1115"/>
      <c r="G9" s="1115"/>
      <c r="H9" s="1116"/>
    </row>
    <row r="10" spans="1:8" ht="40.5" outlineLevel="1" x14ac:dyDescent="0.25">
      <c r="A10" s="807" t="s">
        <v>2303</v>
      </c>
      <c r="B10" s="808"/>
      <c r="C10" s="809"/>
      <c r="D10" s="809">
        <f>77.894+63.5</f>
        <v>141.39400000000001</v>
      </c>
      <c r="E10" s="809">
        <v>134.75700000000001</v>
      </c>
      <c r="F10" s="815">
        <v>134.73500000000001</v>
      </c>
      <c r="G10" s="815"/>
      <c r="H10" s="811"/>
    </row>
    <row r="11" spans="1:8" ht="20.25" outlineLevel="1" x14ac:dyDescent="0.25">
      <c r="A11" s="812" t="s">
        <v>2280</v>
      </c>
      <c r="B11" s="813">
        <v>2.97</v>
      </c>
      <c r="C11" s="809">
        <v>1.8805700000000001</v>
      </c>
      <c r="D11" s="809">
        <v>17.524920000000002</v>
      </c>
      <c r="E11" s="809">
        <v>17.524920000000002</v>
      </c>
      <c r="F11" s="815">
        <v>12.701000000000001</v>
      </c>
      <c r="G11" s="815"/>
      <c r="H11" s="811"/>
    </row>
    <row r="12" spans="1:8" ht="20.25" outlineLevel="1" x14ac:dyDescent="0.25">
      <c r="A12" s="812" t="s">
        <v>2350</v>
      </c>
      <c r="B12" s="808"/>
      <c r="C12" s="808"/>
      <c r="D12" s="813">
        <v>18.427592000000001</v>
      </c>
      <c r="E12" s="809">
        <v>18.427592000000001</v>
      </c>
      <c r="F12" s="815">
        <v>14.3</v>
      </c>
      <c r="G12" s="815"/>
      <c r="H12" s="811"/>
    </row>
    <row r="13" spans="1:8" ht="20.25" outlineLevel="1" x14ac:dyDescent="0.25">
      <c r="A13" s="812" t="s">
        <v>2206</v>
      </c>
      <c r="B13" s="808"/>
      <c r="C13" s="808"/>
      <c r="D13" s="813">
        <v>7</v>
      </c>
      <c r="E13" s="809">
        <v>8.7140000000000004</v>
      </c>
      <c r="F13" s="815">
        <v>8.74</v>
      </c>
      <c r="G13" s="815"/>
      <c r="H13" s="811"/>
    </row>
    <row r="14" spans="1:8" ht="20.25" outlineLevel="1" x14ac:dyDescent="0.25">
      <c r="A14" s="812" t="s">
        <v>2207</v>
      </c>
      <c r="B14" s="808"/>
      <c r="C14" s="808"/>
      <c r="D14" s="813">
        <v>27.400020999999999</v>
      </c>
      <c r="E14" s="809">
        <v>26.451000000000001</v>
      </c>
      <c r="F14" s="815">
        <v>27.02</v>
      </c>
      <c r="G14" s="815"/>
      <c r="H14" s="808"/>
    </row>
    <row r="15" spans="1:8" ht="20.25" outlineLevel="1" x14ac:dyDescent="0.25">
      <c r="A15" s="812" t="s">
        <v>2208</v>
      </c>
      <c r="B15" s="808"/>
      <c r="C15" s="808"/>
      <c r="D15" s="813">
        <v>21.200391</v>
      </c>
      <c r="E15" s="809">
        <v>21.813641860000001</v>
      </c>
      <c r="F15" s="815">
        <v>18.03</v>
      </c>
      <c r="G15" s="815"/>
      <c r="H15" s="808"/>
    </row>
    <row r="16" spans="1:8" ht="20.25" outlineLevel="1" x14ac:dyDescent="0.25">
      <c r="A16" s="1101" t="s">
        <v>2337</v>
      </c>
      <c r="B16" s="1102"/>
      <c r="C16" s="1102"/>
      <c r="D16" s="1102"/>
      <c r="E16" s="1102"/>
      <c r="F16" s="1102"/>
      <c r="G16" s="1102"/>
      <c r="H16" s="1103"/>
    </row>
    <row r="17" spans="1:11" ht="40.5" outlineLevel="1" x14ac:dyDescent="0.25">
      <c r="A17" s="893" t="s">
        <v>2305</v>
      </c>
      <c r="B17" s="808"/>
      <c r="C17" s="808"/>
      <c r="D17" s="813">
        <f>15.16</f>
        <v>15.16</v>
      </c>
      <c r="E17" s="966">
        <v>1.829451E-2</v>
      </c>
      <c r="F17" s="966">
        <f>0+0.00609817+0.02809152</f>
        <v>3.4189689999999995E-2</v>
      </c>
      <c r="G17" s="813">
        <v>37.9</v>
      </c>
      <c r="H17" s="813">
        <f>0.07126907+0.05295086</f>
        <v>0.12421993000000001</v>
      </c>
    </row>
    <row r="18" spans="1:11" ht="50.45" customHeight="1" outlineLevel="1" x14ac:dyDescent="0.25">
      <c r="A18" s="893" t="s">
        <v>2306</v>
      </c>
      <c r="B18" s="808"/>
      <c r="C18" s="808"/>
      <c r="D18" s="813">
        <f>26.133746</f>
        <v>26.133745999999999</v>
      </c>
      <c r="E18" s="815">
        <v>13.799999999999999</v>
      </c>
      <c r="F18" s="815">
        <v>6.0525767500000001</v>
      </c>
      <c r="G18" s="813">
        <f>17.426254</f>
        <v>17.426254</v>
      </c>
      <c r="H18" s="813">
        <v>4.7782515999999999</v>
      </c>
      <c r="I18" s="816"/>
      <c r="J18" s="816"/>
    </row>
    <row r="19" spans="1:11" ht="40.5" outlineLevel="1" x14ac:dyDescent="0.25">
      <c r="A19" s="893" t="s">
        <v>2307</v>
      </c>
      <c r="B19" s="808"/>
      <c r="C19" s="808"/>
      <c r="D19" s="813">
        <f>71.999399</f>
        <v>71.999398999999997</v>
      </c>
      <c r="E19" s="815">
        <v>32.234999999999999</v>
      </c>
      <c r="F19" s="815">
        <v>26.41057481</v>
      </c>
      <c r="G19" s="813">
        <f>96.000601</f>
        <v>96.000601000000003</v>
      </c>
      <c r="H19" s="813">
        <v>49.408619139999999</v>
      </c>
    </row>
    <row r="20" spans="1:11" ht="41.1" customHeight="1" outlineLevel="1" x14ac:dyDescent="0.25">
      <c r="A20" s="893" t="s">
        <v>2308</v>
      </c>
      <c r="B20" s="808"/>
      <c r="C20" s="808"/>
      <c r="D20" s="813">
        <f>21.7728</f>
        <v>21.7728</v>
      </c>
      <c r="E20" s="815">
        <v>0.20217096000000001</v>
      </c>
      <c r="F20" s="815">
        <f>0.02757207+0.03981825+0.04141392</f>
        <v>0.10880424</v>
      </c>
      <c r="G20" s="813">
        <f>21.7728</f>
        <v>21.7728</v>
      </c>
      <c r="H20" s="813">
        <f>0.01557317+0.02318222</f>
        <v>3.8755390000000001E-2</v>
      </c>
    </row>
    <row r="21" spans="1:11" ht="20.25" outlineLevel="1" x14ac:dyDescent="0.25">
      <c r="A21" s="893" t="s">
        <v>2311</v>
      </c>
      <c r="B21" s="808"/>
      <c r="C21" s="808"/>
      <c r="D21" s="813">
        <f>4.79536</f>
        <v>4.7953599999999996</v>
      </c>
      <c r="E21" s="815">
        <v>15.13334538</v>
      </c>
      <c r="F21" s="815">
        <f>5.88336+5.24998538+1.74199464</f>
        <v>12.875340019999999</v>
      </c>
      <c r="G21" s="813"/>
      <c r="H21" s="813">
        <f>0.06192+0.03318</f>
        <v>9.5100000000000004E-2</v>
      </c>
      <c r="I21" s="723"/>
    </row>
    <row r="22" spans="1:11" ht="40.5" outlineLevel="1" x14ac:dyDescent="0.25">
      <c r="A22" s="893" t="s">
        <v>2309</v>
      </c>
      <c r="B22" s="808"/>
      <c r="C22" s="808"/>
      <c r="D22" s="813">
        <f>2.016</f>
        <v>2.016</v>
      </c>
      <c r="E22" s="815">
        <v>0.11879520000000002</v>
      </c>
      <c r="F22" s="815">
        <f>0.01352437+0.02607403+0.02774825</f>
        <v>6.7346650000000008E-2</v>
      </c>
      <c r="G22" s="813">
        <v>2.016</v>
      </c>
      <c r="H22" s="813">
        <f>0.02085023+0.01538204</f>
        <v>3.6232269999999997E-2</v>
      </c>
      <c r="I22" s="723"/>
    </row>
    <row r="23" spans="1:11" ht="40.5" outlineLevel="1" x14ac:dyDescent="0.25">
      <c r="A23" s="893" t="s">
        <v>2310</v>
      </c>
      <c r="B23" s="808"/>
      <c r="C23" s="808"/>
      <c r="D23" s="813">
        <f>10.48</f>
        <v>10.48</v>
      </c>
      <c r="E23" s="815">
        <v>2.5045175399999997</v>
      </c>
      <c r="F23" s="815">
        <f>0.33375182+0.50108736+0.27102723</f>
        <v>1.10586641</v>
      </c>
      <c r="G23" s="813">
        <f>11.92</f>
        <v>11.92</v>
      </c>
      <c r="H23" s="813">
        <f>0.25982208+0.13725345</f>
        <v>0.39707553000000001</v>
      </c>
      <c r="I23" s="723"/>
    </row>
    <row r="24" spans="1:11" ht="20.25" outlineLevel="1" x14ac:dyDescent="0.25">
      <c r="A24" s="893" t="s">
        <v>2388</v>
      </c>
      <c r="B24" s="808"/>
      <c r="C24" s="808"/>
      <c r="D24" s="813"/>
      <c r="E24" s="815"/>
      <c r="F24" s="815"/>
      <c r="G24" s="813"/>
      <c r="H24" s="813">
        <f>0.00608491</f>
        <v>6.0849099999999998E-3</v>
      </c>
      <c r="I24" s="723"/>
    </row>
    <row r="25" spans="1:11" ht="20.25" outlineLevel="1" x14ac:dyDescent="0.25">
      <c r="A25" s="893" t="s">
        <v>2389</v>
      </c>
      <c r="B25" s="808"/>
      <c r="C25" s="808"/>
      <c r="D25" s="813"/>
      <c r="E25" s="815"/>
      <c r="F25" s="815"/>
      <c r="G25" s="813"/>
      <c r="H25" s="813">
        <f>0.04059591</f>
        <v>4.0595909999999999E-2</v>
      </c>
      <c r="I25" s="723"/>
    </row>
    <row r="26" spans="1:11" ht="20.25" outlineLevel="1" x14ac:dyDescent="0.25">
      <c r="A26" s="894" t="s">
        <v>2304</v>
      </c>
      <c r="B26" s="808"/>
      <c r="C26" s="808"/>
      <c r="D26" s="813">
        <v>52.961942999999998</v>
      </c>
      <c r="E26" s="815">
        <v>37.975000000000001</v>
      </c>
      <c r="F26" s="815">
        <v>30.992884499999999</v>
      </c>
      <c r="G26" s="813">
        <v>70.615924000000007</v>
      </c>
      <c r="H26" s="813">
        <v>35.138975549999998</v>
      </c>
      <c r="I26" s="723"/>
    </row>
    <row r="27" spans="1:11" ht="40.5" outlineLevel="1" x14ac:dyDescent="0.25">
      <c r="A27" s="894" t="s">
        <v>2312</v>
      </c>
      <c r="B27" s="808"/>
      <c r="C27" s="808"/>
      <c r="D27" s="813">
        <v>3.1114289999999998</v>
      </c>
      <c r="E27" s="815">
        <v>2.46</v>
      </c>
      <c r="F27" s="815">
        <v>1.7142301900000001</v>
      </c>
      <c r="G27" s="813">
        <v>7.7785710000000003</v>
      </c>
      <c r="H27" s="813">
        <v>0.69356998000000003</v>
      </c>
      <c r="I27" s="723"/>
    </row>
    <row r="28" spans="1:11" ht="40.5" outlineLevel="1" x14ac:dyDescent="0.25">
      <c r="A28" s="894" t="s">
        <v>2384</v>
      </c>
      <c r="B28" s="808"/>
      <c r="C28" s="808"/>
      <c r="D28" s="813"/>
      <c r="E28" s="815"/>
      <c r="F28" s="815"/>
      <c r="G28" s="813"/>
      <c r="H28" s="813">
        <v>18.17815161</v>
      </c>
      <c r="I28" s="723"/>
    </row>
    <row r="29" spans="1:11" ht="40.5" outlineLevel="1" x14ac:dyDescent="0.25">
      <c r="A29" s="894" t="s">
        <v>2320</v>
      </c>
      <c r="B29" s="808"/>
      <c r="C29" s="808"/>
      <c r="D29" s="813">
        <v>19.166399999999999</v>
      </c>
      <c r="E29" s="815">
        <v>5.35</v>
      </c>
      <c r="F29" s="815">
        <v>5.13217781</v>
      </c>
      <c r="G29" s="813">
        <v>47.915999999999997</v>
      </c>
      <c r="H29" s="813">
        <v>6.9896207099999996</v>
      </c>
      <c r="I29" s="723"/>
    </row>
    <row r="30" spans="1:11" ht="20.25" outlineLevel="1" x14ac:dyDescent="0.25">
      <c r="A30" s="894" t="s">
        <v>2274</v>
      </c>
      <c r="B30" s="808"/>
      <c r="C30" s="808"/>
      <c r="D30" s="813">
        <v>24.877208</v>
      </c>
      <c r="E30" s="815">
        <v>17.64</v>
      </c>
      <c r="F30" s="815">
        <v>15.146614980000001</v>
      </c>
      <c r="G30" s="813">
        <v>62.193019</v>
      </c>
      <c r="H30" s="813">
        <v>32.84163066</v>
      </c>
      <c r="I30" s="723"/>
    </row>
    <row r="31" spans="1:11" ht="40.5" outlineLevel="1" x14ac:dyDescent="0.25">
      <c r="A31" s="894" t="s">
        <v>2313</v>
      </c>
      <c r="B31" s="808"/>
      <c r="C31" s="808"/>
      <c r="D31" s="813">
        <v>85.708332999999996</v>
      </c>
      <c r="E31" s="815">
        <v>25.98</v>
      </c>
      <c r="F31" s="815">
        <v>24.397352189999999</v>
      </c>
      <c r="G31" s="813">
        <v>171.41666699999999</v>
      </c>
      <c r="H31" s="813">
        <v>28.62525187</v>
      </c>
      <c r="I31" s="723"/>
    </row>
    <row r="32" spans="1:11" ht="23.25" x14ac:dyDescent="0.35">
      <c r="A32" s="889" t="s">
        <v>2209</v>
      </c>
      <c r="B32" s="890">
        <f>SUM(B34:B37)</f>
        <v>0</v>
      </c>
      <c r="C32" s="890">
        <f>SUM(C34:C37)</f>
        <v>0</v>
      </c>
      <c r="D32" s="890">
        <f>SUM(D34:D37)+SUM(D39:D43)</f>
        <v>214.94881200000003</v>
      </c>
      <c r="E32" s="890">
        <f>SUM(E34:E37)+SUM(E39:E43)</f>
        <v>253.09474299999999</v>
      </c>
      <c r="F32" s="890">
        <f>SUM(F34:F37)+SUM(F39:F43)</f>
        <v>240.43266234000004</v>
      </c>
      <c r="G32" s="890">
        <f>G39+SUM(G34:G37)+SUM(G40:G43)</f>
        <v>74.613102999999995</v>
      </c>
      <c r="H32" s="890">
        <f>H39+SUM(H34:H37)+SUM(H40:H43)</f>
        <v>22.07224063</v>
      </c>
      <c r="I32" s="723"/>
      <c r="J32" s="817"/>
      <c r="K32" s="817"/>
    </row>
    <row r="33" spans="1:9" ht="20.25" outlineLevel="1" x14ac:dyDescent="0.25">
      <c r="A33" s="1106" t="s">
        <v>2302</v>
      </c>
      <c r="B33" s="1107"/>
      <c r="C33" s="1107"/>
      <c r="D33" s="1107"/>
      <c r="E33" s="1107"/>
      <c r="F33" s="1107"/>
      <c r="G33" s="1107"/>
      <c r="H33" s="1108"/>
      <c r="I33" s="723"/>
    </row>
    <row r="34" spans="1:9" ht="40.5" outlineLevel="1" x14ac:dyDescent="0.25">
      <c r="A34" s="818" t="s">
        <v>2351</v>
      </c>
      <c r="B34" s="808"/>
      <c r="C34" s="811"/>
      <c r="D34" s="809">
        <f>9.161718+4.907118</f>
        <v>14.068836000000001</v>
      </c>
      <c r="E34" s="809">
        <v>14.068836000000001</v>
      </c>
      <c r="F34" s="810">
        <v>5.5182758200000004</v>
      </c>
      <c r="G34" s="810"/>
      <c r="H34" s="809"/>
    </row>
    <row r="35" spans="1:9" ht="20.25" outlineLevel="1" x14ac:dyDescent="0.25">
      <c r="A35" s="818" t="s">
        <v>2210</v>
      </c>
      <c r="B35" s="808"/>
      <c r="C35" s="811"/>
      <c r="D35" s="809">
        <v>44.250390000000003</v>
      </c>
      <c r="E35" s="809">
        <v>43.84</v>
      </c>
      <c r="F35" s="810">
        <v>43.84920752</v>
      </c>
      <c r="G35" s="810"/>
      <c r="H35" s="811"/>
    </row>
    <row r="36" spans="1:9" ht="20.25" outlineLevel="1" x14ac:dyDescent="0.25">
      <c r="A36" s="818" t="s">
        <v>2211</v>
      </c>
      <c r="B36" s="808"/>
      <c r="C36" s="811"/>
      <c r="D36" s="809">
        <v>81.121153000000007</v>
      </c>
      <c r="E36" s="809">
        <v>80.98</v>
      </c>
      <c r="F36" s="810">
        <v>81.042139000000006</v>
      </c>
      <c r="G36" s="810"/>
      <c r="H36" s="811"/>
    </row>
    <row r="37" spans="1:9" ht="40.5" outlineLevel="1" x14ac:dyDescent="0.25">
      <c r="A37" s="818" t="s">
        <v>2212</v>
      </c>
      <c r="B37" s="808"/>
      <c r="C37" s="808"/>
      <c r="D37" s="819">
        <v>6.7200000000000003E-3</v>
      </c>
      <c r="E37" s="967">
        <v>2.48E-3</v>
      </c>
      <c r="F37" s="967">
        <v>2E-3</v>
      </c>
      <c r="G37" s="967"/>
      <c r="H37" s="808"/>
    </row>
    <row r="38" spans="1:9" ht="20.25" outlineLevel="1" x14ac:dyDescent="0.25">
      <c r="A38" s="1101" t="s">
        <v>2336</v>
      </c>
      <c r="B38" s="1102"/>
      <c r="C38" s="1102"/>
      <c r="D38" s="1102"/>
      <c r="E38" s="1102"/>
      <c r="F38" s="1102"/>
      <c r="G38" s="1102"/>
      <c r="H38" s="1103"/>
    </row>
    <row r="39" spans="1:9" ht="41.45" customHeight="1" outlineLevel="1" x14ac:dyDescent="0.25">
      <c r="A39" s="818" t="s">
        <v>2365</v>
      </c>
      <c r="B39" s="808"/>
      <c r="C39" s="811"/>
      <c r="D39" s="968"/>
      <c r="E39" s="968"/>
      <c r="F39" s="968"/>
      <c r="G39" s="813">
        <f>14.721354</f>
        <v>14.721354</v>
      </c>
      <c r="H39" s="813">
        <v>3.44032063</v>
      </c>
    </row>
    <row r="40" spans="1:9" ht="20.25" outlineLevel="1" x14ac:dyDescent="0.25">
      <c r="A40" s="818" t="s">
        <v>2370</v>
      </c>
      <c r="B40" s="820"/>
      <c r="C40" s="820"/>
      <c r="D40" s="813">
        <f>26.065366*2</f>
        <v>52.130732000000002</v>
      </c>
      <c r="E40" s="813">
        <v>90.832446000000004</v>
      </c>
      <c r="F40" s="813">
        <v>91.4</v>
      </c>
      <c r="G40" s="808"/>
      <c r="H40" s="808"/>
    </row>
    <row r="41" spans="1:9" ht="20.25" outlineLevel="1" x14ac:dyDescent="0.25">
      <c r="A41" s="818" t="s">
        <v>2213</v>
      </c>
      <c r="B41" s="820"/>
      <c r="C41" s="820"/>
      <c r="D41" s="813">
        <f>0.2828</f>
        <v>0.2828</v>
      </c>
      <c r="E41" s="813">
        <v>0.2828</v>
      </c>
      <c r="F41" s="813">
        <v>0.28000000000000003</v>
      </c>
      <c r="G41" s="808"/>
      <c r="H41" s="808"/>
    </row>
    <row r="42" spans="1:9" ht="40.5" outlineLevel="1" x14ac:dyDescent="0.25">
      <c r="A42" s="818" t="s">
        <v>2214</v>
      </c>
      <c r="B42" s="808"/>
      <c r="C42" s="808"/>
      <c r="D42" s="813">
        <f>23.086981</f>
        <v>23.086981000000002</v>
      </c>
      <c r="E42" s="813">
        <v>23.086981000000002</v>
      </c>
      <c r="F42" s="815">
        <v>18.340039999999998</v>
      </c>
      <c r="G42" s="813">
        <f>59.888748</f>
        <v>59.888748</v>
      </c>
      <c r="H42" s="813">
        <v>18.631920000000001</v>
      </c>
      <c r="I42" s="816"/>
    </row>
    <row r="43" spans="1:9" ht="40.5" outlineLevel="1" x14ac:dyDescent="0.25">
      <c r="A43" s="818" t="s">
        <v>2215</v>
      </c>
      <c r="B43" s="808"/>
      <c r="C43" s="808"/>
      <c r="D43" s="967">
        <f>0.0012</f>
        <v>1.1999999999999999E-3</v>
      </c>
      <c r="E43" s="967">
        <v>1.1999999999999999E-3</v>
      </c>
      <c r="F43" s="967">
        <v>1E-3</v>
      </c>
      <c r="G43" s="813">
        <f>0.003001</f>
        <v>3.0010000000000002E-3</v>
      </c>
      <c r="H43" s="813"/>
    </row>
    <row r="44" spans="1:9" ht="20.25" outlineLevel="1" x14ac:dyDescent="0.25">
      <c r="A44" s="889" t="s">
        <v>2340</v>
      </c>
      <c r="B44" s="890">
        <v>0</v>
      </c>
      <c r="C44" s="890">
        <v>0</v>
      </c>
      <c r="D44" s="890">
        <v>50</v>
      </c>
      <c r="E44" s="890">
        <v>24.5</v>
      </c>
      <c r="F44" s="1057">
        <v>23.547431320000001</v>
      </c>
      <c r="G44" s="890">
        <v>0</v>
      </c>
      <c r="H44" s="890">
        <v>0</v>
      </c>
    </row>
    <row r="45" spans="1:9" ht="20.25" x14ac:dyDescent="0.25">
      <c r="A45" s="822"/>
      <c r="B45" s="823"/>
      <c r="C45" s="824"/>
      <c r="D45" s="825"/>
      <c r="E45" s="825"/>
      <c r="F45" s="825"/>
      <c r="G45" s="825"/>
      <c r="H45" s="826"/>
    </row>
    <row r="46" spans="1:9" ht="40.5" customHeight="1" x14ac:dyDescent="0.25">
      <c r="A46" s="1104" t="s">
        <v>2349</v>
      </c>
      <c r="B46" s="1105"/>
      <c r="C46" s="1105"/>
      <c r="D46" s="1105"/>
      <c r="E46" s="1105"/>
      <c r="F46" s="1105"/>
      <c r="G46" s="1105"/>
      <c r="H46" s="1105"/>
    </row>
    <row r="47" spans="1:9" ht="20.25" x14ac:dyDescent="0.25">
      <c r="A47" s="1100" t="s">
        <v>2381</v>
      </c>
      <c r="B47" s="1100"/>
      <c r="C47" s="1100"/>
      <c r="D47" s="1100"/>
      <c r="E47" s="1100"/>
      <c r="F47" s="1100"/>
      <c r="G47" s="1100"/>
      <c r="H47" s="1100"/>
    </row>
    <row r="48" spans="1:9" ht="20.25" x14ac:dyDescent="0.25">
      <c r="A48" s="822" t="s">
        <v>2352</v>
      </c>
      <c r="B48" s="822"/>
      <c r="C48" s="822"/>
      <c r="D48" s="822"/>
      <c r="E48" s="822"/>
      <c r="F48" s="822"/>
      <c r="G48" s="822"/>
      <c r="H48" s="822"/>
    </row>
    <row r="49" spans="1:8" ht="20.25" x14ac:dyDescent="0.25">
      <c r="A49" s="822" t="s">
        <v>2353</v>
      </c>
      <c r="B49" s="822"/>
      <c r="C49" s="822"/>
      <c r="D49" s="822"/>
      <c r="E49" s="822"/>
      <c r="F49" s="822"/>
      <c r="G49" s="822"/>
      <c r="H49" s="822"/>
    </row>
    <row r="50" spans="1:8" ht="20.25" x14ac:dyDescent="0.25">
      <c r="A50" s="905"/>
      <c r="B50" s="905"/>
      <c r="C50" s="905"/>
      <c r="D50" s="905"/>
      <c r="E50" s="905"/>
      <c r="F50" s="905"/>
      <c r="G50" s="905"/>
      <c r="H50" s="905"/>
    </row>
  </sheetData>
  <mergeCells count="10">
    <mergeCell ref="A47:H47"/>
    <mergeCell ref="A38:H38"/>
    <mergeCell ref="A46:H46"/>
    <mergeCell ref="A33:H33"/>
    <mergeCell ref="A4:A5"/>
    <mergeCell ref="B4:C4"/>
    <mergeCell ref="D4:F4"/>
    <mergeCell ref="A9:H9"/>
    <mergeCell ref="A16:H16"/>
    <mergeCell ref="G4:H4"/>
  </mergeCell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41EFF-C0DD-4F00-A708-3477E67DCE92}">
  <sheetPr>
    <tabColor rgb="FF00B0F0"/>
  </sheetPr>
  <dimension ref="A1:L23"/>
  <sheetViews>
    <sheetView zoomScale="80" zoomScaleNormal="80" workbookViewId="0">
      <selection activeCell="D6" sqref="D6:D9"/>
    </sheetView>
  </sheetViews>
  <sheetFormatPr defaultColWidth="8.7109375" defaultRowHeight="15" outlineLevelCol="1" x14ac:dyDescent="0.25"/>
  <cols>
    <col min="1" max="1" width="71" style="798" customWidth="1"/>
    <col min="2" max="2" width="12.5703125" style="798" hidden="1" customWidth="1" outlineLevel="1"/>
    <col min="3" max="3" width="12.7109375" style="798" bestFit="1" customWidth="1" collapsed="1"/>
    <col min="4" max="4" width="12.7109375" style="798" customWidth="1"/>
    <col min="5" max="5" width="12.5703125" style="798" customWidth="1"/>
    <col min="6" max="6" width="23.42578125" style="798" customWidth="1"/>
    <col min="7" max="7" width="8.7109375" style="798"/>
    <col min="8" max="8" width="0" style="798" hidden="1" customWidth="1"/>
    <col min="9" max="9" width="17.140625" style="798" hidden="1" customWidth="1"/>
    <col min="10" max="10" width="11.28515625" style="798" hidden="1" customWidth="1"/>
    <col min="11" max="13" width="0" style="798" hidden="1" customWidth="1"/>
    <col min="14" max="16384" width="8.7109375" style="798"/>
  </cols>
  <sheetData>
    <row r="1" spans="1:12" ht="15.75" x14ac:dyDescent="0.25">
      <c r="B1" s="827"/>
      <c r="C1" s="828"/>
      <c r="D1" s="828"/>
      <c r="E1" s="827"/>
    </row>
    <row r="2" spans="1:12" ht="18.75" x14ac:dyDescent="0.3">
      <c r="A2" s="607" t="s">
        <v>2355</v>
      </c>
      <c r="B2" s="883"/>
      <c r="C2" s="895"/>
      <c r="D2" s="895"/>
      <c r="E2" s="883"/>
    </row>
    <row r="4" spans="1:12" ht="14.45" customHeight="1" x14ac:dyDescent="0.25">
      <c r="B4" s="1120">
        <v>2022</v>
      </c>
      <c r="C4" s="1120"/>
      <c r="D4" s="1121">
        <v>2023</v>
      </c>
      <c r="E4" s="1122"/>
      <c r="I4" s="829" t="s">
        <v>2218</v>
      </c>
      <c r="J4" s="829"/>
      <c r="K4" s="829"/>
    </row>
    <row r="5" spans="1:12" ht="42.75" x14ac:dyDescent="0.25">
      <c r="B5" s="897" t="s">
        <v>524</v>
      </c>
      <c r="C5" s="897" t="s">
        <v>1954</v>
      </c>
      <c r="D5" s="897" t="s">
        <v>524</v>
      </c>
      <c r="E5" s="897" t="s">
        <v>2383</v>
      </c>
      <c r="F5" s="830"/>
      <c r="G5" s="830"/>
      <c r="I5" s="829"/>
      <c r="J5" s="829"/>
      <c r="K5" s="829"/>
    </row>
    <row r="6" spans="1:12" x14ac:dyDescent="0.25">
      <c r="A6" s="831" t="s">
        <v>2219</v>
      </c>
      <c r="B6" s="832">
        <f>7.15112+0.55964</f>
        <v>7.7107599999999996</v>
      </c>
      <c r="C6" s="832">
        <f>5+1.92+0.223078+0.55964</f>
        <v>7.702718</v>
      </c>
      <c r="D6" s="832" t="s">
        <v>2403</v>
      </c>
      <c r="E6" s="832">
        <v>0</v>
      </c>
      <c r="I6" s="829" t="s">
        <v>40</v>
      </c>
      <c r="J6" s="834">
        <f>0.097028</f>
        <v>9.7028000000000003E-2</v>
      </c>
      <c r="K6" s="829"/>
    </row>
    <row r="7" spans="1:12" x14ac:dyDescent="0.25">
      <c r="A7" s="831" t="s">
        <v>2277</v>
      </c>
      <c r="B7" s="832">
        <f>54.780086</f>
        <v>54.780085999999997</v>
      </c>
      <c r="C7" s="1058">
        <f>0.000038+2.40099+8.415621+11.659904+9.199773+6.4157+4.350925+3.827012+3.526692+3.564886+3.409845</f>
        <v>56.771385999999985</v>
      </c>
      <c r="D7" s="832" t="s">
        <v>2403</v>
      </c>
      <c r="E7" s="832">
        <f>0.683985+0.174074+0.033264+0.189089+0.623591+4.057778</f>
        <v>5.761781</v>
      </c>
      <c r="I7" s="829"/>
      <c r="J7" s="834"/>
      <c r="K7" s="829"/>
    </row>
    <row r="8" spans="1:12" x14ac:dyDescent="0.25">
      <c r="A8" s="831" t="s">
        <v>2338</v>
      </c>
      <c r="B8" s="899">
        <f>12.065204+0.009771+0.045738+0.200165+0.0237+1.159065+2.409722+0.567954+0.030797+0.408476</f>
        <v>16.920591999999999</v>
      </c>
      <c r="C8" s="1056">
        <v>16.536028000000002</v>
      </c>
      <c r="D8" s="899" t="s">
        <v>2403</v>
      </c>
      <c r="E8" s="899">
        <v>5.875</v>
      </c>
      <c r="H8" s="835"/>
      <c r="I8" s="829" t="s">
        <v>25</v>
      </c>
      <c r="J8" s="834">
        <v>0.52200000000000002</v>
      </c>
      <c r="K8" s="829"/>
    </row>
    <row r="9" spans="1:12" x14ac:dyDescent="0.25">
      <c r="A9" s="837" t="s">
        <v>415</v>
      </c>
      <c r="B9" s="838">
        <f>B6+B7+B8</f>
        <v>79.411438000000004</v>
      </c>
      <c r="C9" s="838">
        <f>SUM(C6:C8)</f>
        <v>81.010131999999984</v>
      </c>
      <c r="D9" s="838">
        <v>102</v>
      </c>
      <c r="E9" s="838">
        <f>E6+E7+E8</f>
        <v>11.636780999999999</v>
      </c>
      <c r="I9" s="829" t="s">
        <v>138</v>
      </c>
      <c r="J9" s="834">
        <f>3.655429</f>
        <v>3.6554289999999998</v>
      </c>
      <c r="K9" s="829"/>
    </row>
    <row r="10" spans="1:12" x14ac:dyDescent="0.25">
      <c r="B10" s="839"/>
      <c r="E10" s="839"/>
      <c r="I10" s="829" t="s">
        <v>2221</v>
      </c>
      <c r="J10" s="834">
        <f>0.705745+0.03884</f>
        <v>0.74458499999999994</v>
      </c>
      <c r="K10" s="829"/>
      <c r="L10" s="798" t="s">
        <v>2222</v>
      </c>
    </row>
    <row r="11" spans="1:12" ht="27.6" customHeight="1" x14ac:dyDescent="0.25">
      <c r="A11" s="1117" t="s">
        <v>2380</v>
      </c>
      <c r="B11" s="1118"/>
      <c r="C11" s="1118"/>
      <c r="D11" s="938"/>
      <c r="E11" s="938"/>
      <c r="I11" s="829" t="s">
        <v>7</v>
      </c>
      <c r="J11" s="834">
        <f>5.65+0.01</f>
        <v>5.66</v>
      </c>
      <c r="K11" s="829"/>
    </row>
    <row r="12" spans="1:12" hidden="1" x14ac:dyDescent="0.25">
      <c r="A12" s="1119" t="s">
        <v>2223</v>
      </c>
      <c r="B12" s="1119"/>
      <c r="C12" s="1119"/>
      <c r="D12" s="939"/>
      <c r="E12" s="939"/>
      <c r="I12" s="829"/>
      <c r="J12" s="834"/>
      <c r="K12" s="829"/>
    </row>
    <row r="13" spans="1:12" hidden="1" x14ac:dyDescent="0.25">
      <c r="A13" s="840" t="s">
        <v>2224</v>
      </c>
      <c r="I13" s="829"/>
      <c r="J13" s="834"/>
      <c r="K13" s="829"/>
    </row>
    <row r="14" spans="1:12" x14ac:dyDescent="0.25">
      <c r="I14" s="829" t="s">
        <v>2225</v>
      </c>
      <c r="J14" s="834">
        <v>1.3327880000000001</v>
      </c>
      <c r="K14" s="829"/>
    </row>
    <row r="15" spans="1:12" x14ac:dyDescent="0.25">
      <c r="I15" s="829"/>
      <c r="J15" s="841" t="e">
        <f>SUM(J6:J14)+#REF!+#REF!</f>
        <v>#REF!</v>
      </c>
      <c r="K15" s="829"/>
    </row>
    <row r="17" spans="2:10" x14ac:dyDescent="0.25">
      <c r="B17" s="842"/>
      <c r="C17" s="829"/>
      <c r="D17" s="829"/>
      <c r="E17" s="842"/>
      <c r="I17" s="843" t="s">
        <v>2226</v>
      </c>
      <c r="J17" s="829"/>
    </row>
    <row r="18" spans="2:10" x14ac:dyDescent="0.25">
      <c r="B18" s="829"/>
      <c r="C18" s="844"/>
      <c r="D18" s="844"/>
      <c r="E18" s="829"/>
      <c r="I18" s="829"/>
      <c r="J18" s="844" t="s">
        <v>2227</v>
      </c>
    </row>
    <row r="19" spans="2:10" x14ac:dyDescent="0.25">
      <c r="B19" s="845"/>
      <c r="C19" s="846"/>
      <c r="D19" s="846"/>
      <c r="E19" s="845"/>
      <c r="I19" s="845" t="s">
        <v>2228</v>
      </c>
      <c r="J19" s="846">
        <v>7.8643749999999999</v>
      </c>
    </row>
    <row r="20" spans="2:10" x14ac:dyDescent="0.25">
      <c r="B20" s="845"/>
      <c r="C20" s="847"/>
      <c r="D20" s="847"/>
      <c r="E20" s="845"/>
      <c r="I20" s="845" t="s">
        <v>2229</v>
      </c>
      <c r="J20" s="847">
        <f>9.558898+0.415419+0.064393</f>
        <v>10.03871</v>
      </c>
    </row>
    <row r="21" spans="2:10" x14ac:dyDescent="0.25">
      <c r="B21" s="845"/>
      <c r="C21" s="846"/>
      <c r="D21" s="846"/>
      <c r="E21" s="845"/>
      <c r="I21" s="845" t="s">
        <v>2230</v>
      </c>
      <c r="J21" s="846">
        <f>2.4303</f>
        <v>2.4302999999999999</v>
      </c>
    </row>
    <row r="22" spans="2:10" x14ac:dyDescent="0.25">
      <c r="B22" s="845"/>
      <c r="C22" s="846"/>
      <c r="D22" s="846"/>
      <c r="E22" s="845"/>
      <c r="I22" s="845" t="s">
        <v>2231</v>
      </c>
      <c r="J22" s="846">
        <f>17.814948</f>
        <v>17.814948000000001</v>
      </c>
    </row>
    <row r="23" spans="2:10" x14ac:dyDescent="0.25">
      <c r="B23" s="829"/>
      <c r="C23" s="848"/>
      <c r="D23" s="848"/>
      <c r="E23" s="829"/>
      <c r="I23" s="829"/>
      <c r="J23" s="849">
        <f>J19+J20+J21+J22</f>
        <v>38.148333000000001</v>
      </c>
    </row>
  </sheetData>
  <mergeCells count="4">
    <mergeCell ref="A11:C11"/>
    <mergeCell ref="A12:C12"/>
    <mergeCell ref="B4:C4"/>
    <mergeCell ref="D4:E4"/>
  </mergeCells>
  <hyperlinks>
    <hyperlink ref="A13" r:id="rId1" xr:uid="{C5F11162-2B3A-4D6F-919A-A2507E7F5A4E}"/>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N37"/>
  <sheetViews>
    <sheetView zoomScale="80" zoomScaleNormal="80" workbookViewId="0">
      <selection activeCell="L19" sqref="L19"/>
    </sheetView>
  </sheetViews>
  <sheetFormatPr defaultColWidth="8.7109375" defaultRowHeight="15" x14ac:dyDescent="0.25"/>
  <cols>
    <col min="1" max="1" width="8.7109375" style="798"/>
    <col min="2" max="6" width="13.7109375" style="798" customWidth="1"/>
    <col min="7" max="7" width="15" style="798" customWidth="1"/>
    <col min="8" max="8" width="8.7109375" style="798"/>
    <col min="9" max="14" width="15.5703125" style="798" customWidth="1"/>
    <col min="15" max="16384" width="8.7109375" style="798"/>
  </cols>
  <sheetData>
    <row r="2" spans="2:14" ht="18.75" x14ac:dyDescent="0.3">
      <c r="B2" s="607" t="s">
        <v>2232</v>
      </c>
      <c r="I2" s="607" t="s">
        <v>2233</v>
      </c>
    </row>
    <row r="3" spans="2:14" ht="14.45" customHeight="1" x14ac:dyDescent="0.25">
      <c r="B3" s="850"/>
      <c r="C3" s="851">
        <v>2020</v>
      </c>
      <c r="D3" s="851">
        <v>2021</v>
      </c>
      <c r="E3" s="855">
        <v>2022</v>
      </c>
      <c r="F3" s="1123">
        <v>2023</v>
      </c>
      <c r="G3" s="1124"/>
      <c r="I3" s="850"/>
      <c r="J3" s="851">
        <v>2020</v>
      </c>
      <c r="K3" s="851">
        <v>2021</v>
      </c>
      <c r="L3" s="851">
        <v>2022</v>
      </c>
      <c r="M3" s="1123">
        <v>2023</v>
      </c>
      <c r="N3" s="1124"/>
    </row>
    <row r="4" spans="2:14" ht="57" x14ac:dyDescent="0.25">
      <c r="B4" s="852"/>
      <c r="C4" s="853" t="s">
        <v>1982</v>
      </c>
      <c r="D4" s="853" t="s">
        <v>1982</v>
      </c>
      <c r="E4" s="853" t="s">
        <v>1982</v>
      </c>
      <c r="F4" s="854" t="s">
        <v>740</v>
      </c>
      <c r="G4" s="1080" t="s">
        <v>2392</v>
      </c>
      <c r="I4" s="852"/>
      <c r="J4" s="851" t="str">
        <f>C4</f>
        <v>Execution</v>
      </c>
      <c r="K4" s="851" t="str">
        <f>D4</f>
        <v>Execution</v>
      </c>
      <c r="L4" s="851" t="str">
        <f>E4</f>
        <v>Execution</v>
      </c>
      <c r="M4" s="855" t="s">
        <v>2272</v>
      </c>
      <c r="N4" s="855" t="s">
        <v>2392</v>
      </c>
    </row>
    <row r="5" spans="2:14" ht="21.95" customHeight="1" x14ac:dyDescent="0.25">
      <c r="B5" s="856" t="s">
        <v>2234</v>
      </c>
      <c r="C5" s="857">
        <f>KOPĀ!C6</f>
        <v>1281.6858186900001</v>
      </c>
      <c r="D5" s="857">
        <f>KOPĀ!D6</f>
        <v>2315.1273903029</v>
      </c>
      <c r="E5" s="857">
        <f>KOPĀ!E6</f>
        <v>965.88075563999985</v>
      </c>
      <c r="F5" s="857">
        <f>KOPĀ!F6</f>
        <v>100.80846314999999</v>
      </c>
      <c r="G5" s="858">
        <f>KOPĀ!G6</f>
        <v>0.59044363</v>
      </c>
      <c r="I5" s="856" t="str">
        <f>B5</f>
        <v>Covid-19</v>
      </c>
      <c r="J5" s="857">
        <f>KOPĀ!J6</f>
        <v>-960.77715680799997</v>
      </c>
      <c r="K5" s="857">
        <f>KOPĀ!K6</f>
        <v>-2102.778497035446</v>
      </c>
      <c r="L5" s="857">
        <f>KOPĀ!L6</f>
        <v>-796.40862290312305</v>
      </c>
      <c r="M5" s="857">
        <f>KOPĀ!M6</f>
        <v>-132.69533600087681</v>
      </c>
      <c r="N5" s="858">
        <f>KOPĀ!N6</f>
        <v>-0.59044363</v>
      </c>
    </row>
    <row r="6" spans="2:14" ht="21" customHeight="1" x14ac:dyDescent="0.25">
      <c r="B6" s="859"/>
      <c r="C6" s="860">
        <f>C5/C13</f>
        <v>4.2308177025880835E-2</v>
      </c>
      <c r="D6" s="860">
        <f>D5/D13</f>
        <v>6.8928081726369744E-2</v>
      </c>
      <c r="E6" s="861">
        <f>E5/E13</f>
        <v>2.4715011247102243E-2</v>
      </c>
      <c r="F6" s="861">
        <f>F5/F13</f>
        <v>2.3101504587688406E-3</v>
      </c>
      <c r="G6" s="862">
        <f>G5/G13</f>
        <v>1.3530745138848391E-5</v>
      </c>
      <c r="I6" s="859"/>
      <c r="J6" s="860">
        <f>J5/J13</f>
        <v>-3.1715050162763013E-2</v>
      </c>
      <c r="K6" s="860">
        <f>K5/K13</f>
        <v>-6.260583702789195E-2</v>
      </c>
      <c r="L6" s="861">
        <f>L5/L13</f>
        <v>-2.0378548757085058E-2</v>
      </c>
      <c r="M6" s="861">
        <f>M5/M13</f>
        <v>-3.0408775390492701E-3</v>
      </c>
      <c r="N6" s="862">
        <f>N5/N13</f>
        <v>-1.3530745138848391E-5</v>
      </c>
    </row>
    <row r="7" spans="2:14" x14ac:dyDescent="0.25">
      <c r="B7" s="856" t="s">
        <v>2278</v>
      </c>
      <c r="C7" s="863"/>
      <c r="D7" s="864">
        <f>KOPĀ!D8</f>
        <v>1.8805700000000001</v>
      </c>
      <c r="E7" s="857">
        <f>KOPĀ!E8</f>
        <v>603.54405190000011</v>
      </c>
      <c r="F7" s="857">
        <f>KOPĀ!F8</f>
        <v>621.568939</v>
      </c>
      <c r="G7" s="858">
        <f>KOPĀ!G8</f>
        <v>199.46437569000003</v>
      </c>
      <c r="I7" s="856" t="s">
        <v>2278</v>
      </c>
      <c r="J7" s="863"/>
      <c r="K7" s="864">
        <f>KOPĀ!K8</f>
        <v>-1.8805700000000001</v>
      </c>
      <c r="L7" s="857">
        <f>KOPĀ!L8</f>
        <v>-603.54405190000011</v>
      </c>
      <c r="M7" s="857">
        <f>KOPĀ!M8</f>
        <v>-621.568939</v>
      </c>
      <c r="N7" s="858">
        <f>KOPĀ!N8</f>
        <v>-199.46437569000003</v>
      </c>
    </row>
    <row r="8" spans="2:14" x14ac:dyDescent="0.25">
      <c r="B8" s="859"/>
      <c r="C8" s="865"/>
      <c r="D8" s="860">
        <f>D7/D13</f>
        <v>5.5990043224014453E-5</v>
      </c>
      <c r="E8" s="861">
        <f>E7/E13</f>
        <v>1.5443519237471828E-2</v>
      </c>
      <c r="F8" s="861">
        <f>F7/F13</f>
        <v>1.4244020042748877E-2</v>
      </c>
      <c r="G8" s="862">
        <f>G7/G13</f>
        <v>4.5709725613279914E-3</v>
      </c>
      <c r="I8" s="859"/>
      <c r="J8" s="865"/>
      <c r="K8" s="860">
        <f>K7/K13</f>
        <v>-5.5990043224014453E-5</v>
      </c>
      <c r="L8" s="861">
        <f>L7/L13</f>
        <v>-1.5443519237471828E-2</v>
      </c>
      <c r="M8" s="861">
        <f>M7/M13</f>
        <v>-1.4244020042748877E-2</v>
      </c>
      <c r="N8" s="862">
        <f>N7/N13</f>
        <v>-4.5709725613279914E-3</v>
      </c>
    </row>
    <row r="9" spans="2:14" x14ac:dyDescent="0.25">
      <c r="B9" s="856" t="s">
        <v>2235</v>
      </c>
      <c r="C9" s="866"/>
      <c r="D9" s="866"/>
      <c r="E9" s="857">
        <f>KOPĀ!E10</f>
        <v>81.010131999999984</v>
      </c>
      <c r="F9" s="857">
        <f>KOPĀ!F10</f>
        <v>102</v>
      </c>
      <c r="G9" s="857">
        <f>KOPĀ!G10</f>
        <v>11.636780999999999</v>
      </c>
      <c r="I9" s="856" t="str">
        <f>B9</f>
        <v>Ukraine</v>
      </c>
      <c r="J9" s="866"/>
      <c r="K9" s="866"/>
      <c r="L9" s="857">
        <f>KOPĀ!L10</f>
        <v>-81.010131999999984</v>
      </c>
      <c r="M9" s="857">
        <f>KOPĀ!M10</f>
        <v>-102</v>
      </c>
      <c r="N9" s="857">
        <f>KOPĀ!N10</f>
        <v>-11.636780999999999</v>
      </c>
    </row>
    <row r="10" spans="2:14" x14ac:dyDescent="0.25">
      <c r="B10" s="867"/>
      <c r="C10" s="865"/>
      <c r="D10" s="865"/>
      <c r="E10" s="861">
        <f>E9/E13</f>
        <v>2.0728918262612932E-3</v>
      </c>
      <c r="F10" s="861">
        <f>F9/F13</f>
        <v>2.3374559975565083E-3</v>
      </c>
      <c r="G10" s="861">
        <f>G9/G13</f>
        <v>2.6667121118334919E-4</v>
      </c>
      <c r="I10" s="867"/>
      <c r="J10" s="865"/>
      <c r="K10" s="865"/>
      <c r="L10" s="861">
        <f>L9/L13</f>
        <v>-2.0728918262612932E-3</v>
      </c>
      <c r="M10" s="861">
        <f>M9/M13</f>
        <v>-2.3374559975565083E-3</v>
      </c>
      <c r="N10" s="861">
        <f>N9/N13</f>
        <v>-2.6667121118334919E-4</v>
      </c>
    </row>
    <row r="11" spans="2:14" ht="15.75" x14ac:dyDescent="0.25">
      <c r="B11" s="868" t="s">
        <v>306</v>
      </c>
      <c r="C11" s="869">
        <f>C5+C7+C9</f>
        <v>1281.6858186900001</v>
      </c>
      <c r="D11" s="869">
        <f>D5+D7+D9</f>
        <v>2317.0079603028998</v>
      </c>
      <c r="E11" s="870">
        <f>E5+E7+E9</f>
        <v>1650.43493954</v>
      </c>
      <c r="F11" s="870">
        <f>F5+F7+F9</f>
        <v>824.37740214999997</v>
      </c>
      <c r="G11" s="871">
        <f>G5+G7+G9</f>
        <v>211.69160032000002</v>
      </c>
      <c r="I11" s="868" t="str">
        <f>B11</f>
        <v>TOTAL</v>
      </c>
      <c r="J11" s="869">
        <f>J5+J7+J9</f>
        <v>-960.77715680799997</v>
      </c>
      <c r="K11" s="869">
        <f>K5+K7+K9</f>
        <v>-2104.6590670354458</v>
      </c>
      <c r="L11" s="870">
        <f>L5+L7+L9</f>
        <v>-1480.9628068031229</v>
      </c>
      <c r="M11" s="870">
        <f>M5+M7+M9</f>
        <v>-856.26427500087675</v>
      </c>
      <c r="N11" s="871">
        <f>N5+N7+N9</f>
        <v>-211.69160032000002</v>
      </c>
    </row>
    <row r="12" spans="2:14" ht="15.75" x14ac:dyDescent="0.25">
      <c r="B12" s="872" t="s">
        <v>307</v>
      </c>
      <c r="C12" s="873">
        <f>C11/C13</f>
        <v>4.2308177025880835E-2</v>
      </c>
      <c r="D12" s="873">
        <f>D11/D13</f>
        <v>6.8984071769593758E-2</v>
      </c>
      <c r="E12" s="873">
        <f>E11/E13</f>
        <v>4.2231422310835369E-2</v>
      </c>
      <c r="F12" s="873">
        <f>F11/F13</f>
        <v>1.8891626499074225E-2</v>
      </c>
      <c r="G12" s="874">
        <f>G11/G13</f>
        <v>4.851174517650189E-3</v>
      </c>
      <c r="I12" s="872" t="str">
        <f>B12</f>
        <v>% of GDP</v>
      </c>
      <c r="J12" s="873">
        <f>J11/J13</f>
        <v>-3.1715050162763013E-2</v>
      </c>
      <c r="K12" s="873">
        <f>K11/K13</f>
        <v>-6.2661827071115964E-2</v>
      </c>
      <c r="L12" s="873">
        <f>L11/L13</f>
        <v>-3.7894959820818176E-2</v>
      </c>
      <c r="M12" s="873">
        <f>M11/M13</f>
        <v>-1.9622353579354653E-2</v>
      </c>
      <c r="N12" s="874">
        <f>N11/N13</f>
        <v>-4.851174517650189E-3</v>
      </c>
    </row>
    <row r="13" spans="2:14" x14ac:dyDescent="0.25">
      <c r="B13" s="875" t="s">
        <v>2236</v>
      </c>
      <c r="C13" s="891">
        <f>KOPĀ!C14</f>
        <v>30294.044999999998</v>
      </c>
      <c r="D13" s="892">
        <f>KOPĀ!D14</f>
        <v>33587.578999999998</v>
      </c>
      <c r="E13" s="892">
        <f>KOPĀ!E14</f>
        <v>39080.733</v>
      </c>
      <c r="F13" s="892">
        <f>KOPĀ!F14</f>
        <v>43637.185087816455</v>
      </c>
      <c r="G13" s="892">
        <f>KOPĀ!G14</f>
        <v>43637.185087816455</v>
      </c>
      <c r="I13" s="875" t="str">
        <f>B13</f>
        <v>GDP</v>
      </c>
      <c r="J13" s="892">
        <f>C13</f>
        <v>30294.044999999998</v>
      </c>
      <c r="K13" s="892">
        <f t="shared" ref="K13:N13" si="0">D13</f>
        <v>33587.578999999998</v>
      </c>
      <c r="L13" s="892">
        <f t="shared" si="0"/>
        <v>39080.733</v>
      </c>
      <c r="M13" s="892">
        <f t="shared" si="0"/>
        <v>43637.185087816455</v>
      </c>
      <c r="N13" s="892">
        <f t="shared" si="0"/>
        <v>43637.185087816455</v>
      </c>
    </row>
    <row r="36" ht="26.45" customHeight="1" x14ac:dyDescent="0.25"/>
    <row r="37" ht="37.5" customHeight="1" x14ac:dyDescent="0.25"/>
  </sheetData>
  <mergeCells count="2">
    <mergeCell ref="F3:G3"/>
    <mergeCell ref="M3:N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0D4DC-0333-4A45-A5D1-1F87A77278BE}">
  <sheetPr>
    <tabColor rgb="FF00B050"/>
  </sheetPr>
  <dimension ref="A1:K42"/>
  <sheetViews>
    <sheetView topLeftCell="A3" zoomScale="60" zoomScaleNormal="60" workbookViewId="0">
      <selection activeCell="F11" sqref="F11"/>
    </sheetView>
  </sheetViews>
  <sheetFormatPr defaultColWidth="8.85546875" defaultRowHeight="15" x14ac:dyDescent="0.25"/>
  <cols>
    <col min="1" max="1" width="89.7109375" customWidth="1"/>
    <col min="2" max="5" width="12" customWidth="1"/>
    <col min="6" max="7" width="11.5703125" customWidth="1"/>
    <col min="8" max="8" width="12.28515625" customWidth="1"/>
    <col min="9" max="9" width="12" customWidth="1"/>
    <col min="10" max="10" width="10.7109375" customWidth="1"/>
    <col min="11" max="11" width="15.140625" customWidth="1"/>
  </cols>
  <sheetData>
    <row r="1" spans="1:11" ht="15.75" x14ac:dyDescent="0.25">
      <c r="A1" s="604"/>
      <c r="B1" s="605"/>
      <c r="C1" s="605"/>
      <c r="D1" s="605"/>
      <c r="E1" s="606"/>
      <c r="F1" s="606"/>
      <c r="G1" s="606"/>
      <c r="K1" s="900"/>
    </row>
    <row r="2" spans="1:11" ht="21.75" x14ac:dyDescent="0.3">
      <c r="A2" s="607" t="s">
        <v>2237</v>
      </c>
      <c r="B2" s="605"/>
      <c r="C2" s="605"/>
      <c r="D2" s="605"/>
      <c r="E2" s="605"/>
      <c r="F2" s="605"/>
      <c r="G2" s="605"/>
    </row>
    <row r="3" spans="1:11" ht="19.5" thickBot="1" x14ac:dyDescent="0.35">
      <c r="A3" s="607"/>
      <c r="B3" s="605"/>
      <c r="C3" s="605"/>
      <c r="D3" s="605"/>
      <c r="E3" s="605"/>
      <c r="F3" s="605"/>
      <c r="G3" s="605"/>
    </row>
    <row r="4" spans="1:11" ht="16.5" thickBot="1" x14ac:dyDescent="0.3">
      <c r="A4" s="1088" t="s">
        <v>1764</v>
      </c>
      <c r="B4" s="1125">
        <v>2020</v>
      </c>
      <c r="C4" s="1126"/>
      <c r="D4" s="1125">
        <v>2021</v>
      </c>
      <c r="E4" s="1126"/>
      <c r="F4" s="1131">
        <v>2022</v>
      </c>
      <c r="G4" s="1132"/>
      <c r="H4" s="1131">
        <v>2023</v>
      </c>
      <c r="I4" s="1133"/>
      <c r="J4" s="1133"/>
      <c r="K4" s="1132"/>
    </row>
    <row r="5" spans="1:11" ht="15.75" x14ac:dyDescent="0.25">
      <c r="A5" s="1089"/>
      <c r="B5" s="1127" t="s">
        <v>1982</v>
      </c>
      <c r="C5" s="1128"/>
      <c r="D5" s="1127" t="s">
        <v>1982</v>
      </c>
      <c r="E5" s="1128"/>
      <c r="F5" s="1127" t="s">
        <v>1982</v>
      </c>
      <c r="G5" s="1128"/>
      <c r="H5" s="1129" t="s">
        <v>2272</v>
      </c>
      <c r="I5" s="1130"/>
      <c r="J5" s="1127" t="s">
        <v>2393</v>
      </c>
      <c r="K5" s="1128"/>
    </row>
    <row r="6" spans="1:11" ht="47.25" x14ac:dyDescent="0.25">
      <c r="A6" s="1090"/>
      <c r="B6" s="601" t="s">
        <v>2238</v>
      </c>
      <c r="C6" s="608" t="s">
        <v>2089</v>
      </c>
      <c r="D6" s="601" t="s">
        <v>2238</v>
      </c>
      <c r="E6" s="608" t="s">
        <v>2089</v>
      </c>
      <c r="F6" s="601" t="s">
        <v>2238</v>
      </c>
      <c r="G6" s="608" t="s">
        <v>2089</v>
      </c>
      <c r="H6" s="601" t="s">
        <v>1765</v>
      </c>
      <c r="I6" s="608" t="s">
        <v>2394</v>
      </c>
      <c r="J6" s="601" t="s">
        <v>2238</v>
      </c>
      <c r="K6" s="608" t="s">
        <v>2394</v>
      </c>
    </row>
    <row r="7" spans="1:11" ht="15.75" x14ac:dyDescent="0.25">
      <c r="A7" s="628" t="s">
        <v>1766</v>
      </c>
      <c r="B7" s="622">
        <f>'Covid-19'!B7</f>
        <v>1281.6858186900001</v>
      </c>
      <c r="C7" s="623">
        <f>'Covid-19'!C7</f>
        <v>-960.77715680799997</v>
      </c>
      <c r="D7" s="622">
        <f>'Covid-19'!D7</f>
        <v>2315.1273903029</v>
      </c>
      <c r="E7" s="623">
        <f>'Covid-19'!E7</f>
        <v>-2102.778497035446</v>
      </c>
      <c r="F7" s="622">
        <f>'Covid-19'!F7</f>
        <v>965.88075563999985</v>
      </c>
      <c r="G7" s="623">
        <f>'Covid-19'!G7</f>
        <v>-796.40862290312305</v>
      </c>
      <c r="H7" s="622">
        <f>'Covid-19'!H7</f>
        <v>100.80846314999999</v>
      </c>
      <c r="I7" s="623">
        <f>'Covid-19'!I7</f>
        <v>-132.69533600087681</v>
      </c>
      <c r="J7" s="622">
        <f>'Covid-19'!J7</f>
        <v>0.59044363</v>
      </c>
      <c r="K7" s="623">
        <f>'Covid-19'!K7</f>
        <v>-0.59044363</v>
      </c>
    </row>
    <row r="8" spans="1:11" ht="15.75" x14ac:dyDescent="0.25">
      <c r="A8" s="629" t="s">
        <v>307</v>
      </c>
      <c r="B8" s="616">
        <f>'Covid-19'!B8</f>
        <v>4.2308177025880835E-2</v>
      </c>
      <c r="C8" s="617">
        <f>'Covid-19'!C8</f>
        <v>-3.1715050162763013E-2</v>
      </c>
      <c r="D8" s="616">
        <f>'Covid-19'!D8</f>
        <v>6.8928081726369744E-2</v>
      </c>
      <c r="E8" s="617">
        <f>'Covid-19'!E8</f>
        <v>-6.260583702789195E-2</v>
      </c>
      <c r="F8" s="616">
        <f>'Covid-19'!F8</f>
        <v>2.4715011247102243E-2</v>
      </c>
      <c r="G8" s="617">
        <f>'Covid-19'!G8</f>
        <v>-2.0378548757085058E-2</v>
      </c>
      <c r="H8" s="616">
        <f>'Covid-19'!H8</f>
        <v>2.3101504587688406E-3</v>
      </c>
      <c r="I8" s="617">
        <f>'Covid-19'!I8</f>
        <v>-3.0408775390492701E-3</v>
      </c>
      <c r="J8" s="616">
        <f>'Covid-19'!J8</f>
        <v>1.3530745138848391E-5</v>
      </c>
      <c r="K8" s="617">
        <f>'Covid-19'!K8</f>
        <v>-1.3530745138848391E-5</v>
      </c>
    </row>
    <row r="9" spans="1:11" ht="15.75" x14ac:dyDescent="0.25">
      <c r="A9" s="630" t="s">
        <v>2401</v>
      </c>
      <c r="B9" s="602">
        <f>'Covid-19'!B9</f>
        <v>30294.044999999998</v>
      </c>
      <c r="C9" s="609">
        <f>'Covid-19'!C9</f>
        <v>30294.044999999998</v>
      </c>
      <c r="D9" s="602">
        <f>'Covid-19'!D9</f>
        <v>33587.578999999998</v>
      </c>
      <c r="E9" s="609">
        <f>'Covid-19'!E9</f>
        <v>33587.578999999998</v>
      </c>
      <c r="F9" s="602">
        <f>'Covid-19'!F9</f>
        <v>39080.733</v>
      </c>
      <c r="G9" s="609">
        <f>'Covid-19'!G9</f>
        <v>39080.733</v>
      </c>
      <c r="H9" s="602">
        <f>'Covid-19'!H9</f>
        <v>43637.185087816455</v>
      </c>
      <c r="I9" s="609">
        <f>'Covid-19'!I9</f>
        <v>43637.185087816455</v>
      </c>
      <c r="J9" s="602">
        <f>'Covid-19'!J9</f>
        <v>43637.185087816455</v>
      </c>
      <c r="K9" s="609">
        <f>'Covid-19'!K9</f>
        <v>43637.185087816455</v>
      </c>
    </row>
    <row r="10" spans="1:11" ht="15.75" x14ac:dyDescent="0.25">
      <c r="A10" s="631" t="s">
        <v>2239</v>
      </c>
      <c r="B10" s="618">
        <f>'Covid-19'!B10</f>
        <v>252.99299999999999</v>
      </c>
      <c r="C10" s="619">
        <f>'Covid-19'!C10</f>
        <v>-127.12445199999999</v>
      </c>
      <c r="D10" s="618">
        <f>'Covid-19'!D10</f>
        <v>93.55</v>
      </c>
      <c r="E10" s="619">
        <f>'Covid-19'!E10</f>
        <v>-12.759348012</v>
      </c>
      <c r="F10" s="618">
        <f>'Covid-19'!F10</f>
        <v>36.980000000000004</v>
      </c>
      <c r="G10" s="619">
        <f>'Covid-19'!G10</f>
        <v>-5.6758423631231869</v>
      </c>
      <c r="H10" s="618">
        <f>'Covid-19'!H10</f>
        <v>5.5</v>
      </c>
      <c r="I10" s="619">
        <f>'Covid-19'!I10</f>
        <v>-4.9478989008768135</v>
      </c>
      <c r="J10" s="618">
        <f>'Covid-19'!J10</f>
        <v>0</v>
      </c>
      <c r="K10" s="619">
        <f>'Covid-19'!K10</f>
        <v>0</v>
      </c>
    </row>
    <row r="11" spans="1:11" ht="15.75" x14ac:dyDescent="0.25">
      <c r="A11" s="632" t="s">
        <v>741</v>
      </c>
      <c r="B11" s="603">
        <f>'Covid-19'!B11</f>
        <v>161.99299999999999</v>
      </c>
      <c r="C11" s="612">
        <f>'Covid-19'!C11</f>
        <v>-36.124451999999998</v>
      </c>
      <c r="D11" s="603">
        <f>'Covid-19'!D11</f>
        <v>62.55</v>
      </c>
      <c r="E11" s="612">
        <f>'Covid-19'!E11</f>
        <v>-12.759348012</v>
      </c>
      <c r="F11" s="603">
        <f>'Covid-19'!F11</f>
        <v>1.48</v>
      </c>
      <c r="G11" s="620">
        <f>'Covid-19'!G11</f>
        <v>-0.17584236312318702</v>
      </c>
      <c r="H11" s="603">
        <f>'Covid-19'!H11</f>
        <v>0</v>
      </c>
      <c r="I11" s="620">
        <f>'Covid-19'!I11</f>
        <v>0.55210109912318683</v>
      </c>
      <c r="J11" s="603">
        <f>'Covid-19'!J11</f>
        <v>0</v>
      </c>
      <c r="K11" s="620">
        <f>'Covid-19'!K11</f>
        <v>0</v>
      </c>
    </row>
    <row r="12" spans="1:11" ht="15.75" x14ac:dyDescent="0.25">
      <c r="A12" s="632" t="s">
        <v>746</v>
      </c>
      <c r="B12" s="603">
        <f>'Covid-19'!B12</f>
        <v>60</v>
      </c>
      <c r="C12" s="612">
        <f>'Covid-19'!C12</f>
        <v>-60</v>
      </c>
      <c r="D12" s="603">
        <f>'Covid-19'!D12</f>
        <v>0</v>
      </c>
      <c r="E12" s="612">
        <f>'Covid-19'!E12</f>
        <v>0</v>
      </c>
      <c r="F12" s="603">
        <f>'Covid-19'!F12</f>
        <v>0</v>
      </c>
      <c r="G12" s="620">
        <f>'Covid-19'!G12</f>
        <v>0</v>
      </c>
      <c r="H12" s="603">
        <f>'Covid-19'!H12</f>
        <v>0</v>
      </c>
      <c r="I12" s="620">
        <f>'Covid-19'!I12</f>
        <v>0</v>
      </c>
      <c r="J12" s="603">
        <f>'Covid-19'!J12</f>
        <v>0</v>
      </c>
      <c r="K12" s="620">
        <f>'Covid-19'!K12</f>
        <v>0</v>
      </c>
    </row>
    <row r="13" spans="1:11" ht="15.75" x14ac:dyDescent="0.25">
      <c r="A13" s="632" t="s">
        <v>744</v>
      </c>
      <c r="B13" s="603">
        <f>'Covid-19'!B13</f>
        <v>31</v>
      </c>
      <c r="C13" s="612">
        <f>'Covid-19'!C13</f>
        <v>-31</v>
      </c>
      <c r="D13" s="603">
        <f>'Covid-19'!D13</f>
        <v>31</v>
      </c>
      <c r="E13" s="612">
        <f>'Covid-19'!E13</f>
        <v>0</v>
      </c>
      <c r="F13" s="603">
        <f>'Covid-19'!F13</f>
        <v>30</v>
      </c>
      <c r="G13" s="620">
        <f>'Covid-19'!G13</f>
        <v>0</v>
      </c>
      <c r="H13" s="603">
        <f>'Covid-19'!H13</f>
        <v>0</v>
      </c>
      <c r="I13" s="620">
        <f>'Covid-19'!I13</f>
        <v>0</v>
      </c>
      <c r="J13" s="603">
        <f>'Covid-19'!J13</f>
        <v>0</v>
      </c>
      <c r="K13" s="612">
        <f>'Covid-19'!K13</f>
        <v>0</v>
      </c>
    </row>
    <row r="14" spans="1:11" ht="15.75" x14ac:dyDescent="0.25">
      <c r="A14" s="633" t="s">
        <v>2240</v>
      </c>
      <c r="B14" s="610">
        <f>'Covid-19'!B14</f>
        <v>129.587782</v>
      </c>
      <c r="C14" s="611">
        <f>'Covid-19'!C14</f>
        <v>-129.587782</v>
      </c>
      <c r="D14" s="610">
        <f>'Covid-19'!D14</f>
        <v>533.45613600000001</v>
      </c>
      <c r="E14" s="611">
        <f>'Covid-19'!E14</f>
        <v>-533.45613600000001</v>
      </c>
      <c r="F14" s="610">
        <f>'Covid-19'!F14</f>
        <v>87.069663000000006</v>
      </c>
      <c r="G14" s="611">
        <f>'Covid-19'!G14</f>
        <v>-87.069663000000006</v>
      </c>
      <c r="H14" s="610">
        <f>'Covid-19'!H14</f>
        <v>0</v>
      </c>
      <c r="I14" s="611">
        <f>'Covid-19'!I14</f>
        <v>0</v>
      </c>
      <c r="J14" s="610">
        <f>'Covid-19'!J14</f>
        <v>0</v>
      </c>
      <c r="K14" s="611">
        <f>'Covid-19'!K14</f>
        <v>0</v>
      </c>
    </row>
    <row r="15" spans="1:11" ht="15.75" x14ac:dyDescent="0.25">
      <c r="A15" s="632" t="s">
        <v>2241</v>
      </c>
      <c r="B15" s="603">
        <f>'Covid-19'!B15</f>
        <v>60.502936000000005</v>
      </c>
      <c r="C15" s="612">
        <f>'Covid-19'!C15</f>
        <v>-60.502936000000005</v>
      </c>
      <c r="D15" s="603">
        <f>'Covid-19'!D15</f>
        <v>135.88231999999999</v>
      </c>
      <c r="E15" s="612">
        <f>'Covid-19'!E15</f>
        <v>-135.88231999999999</v>
      </c>
      <c r="F15" s="603">
        <f>'Covid-19'!F15</f>
        <v>0</v>
      </c>
      <c r="G15" s="620">
        <f>'Covid-19'!G15</f>
        <v>0</v>
      </c>
      <c r="H15" s="603">
        <f>'Covid-19'!H15</f>
        <v>0</v>
      </c>
      <c r="I15" s="620">
        <f>'Covid-19'!I15</f>
        <v>0</v>
      </c>
      <c r="J15" s="603">
        <f>'Covid-19'!J15</f>
        <v>0</v>
      </c>
      <c r="K15" s="620">
        <f>'Covid-19'!K15</f>
        <v>0</v>
      </c>
    </row>
    <row r="16" spans="1:11" ht="15.75" x14ac:dyDescent="0.25">
      <c r="A16" s="634" t="s">
        <v>2242</v>
      </c>
      <c r="B16" s="603">
        <f>'Covid-19'!B16</f>
        <v>47.324961000000002</v>
      </c>
      <c r="C16" s="612">
        <f>'Covid-19'!C16</f>
        <v>-47.324961000000002</v>
      </c>
      <c r="D16" s="603">
        <f>'Covid-19'!D16</f>
        <v>32.712878000000003</v>
      </c>
      <c r="E16" s="612">
        <f>'Covid-19'!E16</f>
        <v>-32.712878000000003</v>
      </c>
      <c r="F16" s="603">
        <f>'Covid-19'!F16</f>
        <v>7.6351550000000001</v>
      </c>
      <c r="G16" s="621">
        <f>'Covid-19'!G16</f>
        <v>-7.6351550000000001</v>
      </c>
      <c r="H16" s="603">
        <f>'Covid-19'!H16</f>
        <v>0</v>
      </c>
      <c r="I16" s="621">
        <f>'Covid-19'!I16</f>
        <v>0</v>
      </c>
      <c r="J16" s="603">
        <f>'Covid-19'!J16</f>
        <v>0</v>
      </c>
      <c r="K16" s="621">
        <f>'Covid-19'!K16</f>
        <v>0</v>
      </c>
    </row>
    <row r="17" spans="1:11" ht="15.75" x14ac:dyDescent="0.25">
      <c r="A17" s="634" t="s">
        <v>756</v>
      </c>
      <c r="B17" s="603">
        <f>'Covid-19'!B17</f>
        <v>6.2191000000000003E-2</v>
      </c>
      <c r="C17" s="612">
        <f>'Covid-19'!C17</f>
        <v>-6.2191000000000003E-2</v>
      </c>
      <c r="D17" s="603">
        <f>'Covid-19'!D17</f>
        <v>2.873157</v>
      </c>
      <c r="E17" s="612">
        <f>'Covid-19'!E17</f>
        <v>-2.873157</v>
      </c>
      <c r="F17" s="603">
        <f>'Covid-19'!F17</f>
        <v>0</v>
      </c>
      <c r="G17" s="620">
        <f>'Covid-19'!G17</f>
        <v>0</v>
      </c>
      <c r="H17" s="603">
        <f>'Covid-19'!H17</f>
        <v>0</v>
      </c>
      <c r="I17" s="620">
        <f>'Covid-19'!I17</f>
        <v>0</v>
      </c>
      <c r="J17" s="603">
        <f>'Covid-19'!J17</f>
        <v>0</v>
      </c>
      <c r="K17" s="620">
        <f>'Covid-19'!K17</f>
        <v>0</v>
      </c>
    </row>
    <row r="18" spans="1:11" ht="15.75" x14ac:dyDescent="0.25">
      <c r="A18" s="634" t="s">
        <v>786</v>
      </c>
      <c r="B18" s="603">
        <f>'Covid-19'!B18</f>
        <v>5.1554669999999998</v>
      </c>
      <c r="C18" s="612">
        <f>'Covid-19'!C18</f>
        <v>-5.1554669999999998</v>
      </c>
      <c r="D18" s="603">
        <f>'Covid-19'!D18</f>
        <v>10.821989</v>
      </c>
      <c r="E18" s="612">
        <f>'Covid-19'!E18</f>
        <v>-10.821989</v>
      </c>
      <c r="F18" s="603">
        <f>'Covid-19'!F18</f>
        <v>0</v>
      </c>
      <c r="G18" s="620">
        <f>'Covid-19'!G18</f>
        <v>0</v>
      </c>
      <c r="H18" s="603">
        <f>'Covid-19'!H18</f>
        <v>0</v>
      </c>
      <c r="I18" s="620">
        <f>'Covid-19'!I18</f>
        <v>0</v>
      </c>
      <c r="J18" s="603">
        <f>'Covid-19'!J18</f>
        <v>0</v>
      </c>
      <c r="K18" s="620">
        <f>'Covid-19'!K18</f>
        <v>0</v>
      </c>
    </row>
    <row r="19" spans="1:11" ht="15.75" x14ac:dyDescent="0.25">
      <c r="A19" s="634" t="s">
        <v>2243</v>
      </c>
      <c r="B19" s="603">
        <f>'Covid-19'!B19</f>
        <v>2.8603730000000001</v>
      </c>
      <c r="C19" s="612">
        <f>'Covid-19'!C19</f>
        <v>-2.8603730000000001</v>
      </c>
      <c r="D19" s="603">
        <f>'Covid-19'!D19</f>
        <v>32.656832999999999</v>
      </c>
      <c r="E19" s="612">
        <f>'Covid-19'!E19</f>
        <v>-32.656832999999999</v>
      </c>
      <c r="F19" s="603">
        <f>'Covid-19'!F19</f>
        <v>49.010249999999999</v>
      </c>
      <c r="G19" s="620">
        <f>'Covid-19'!G19</f>
        <v>-49.010249999999999</v>
      </c>
      <c r="H19" s="603">
        <f>'Covid-19'!H19</f>
        <v>0</v>
      </c>
      <c r="I19" s="620">
        <f>'Covid-19'!I19</f>
        <v>0</v>
      </c>
      <c r="J19" s="603">
        <f>'Covid-19'!J19</f>
        <v>0</v>
      </c>
      <c r="K19" s="620">
        <f>'Covid-19'!K19</f>
        <v>0</v>
      </c>
    </row>
    <row r="20" spans="1:11" ht="15.75" x14ac:dyDescent="0.25">
      <c r="A20" s="634" t="s">
        <v>1133</v>
      </c>
      <c r="B20" s="603">
        <f>'Covid-19'!B20</f>
        <v>0</v>
      </c>
      <c r="C20" s="612">
        <f>'Covid-19'!C20</f>
        <v>0</v>
      </c>
      <c r="D20" s="603">
        <f>'Covid-19'!D20</f>
        <v>187.92102600000001</v>
      </c>
      <c r="E20" s="612">
        <f>'Covid-19'!E20</f>
        <v>-187.92102600000001</v>
      </c>
      <c r="F20" s="603">
        <f>'Covid-19'!F20</f>
        <v>0.218886</v>
      </c>
      <c r="G20" s="620">
        <f>'Covid-19'!G20</f>
        <v>-0.218886</v>
      </c>
      <c r="H20" s="603">
        <f>'Covid-19'!H20</f>
        <v>0</v>
      </c>
      <c r="I20" s="620">
        <f>'Covid-19'!I20</f>
        <v>0</v>
      </c>
      <c r="J20" s="603">
        <f>'Covid-19'!J20</f>
        <v>0</v>
      </c>
      <c r="K20" s="620">
        <f>'Covid-19'!K20</f>
        <v>0</v>
      </c>
    </row>
    <row r="21" spans="1:11" ht="15.75" x14ac:dyDescent="0.25">
      <c r="A21" s="634" t="s">
        <v>1173</v>
      </c>
      <c r="B21" s="603">
        <f>'Covid-19'!B21</f>
        <v>0</v>
      </c>
      <c r="C21" s="612">
        <f>'Covid-19'!C21</f>
        <v>0</v>
      </c>
      <c r="D21" s="603">
        <f>'Covid-19'!D21</f>
        <v>110.007152</v>
      </c>
      <c r="E21" s="612">
        <f>'Covid-19'!E21</f>
        <v>-110.007152</v>
      </c>
      <c r="F21" s="603">
        <f>'Covid-19'!F21</f>
        <v>1.8599999999999998E-2</v>
      </c>
      <c r="G21" s="620">
        <f>'Covid-19'!G21</f>
        <v>-1.8599999999999998E-2</v>
      </c>
      <c r="H21" s="603">
        <f>'Covid-19'!H21</f>
        <v>0</v>
      </c>
      <c r="I21" s="620">
        <f>'Covid-19'!I21</f>
        <v>0</v>
      </c>
      <c r="J21" s="603">
        <f>'Covid-19'!J21</f>
        <v>0</v>
      </c>
      <c r="K21" s="620">
        <f>'Covid-19'!K21</f>
        <v>0</v>
      </c>
    </row>
    <row r="22" spans="1:11" ht="15.75" x14ac:dyDescent="0.25">
      <c r="A22" s="634" t="s">
        <v>2244</v>
      </c>
      <c r="B22" s="603">
        <f>'Covid-19'!B22</f>
        <v>0</v>
      </c>
      <c r="C22" s="612">
        <f>'Covid-19'!C22</f>
        <v>0</v>
      </c>
      <c r="D22" s="603">
        <f>'Covid-19'!D22</f>
        <v>15.038055999999999</v>
      </c>
      <c r="E22" s="612">
        <f>'Covid-19'!E22</f>
        <v>-15.038055999999999</v>
      </c>
      <c r="F22" s="603">
        <f>'Covid-19'!F22</f>
        <v>23.75704</v>
      </c>
      <c r="G22" s="620">
        <f>'Covid-19'!G22</f>
        <v>-23.75704</v>
      </c>
      <c r="H22" s="603">
        <f>'Covid-19'!H22</f>
        <v>0</v>
      </c>
      <c r="I22" s="620">
        <f>'Covid-19'!I22</f>
        <v>0</v>
      </c>
      <c r="J22" s="603">
        <f>'Covid-19'!J22</f>
        <v>0</v>
      </c>
      <c r="K22" s="620">
        <f>'Covid-19'!K22</f>
        <v>0</v>
      </c>
    </row>
    <row r="23" spans="1:11" ht="15.75" x14ac:dyDescent="0.25">
      <c r="A23" s="633" t="s">
        <v>2245</v>
      </c>
      <c r="B23" s="610">
        <f>'Covid-19'!B23</f>
        <v>239.96399569000002</v>
      </c>
      <c r="C23" s="611">
        <f>'Covid-19'!C23</f>
        <v>-81.687714698000008</v>
      </c>
      <c r="D23" s="610">
        <f>'Covid-19'!D23</f>
        <v>133.71341889289999</v>
      </c>
      <c r="E23" s="611">
        <f>'Covid-19'!E23</f>
        <v>-91.726519613446044</v>
      </c>
      <c r="F23" s="610">
        <f>'Covid-19'!F23</f>
        <v>76.861741370000004</v>
      </c>
      <c r="G23" s="611">
        <f>'Covid-19'!G23</f>
        <v>-72.810081370000006</v>
      </c>
      <c r="H23" s="610">
        <f>'Covid-19'!H23</f>
        <v>31.90594815</v>
      </c>
      <c r="I23" s="611">
        <f>'Covid-19'!I23</f>
        <v>-30.475948150000001</v>
      </c>
      <c r="J23" s="610">
        <f>'Covid-19'!J23</f>
        <v>0.59044363</v>
      </c>
      <c r="K23" s="611">
        <f>'Covid-19'!K23</f>
        <v>-0.59044363</v>
      </c>
    </row>
    <row r="24" spans="1:11" ht="15.75" x14ac:dyDescent="0.25">
      <c r="A24" s="630" t="s">
        <v>12</v>
      </c>
      <c r="B24" s="603">
        <f>'Covid-19'!B24</f>
        <v>91.8</v>
      </c>
      <c r="C24" s="612">
        <f>'Covid-19'!C24</f>
        <v>-17.717400000000001</v>
      </c>
      <c r="D24" s="603">
        <f>'Covid-19'!D24</f>
        <v>14.8</v>
      </c>
      <c r="E24" s="612">
        <f>'Covid-19'!E24</f>
        <v>-2.8564000000000003</v>
      </c>
      <c r="F24" s="603">
        <f>'Covid-19'!F24</f>
        <v>0</v>
      </c>
      <c r="G24" s="621">
        <f>'Covid-19'!G24</f>
        <v>0</v>
      </c>
      <c r="H24" s="603">
        <f>'Covid-19'!H24</f>
        <v>0</v>
      </c>
      <c r="I24" s="621">
        <f>'Covid-19'!I24</f>
        <v>0</v>
      </c>
      <c r="J24" s="603">
        <f>'Covid-19'!J24</f>
        <v>0</v>
      </c>
      <c r="K24" s="621">
        <f>'Covid-19'!K24</f>
        <v>0</v>
      </c>
    </row>
    <row r="25" spans="1:11" ht="15.75" x14ac:dyDescent="0.25">
      <c r="A25" s="630" t="s">
        <v>11</v>
      </c>
      <c r="B25" s="603">
        <f>'Covid-19'!B25</f>
        <v>3.0398809999999998</v>
      </c>
      <c r="C25" s="612">
        <f>'Covid-19'!C25</f>
        <v>-0.51070000800000004</v>
      </c>
      <c r="D25" s="603">
        <f>'Covid-19'!D25</f>
        <v>5.8999999999999997E-2</v>
      </c>
      <c r="E25" s="612">
        <f>'Covid-19'!E25</f>
        <v>-9.9120000000000007E-3</v>
      </c>
      <c r="F25" s="603">
        <f>'Covid-19'!F25</f>
        <v>0</v>
      </c>
      <c r="G25" s="621">
        <f>'Covid-19'!G25</f>
        <v>0</v>
      </c>
      <c r="H25" s="603">
        <f>'Covid-19'!H25</f>
        <v>0</v>
      </c>
      <c r="I25" s="621">
        <f>'Covid-19'!I25</f>
        <v>0</v>
      </c>
      <c r="J25" s="603">
        <f>'Covid-19'!J25</f>
        <v>0</v>
      </c>
      <c r="K25" s="621">
        <f>'Covid-19'!K25</f>
        <v>0</v>
      </c>
    </row>
    <row r="26" spans="1:11" ht="15.75" x14ac:dyDescent="0.25">
      <c r="A26" s="632" t="s">
        <v>95</v>
      </c>
      <c r="B26" s="603">
        <f>'Covid-19'!B26</f>
        <v>92.5</v>
      </c>
      <c r="C26" s="612">
        <f>'Covid-19'!C26</f>
        <v>-13.1165</v>
      </c>
      <c r="D26" s="603">
        <f>'Covid-19'!D26</f>
        <v>13.3</v>
      </c>
      <c r="E26" s="612">
        <f>'Covid-19'!E26</f>
        <v>-1.8859400000000002</v>
      </c>
      <c r="F26" s="603">
        <f>'Covid-19'!F26</f>
        <v>3.1</v>
      </c>
      <c r="G26" s="621">
        <f>'Covid-19'!G26</f>
        <v>-0.43958000000000003</v>
      </c>
      <c r="H26" s="603">
        <f>'Covid-19'!H26</f>
        <v>0</v>
      </c>
      <c r="I26" s="621">
        <f>'Covid-19'!I26</f>
        <v>0</v>
      </c>
      <c r="J26" s="603">
        <f>'Covid-19'!J26</f>
        <v>0</v>
      </c>
      <c r="K26" s="621">
        <f>'Covid-19'!K26</f>
        <v>0</v>
      </c>
    </row>
    <row r="27" spans="1:11" ht="15.75" x14ac:dyDescent="0.25">
      <c r="A27" s="632" t="s">
        <v>817</v>
      </c>
      <c r="B27" s="603">
        <f>'Covid-19'!B27</f>
        <v>0</v>
      </c>
      <c r="C27" s="612">
        <f>'Covid-19'!C27</f>
        <v>0</v>
      </c>
      <c r="D27" s="603">
        <f>'Covid-19'!D27</f>
        <v>16.088100000000001</v>
      </c>
      <c r="E27" s="612">
        <f>'Covid-19'!E27</f>
        <v>0</v>
      </c>
      <c r="F27" s="603">
        <f>'Covid-19'!F27</f>
        <v>1.3</v>
      </c>
      <c r="G27" s="620">
        <f>'Covid-19'!G27</f>
        <v>0</v>
      </c>
      <c r="H27" s="603">
        <f>'Covid-19'!H27</f>
        <v>0</v>
      </c>
      <c r="I27" s="620">
        <f>'Covid-19'!I27</f>
        <v>0</v>
      </c>
      <c r="J27" s="603">
        <f>'Covid-19'!J27</f>
        <v>0</v>
      </c>
      <c r="K27" s="620">
        <f>'Covid-19'!K27</f>
        <v>0</v>
      </c>
    </row>
    <row r="28" spans="1:11" ht="15.95" customHeight="1" x14ac:dyDescent="0.25">
      <c r="A28" s="632" t="s">
        <v>2246</v>
      </c>
      <c r="B28" s="603">
        <f>'Covid-19'!B28</f>
        <v>0</v>
      </c>
      <c r="C28" s="612">
        <f>'Covid-19'!C28</f>
        <v>0</v>
      </c>
      <c r="D28" s="603">
        <f>'Covid-19'!D28</f>
        <v>0</v>
      </c>
      <c r="E28" s="612">
        <f>'Covid-19'!E28</f>
        <v>0</v>
      </c>
      <c r="F28" s="603">
        <f>'Covid-19'!F28</f>
        <v>0</v>
      </c>
      <c r="G28" s="620">
        <f>'Covid-19'!G28</f>
        <v>0</v>
      </c>
      <c r="H28" s="603">
        <f>'Covid-19'!H28</f>
        <v>11</v>
      </c>
      <c r="I28" s="620">
        <f>'Covid-19'!I28</f>
        <v>-9.57</v>
      </c>
      <c r="J28" s="603">
        <f>'Covid-19'!J28</f>
        <v>0</v>
      </c>
      <c r="K28" s="620">
        <f>'Covid-19'!K28</f>
        <v>0</v>
      </c>
    </row>
    <row r="29" spans="1:11" ht="15.75" x14ac:dyDescent="0.25">
      <c r="A29" s="630" t="s">
        <v>2247</v>
      </c>
      <c r="B29" s="603">
        <f>'Covid-19'!B29</f>
        <v>50.124114689999999</v>
      </c>
      <c r="C29" s="612">
        <f>'Covid-19'!C29</f>
        <v>-50.124114689999999</v>
      </c>
      <c r="D29" s="603">
        <f>'Covid-19'!D29</f>
        <v>83.737523469999999</v>
      </c>
      <c r="E29" s="612">
        <f>'Covid-19'!E29</f>
        <v>-83.737523469999999</v>
      </c>
      <c r="F29" s="603">
        <f>'Covid-19'!F29</f>
        <v>68.161741370000001</v>
      </c>
      <c r="G29" s="621">
        <f>'Covid-19'!G29</f>
        <v>-68.161741370000001</v>
      </c>
      <c r="H29" s="603">
        <f>'Covid-19'!H29</f>
        <v>20.90594815</v>
      </c>
      <c r="I29" s="621">
        <f>'Covid-19'!I29</f>
        <v>-20.90594815</v>
      </c>
      <c r="J29" s="603">
        <f>'Covid-19'!J29</f>
        <v>0.59044363</v>
      </c>
      <c r="K29" s="621">
        <f>'Covid-19'!K29</f>
        <v>-0.59044363</v>
      </c>
    </row>
    <row r="30" spans="1:11" ht="15.75" x14ac:dyDescent="0.25">
      <c r="A30" s="633" t="s">
        <v>122</v>
      </c>
      <c r="B30" s="610">
        <f>'Covid-19'!B30</f>
        <v>631.83905000000004</v>
      </c>
      <c r="C30" s="611">
        <f>'Covid-19'!C30</f>
        <v>-622.37720810999997</v>
      </c>
      <c r="D30" s="610">
        <f>'Covid-19'!D30</f>
        <v>1497.2107644100001</v>
      </c>
      <c r="E30" s="611">
        <f>'Covid-19'!E30</f>
        <v>-1456.25409341</v>
      </c>
      <c r="F30" s="610">
        <f>'Covid-19'!F30</f>
        <v>594.38529026999981</v>
      </c>
      <c r="G30" s="611">
        <f>'Covid-19'!G30</f>
        <v>-623.97303616999989</v>
      </c>
      <c r="H30" s="610">
        <f>'Covid-19'!H30</f>
        <v>63.402515000000001</v>
      </c>
      <c r="I30" s="611">
        <f>'Covid-19'!I30</f>
        <v>-97.271488949999991</v>
      </c>
      <c r="J30" s="610">
        <f>'Covid-19'!J30</f>
        <v>0</v>
      </c>
      <c r="K30" s="611">
        <f>'Covid-19'!K30</f>
        <v>0</v>
      </c>
    </row>
    <row r="31" spans="1:11" ht="15.75" x14ac:dyDescent="0.25">
      <c r="A31" s="630" t="s">
        <v>1997</v>
      </c>
      <c r="B31" s="603">
        <f>'Covid-19'!B31</f>
        <v>133.10977500000001</v>
      </c>
      <c r="C31" s="612">
        <f>'Covid-19'!C31</f>
        <v>-123.64793311000001</v>
      </c>
      <c r="D31" s="603">
        <f>'Covid-19'!D31</f>
        <v>578.44283900000016</v>
      </c>
      <c r="E31" s="612">
        <f>'Covid-19'!E31</f>
        <v>-538.17287899999985</v>
      </c>
      <c r="F31" s="603">
        <f>'Covid-19'!F31</f>
        <v>378.4128495999999</v>
      </c>
      <c r="G31" s="621">
        <f>'Covid-19'!G31</f>
        <v>-408.00059549999992</v>
      </c>
      <c r="H31" s="603">
        <f>'Covid-19'!H31</f>
        <v>63.402515000000001</v>
      </c>
      <c r="I31" s="621">
        <f>'Covid-19'!I31</f>
        <v>-83.803772949999995</v>
      </c>
      <c r="J31" s="603">
        <f>'Covid-19'!J31</f>
        <v>0</v>
      </c>
      <c r="K31" s="621">
        <f>'Covid-19'!K31</f>
        <v>0</v>
      </c>
    </row>
    <row r="32" spans="1:11" ht="15.75" x14ac:dyDescent="0.25">
      <c r="A32" s="630" t="s">
        <v>1957</v>
      </c>
      <c r="B32" s="603">
        <f>'Covid-19'!B32</f>
        <v>408.375744</v>
      </c>
      <c r="C32" s="612">
        <f>'Covid-19'!C32</f>
        <v>-408.375744</v>
      </c>
      <c r="D32" s="603">
        <f>'Covid-19'!D32</f>
        <v>227.910798</v>
      </c>
      <c r="E32" s="612">
        <f>'Covid-19'!E32</f>
        <v>-227.910798</v>
      </c>
      <c r="F32" s="603">
        <f>'Covid-19'!F32</f>
        <v>68.769563000000005</v>
      </c>
      <c r="G32" s="621">
        <f>'Covid-19'!G32</f>
        <v>-68.769563000000005</v>
      </c>
      <c r="H32" s="603">
        <f>'Covid-19'!H32</f>
        <v>0</v>
      </c>
      <c r="I32" s="621">
        <f>'Covid-19'!I32</f>
        <v>0</v>
      </c>
      <c r="J32" s="603">
        <f>'Covid-19'!J32</f>
        <v>0</v>
      </c>
      <c r="K32" s="621">
        <f>'Covid-19'!K32</f>
        <v>0</v>
      </c>
    </row>
    <row r="33" spans="1:11" ht="15.75" x14ac:dyDescent="0.25">
      <c r="A33" s="630" t="s">
        <v>1767</v>
      </c>
      <c r="B33" s="603">
        <f>'Covid-19'!B33</f>
        <v>6.7655999999999994E-2</v>
      </c>
      <c r="C33" s="612">
        <f>'Covid-19'!C33</f>
        <v>-6.7655999999999994E-2</v>
      </c>
      <c r="D33" s="603">
        <f>'Covid-19'!D33</f>
        <v>513.12829199999999</v>
      </c>
      <c r="E33" s="612">
        <f>'Covid-19'!E33</f>
        <v>-513.12829199999999</v>
      </c>
      <c r="F33" s="603">
        <f>'Covid-19'!F33</f>
        <v>55.725071</v>
      </c>
      <c r="G33" s="620">
        <f>'Covid-19'!G33</f>
        <v>-55.725071</v>
      </c>
      <c r="H33" s="603">
        <f>'Covid-19'!H33</f>
        <v>0</v>
      </c>
      <c r="I33" s="620">
        <f>'Covid-19'!I33</f>
        <v>0</v>
      </c>
      <c r="J33" s="603">
        <f>'Covid-19'!J33</f>
        <v>0</v>
      </c>
      <c r="K33" s="620">
        <f>'Covid-19'!K33</f>
        <v>0</v>
      </c>
    </row>
    <row r="34" spans="1:11" ht="15.75" x14ac:dyDescent="0.25">
      <c r="A34" s="632" t="s">
        <v>1768</v>
      </c>
      <c r="B34" s="603">
        <f>'Covid-19'!B34</f>
        <v>37.540770000000002</v>
      </c>
      <c r="C34" s="612">
        <f>'Covid-19'!C34</f>
        <v>-37.540770000000002</v>
      </c>
      <c r="D34" s="603">
        <f>'Covid-19'!D34</f>
        <v>24.146602999999999</v>
      </c>
      <c r="E34" s="612">
        <f>'Covid-19'!E34</f>
        <v>-24.146602999999999</v>
      </c>
      <c r="F34" s="603">
        <f>'Covid-19'!F34</f>
        <v>0.21742600000000001</v>
      </c>
      <c r="G34" s="621">
        <f>'Covid-19'!G34</f>
        <v>-0.21742600000000001</v>
      </c>
      <c r="H34" s="603">
        <f>'Covid-19'!H34</f>
        <v>0</v>
      </c>
      <c r="I34" s="621">
        <f>'Covid-19'!I34</f>
        <v>0</v>
      </c>
      <c r="J34" s="603">
        <f>'Covid-19'!J34</f>
        <v>0</v>
      </c>
      <c r="K34" s="621">
        <f>'Covid-19'!K34</f>
        <v>0</v>
      </c>
    </row>
    <row r="35" spans="1:11" ht="15.75" x14ac:dyDescent="0.25">
      <c r="A35" s="630" t="s">
        <v>1769</v>
      </c>
      <c r="B35" s="603">
        <f>'Covid-19'!B35</f>
        <v>21.134721999999996</v>
      </c>
      <c r="C35" s="612">
        <f>'Covid-19'!C35</f>
        <v>-21.134721999999996</v>
      </c>
      <c r="D35" s="603">
        <f>'Covid-19'!D35</f>
        <v>19.821274999999996</v>
      </c>
      <c r="E35" s="612">
        <f>'Covid-19'!E35</f>
        <v>-19.821274999999996</v>
      </c>
      <c r="F35" s="603">
        <f>'Covid-19'!F35</f>
        <v>4.7907249999999992</v>
      </c>
      <c r="G35" s="621">
        <f>'Covid-19'!G35</f>
        <v>-4.7907249999999992</v>
      </c>
      <c r="H35" s="603">
        <f>'Covid-19'!H35</f>
        <v>0</v>
      </c>
      <c r="I35" s="621">
        <f>'Covid-19'!I35</f>
        <v>0</v>
      </c>
      <c r="J35" s="603">
        <f>'Covid-19'!J35</f>
        <v>0</v>
      </c>
      <c r="K35" s="621">
        <f>'Covid-19'!K35</f>
        <v>0</v>
      </c>
    </row>
    <row r="36" spans="1:11" ht="15.75" x14ac:dyDescent="0.25">
      <c r="A36" s="632" t="s">
        <v>1998</v>
      </c>
      <c r="B36" s="603">
        <f>'Covid-19'!B36</f>
        <v>22.05678</v>
      </c>
      <c r="C36" s="612">
        <f>'Covid-19'!C36</f>
        <v>-22.05678</v>
      </c>
      <c r="D36" s="603">
        <f>'Covid-19'!D36</f>
        <v>36.901719999999997</v>
      </c>
      <c r="E36" s="612">
        <f>'Covid-19'!E36</f>
        <v>-36.901719999999997</v>
      </c>
      <c r="F36" s="603">
        <f>'Covid-19'!F36</f>
        <v>16.005141000000002</v>
      </c>
      <c r="G36" s="621">
        <f>'Covid-19'!G36</f>
        <v>-16.005141000000002</v>
      </c>
      <c r="H36" s="603">
        <f>'Covid-19'!H36</f>
        <v>0</v>
      </c>
      <c r="I36" s="621">
        <f>'Covid-19'!I36</f>
        <v>0</v>
      </c>
      <c r="J36" s="603">
        <f>'Covid-19'!J36</f>
        <v>0</v>
      </c>
      <c r="K36" s="621">
        <f>'Covid-19'!K36</f>
        <v>0</v>
      </c>
    </row>
    <row r="37" spans="1:11" ht="31.5" x14ac:dyDescent="0.25">
      <c r="A37" s="632" t="s">
        <v>1770</v>
      </c>
      <c r="B37" s="603">
        <f>'Covid-19'!B37</f>
        <v>0</v>
      </c>
      <c r="C37" s="612">
        <f>'Covid-19'!C37</f>
        <v>0</v>
      </c>
      <c r="D37" s="603">
        <f>'Covid-19'!D37</f>
        <v>52.511577999999993</v>
      </c>
      <c r="E37" s="612">
        <f>'Covid-19'!E37</f>
        <v>-51.82486699999999</v>
      </c>
      <c r="F37" s="603">
        <f>'Covid-19'!F37</f>
        <v>52.009733000000004</v>
      </c>
      <c r="G37" s="621">
        <f>'Covid-19'!G37</f>
        <v>-52.009733000000004</v>
      </c>
      <c r="H37" s="603">
        <f>'Covid-19'!H37</f>
        <v>0</v>
      </c>
      <c r="I37" s="621">
        <f>'Covid-19'!I37</f>
        <v>-13.467715999999999</v>
      </c>
      <c r="J37" s="603">
        <f>'Covid-19'!J37</f>
        <v>0</v>
      </c>
      <c r="K37" s="621">
        <f>'Covid-19'!K37</f>
        <v>0</v>
      </c>
    </row>
    <row r="38" spans="1:11" ht="15.75" x14ac:dyDescent="0.25">
      <c r="A38" s="633" t="s">
        <v>246</v>
      </c>
      <c r="B38" s="624">
        <f>'Covid-19'!B38</f>
        <v>27.301991000000001</v>
      </c>
      <c r="C38" s="625">
        <f>'Covid-19'!C38</f>
        <v>0</v>
      </c>
      <c r="D38" s="610">
        <f>'Covid-19'!D38</f>
        <v>57.197071000000001</v>
      </c>
      <c r="E38" s="611">
        <f>'Covid-19'!E38</f>
        <v>-8.5823999999999998</v>
      </c>
      <c r="F38" s="624">
        <f>'Covid-19'!F38</f>
        <v>170.58406099999999</v>
      </c>
      <c r="G38" s="611">
        <f>'Covid-19'!G38</f>
        <v>-6.88</v>
      </c>
      <c r="H38" s="624">
        <f>'Covid-19'!H38</f>
        <v>0</v>
      </c>
      <c r="I38" s="611">
        <f>'Covid-19'!I38</f>
        <v>0</v>
      </c>
      <c r="J38" s="624">
        <f>'Covid-19'!J38</f>
        <v>0</v>
      </c>
      <c r="K38" s="611">
        <f>'Covid-19'!K38</f>
        <v>0</v>
      </c>
    </row>
    <row r="39" spans="1:11" ht="15.75" x14ac:dyDescent="0.25">
      <c r="A39" s="630" t="s">
        <v>1771</v>
      </c>
      <c r="B39" s="603">
        <f>'Covid-19'!B39</f>
        <v>9.3443529999999999</v>
      </c>
      <c r="C39" s="612">
        <f>'Covid-19'!C39</f>
        <v>0</v>
      </c>
      <c r="D39" s="603">
        <f>'Covid-19'!D39</f>
        <v>36.971586000000002</v>
      </c>
      <c r="E39" s="612">
        <f>'Covid-19'!E39</f>
        <v>0</v>
      </c>
      <c r="F39" s="603">
        <f>'Covid-19'!F39</f>
        <v>136.58406099999999</v>
      </c>
      <c r="G39" s="621">
        <f>'Covid-19'!G39</f>
        <v>0</v>
      </c>
      <c r="H39" s="603">
        <f>'Covid-19'!H39</f>
        <v>0</v>
      </c>
      <c r="I39" s="621">
        <f>'Covid-19'!I39</f>
        <v>0</v>
      </c>
      <c r="J39" s="603">
        <f>'Covid-19'!J39</f>
        <v>0</v>
      </c>
      <c r="K39" s="621">
        <f>'Covid-19'!K39</f>
        <v>0</v>
      </c>
    </row>
    <row r="40" spans="1:11" ht="16.5" thickBot="1" x14ac:dyDescent="0.3">
      <c r="A40" s="635" t="s">
        <v>1774</v>
      </c>
      <c r="B40" s="626">
        <f>'Covid-19'!B40</f>
        <v>0.222636</v>
      </c>
      <c r="C40" s="627">
        <f>'Covid-19'!C40</f>
        <v>0</v>
      </c>
      <c r="D40" s="626">
        <f>'Covid-19'!D40</f>
        <v>20.225484999999999</v>
      </c>
      <c r="E40" s="627">
        <f>'Covid-19'!E40</f>
        <v>0</v>
      </c>
      <c r="F40" s="626">
        <f>'Covid-19'!F40</f>
        <v>34</v>
      </c>
      <c r="G40" s="627">
        <f>'Covid-19'!G40</f>
        <v>0</v>
      </c>
      <c r="H40" s="626">
        <f>'Covid-19'!H40</f>
        <v>0</v>
      </c>
      <c r="I40" s="627">
        <f>'Covid-19'!I40</f>
        <v>0</v>
      </c>
      <c r="J40" s="626">
        <f>'Covid-19'!J40</f>
        <v>0</v>
      </c>
      <c r="K40" s="627">
        <f>'Covid-19'!K40</f>
        <v>0</v>
      </c>
    </row>
    <row r="41" spans="1:11" ht="15.75" x14ac:dyDescent="0.25">
      <c r="A41" s="613"/>
      <c r="B41" s="614"/>
      <c r="C41" s="614"/>
      <c r="D41" s="614"/>
      <c r="E41" s="614"/>
      <c r="F41" s="614"/>
      <c r="G41" s="614"/>
      <c r="H41" s="614"/>
      <c r="I41" s="614"/>
      <c r="J41" s="614"/>
      <c r="K41" s="614"/>
    </row>
    <row r="42" spans="1:11" ht="16.5" x14ac:dyDescent="0.25">
      <c r="A42" s="615" t="s">
        <v>2281</v>
      </c>
      <c r="B42" s="605"/>
      <c r="C42" s="605"/>
      <c r="D42" s="605"/>
      <c r="E42" s="605"/>
      <c r="F42" s="605"/>
      <c r="G42" s="605"/>
    </row>
  </sheetData>
  <mergeCells count="10">
    <mergeCell ref="F5:G5"/>
    <mergeCell ref="H5:I5"/>
    <mergeCell ref="J5:K5"/>
    <mergeCell ref="F4:G4"/>
    <mergeCell ref="H4:K4"/>
    <mergeCell ref="A4:A6"/>
    <mergeCell ref="B4:C4"/>
    <mergeCell ref="D4:E4"/>
    <mergeCell ref="B5:C5"/>
    <mergeCell ref="D5:E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94880-A65C-48A5-9E3C-513EEBA992F7}">
  <sheetPr>
    <tabColor rgb="FF00B050"/>
  </sheetPr>
  <dimension ref="A2:K51"/>
  <sheetViews>
    <sheetView topLeftCell="A2" zoomScale="40" zoomScaleNormal="40" workbookViewId="0">
      <selection activeCell="I28" sqref="I28"/>
    </sheetView>
  </sheetViews>
  <sheetFormatPr defaultColWidth="8.7109375" defaultRowHeight="15" outlineLevelRow="1" outlineLevelCol="1" x14ac:dyDescent="0.25"/>
  <cols>
    <col min="1" max="1" width="133" customWidth="1"/>
    <col min="2" max="2" width="19.7109375" hidden="1" customWidth="1"/>
    <col min="3" max="3" width="20" customWidth="1"/>
    <col min="4" max="5" width="18.28515625" hidden="1" customWidth="1" outlineLevel="1"/>
    <col min="6" max="6" width="31.140625" customWidth="1" collapsed="1"/>
    <col min="7" max="7" width="19" customWidth="1"/>
    <col min="8" max="8" width="30.5703125" customWidth="1"/>
    <col min="9" max="9" width="29" customWidth="1"/>
    <col min="10" max="10" width="24.5703125" customWidth="1"/>
    <col min="11" max="12" width="36.7109375" customWidth="1"/>
  </cols>
  <sheetData>
    <row r="2" spans="1:8" ht="18.75" x14ac:dyDescent="0.3">
      <c r="A2" s="607" t="s">
        <v>2248</v>
      </c>
      <c r="H2" s="886"/>
    </row>
    <row r="4" spans="1:8" ht="25.5" x14ac:dyDescent="0.35">
      <c r="A4" s="1135" t="s">
        <v>1764</v>
      </c>
      <c r="B4" s="1137">
        <v>2021</v>
      </c>
      <c r="C4" s="1138"/>
      <c r="D4" s="1137">
        <v>2022</v>
      </c>
      <c r="E4" s="1139"/>
      <c r="F4" s="1138"/>
      <c r="G4" s="1137">
        <v>2023</v>
      </c>
      <c r="H4" s="1138"/>
    </row>
    <row r="5" spans="1:8" ht="50.45" customHeight="1" x14ac:dyDescent="0.25">
      <c r="A5" s="1136"/>
      <c r="B5" s="876" t="s">
        <v>740</v>
      </c>
      <c r="C5" s="876" t="s">
        <v>2249</v>
      </c>
      <c r="D5" s="877" t="s">
        <v>740</v>
      </c>
      <c r="E5" s="876" t="s">
        <v>2272</v>
      </c>
      <c r="F5" s="878" t="s">
        <v>2249</v>
      </c>
      <c r="G5" s="877" t="s">
        <v>740</v>
      </c>
      <c r="H5" s="1081" t="s">
        <v>2395</v>
      </c>
    </row>
    <row r="6" spans="1:8" ht="25.5" x14ac:dyDescent="0.35">
      <c r="A6" s="879" t="s">
        <v>306</v>
      </c>
      <c r="B6" s="880">
        <f>'Energo atbalsts'!B6</f>
        <v>2.97</v>
      </c>
      <c r="C6" s="880">
        <f>'Energo atbalsts'!C6</f>
        <v>1.8805700000000001</v>
      </c>
      <c r="D6" s="880">
        <f>'Energo atbalsts'!D6</f>
        <v>836.07835399999999</v>
      </c>
      <c r="E6" s="880">
        <f>'Energo atbalsts'!E6</f>
        <v>658.70002045000001</v>
      </c>
      <c r="F6" s="880">
        <f>'Energo atbalsts'!F6</f>
        <v>603.54405190000011</v>
      </c>
      <c r="G6" s="880">
        <f>'Energo atbalsts'!G6</f>
        <v>621.568939</v>
      </c>
      <c r="H6" s="880">
        <f>'Energo atbalsts'!H6</f>
        <v>199.46437569000003</v>
      </c>
    </row>
    <row r="7" spans="1:8" ht="25.5" x14ac:dyDescent="0.35">
      <c r="A7" s="879" t="s">
        <v>307</v>
      </c>
      <c r="B7" s="881">
        <f>'Energo atbalsts'!B7</f>
        <v>8.8425545645906789E-5</v>
      </c>
      <c r="C7" s="881">
        <f>'Energo atbalsts'!C7</f>
        <v>5.5990043224014453E-5</v>
      </c>
      <c r="D7" s="881">
        <f>'Energo atbalsts'!D7</f>
        <v>2.1393620073605069E-2</v>
      </c>
      <c r="E7" s="881">
        <f>'Energo atbalsts'!E7</f>
        <v>1.5094924641092619E-2</v>
      </c>
      <c r="F7" s="881">
        <f>'Energo atbalsts'!F7</f>
        <v>1.3830957489247174E-2</v>
      </c>
      <c r="G7" s="881">
        <f>'Energo atbalsts'!G7</f>
        <v>1.4244020042748877E-2</v>
      </c>
      <c r="H7" s="881">
        <f>'Energo atbalsts'!H7</f>
        <v>4.5709725613279914E-3</v>
      </c>
    </row>
    <row r="8" spans="1:8" ht="30" customHeight="1" x14ac:dyDescent="0.25">
      <c r="A8" s="805" t="s">
        <v>2314</v>
      </c>
      <c r="B8" s="806">
        <f>'Energo atbalsts'!B8</f>
        <v>2.97</v>
      </c>
      <c r="C8" s="806">
        <f>'Energo atbalsts'!C8</f>
        <v>1.8805700000000001</v>
      </c>
      <c r="D8" s="806">
        <f>'Energo atbalsts'!D8</f>
        <v>571.1295419999999</v>
      </c>
      <c r="E8" s="973">
        <f>'Energo atbalsts'!E8</f>
        <v>381.10527745000002</v>
      </c>
      <c r="F8" s="806">
        <f>'Energo atbalsts'!F8</f>
        <v>339.56395824000003</v>
      </c>
      <c r="G8" s="806">
        <f>'Energo atbalsts'!G8</f>
        <v>546.95583599999998</v>
      </c>
      <c r="H8" s="806">
        <f>'Energo atbalsts'!H8</f>
        <v>177.39213506000002</v>
      </c>
    </row>
    <row r="9" spans="1:8" ht="18.600000000000001" customHeight="1" outlineLevel="1" x14ac:dyDescent="0.25">
      <c r="A9" s="1114" t="s">
        <v>2260</v>
      </c>
      <c r="B9" s="1115"/>
      <c r="C9" s="1115"/>
      <c r="D9" s="1115"/>
      <c r="E9" s="1115"/>
      <c r="F9" s="1115"/>
      <c r="G9" s="1115"/>
      <c r="H9" s="1115"/>
    </row>
    <row r="10" spans="1:8" ht="18.600000000000001" customHeight="1" outlineLevel="1" x14ac:dyDescent="0.25">
      <c r="A10" s="807" t="s">
        <v>2250</v>
      </c>
      <c r="B10" s="808"/>
      <c r="C10" s="809"/>
      <c r="D10" s="809">
        <f>'Energo atbalsts'!D10</f>
        <v>141.39400000000001</v>
      </c>
      <c r="E10" s="809">
        <f>'Energo atbalsts'!E10</f>
        <v>134.75700000000001</v>
      </c>
      <c r="F10" s="810">
        <f>'Energo atbalsts'!F10</f>
        <v>134.73500000000001</v>
      </c>
      <c r="G10" s="810"/>
      <c r="H10" s="811"/>
    </row>
    <row r="11" spans="1:8" ht="18.600000000000001" customHeight="1" outlineLevel="1" x14ac:dyDescent="0.25">
      <c r="A11" s="812" t="s">
        <v>2251</v>
      </c>
      <c r="B11" s="813">
        <f>'Energo atbalsts'!B11</f>
        <v>2.97</v>
      </c>
      <c r="C11" s="809">
        <f>'Energo atbalsts'!C11</f>
        <v>1.8805700000000001</v>
      </c>
      <c r="D11" s="809">
        <f>'Energo atbalsts'!D11</f>
        <v>17.524920000000002</v>
      </c>
      <c r="E11" s="809">
        <f>'Energo atbalsts'!E11</f>
        <v>17.524920000000002</v>
      </c>
      <c r="F11" s="810">
        <f>'Energo atbalsts'!F11</f>
        <v>12.701000000000001</v>
      </c>
      <c r="G11" s="810"/>
      <c r="H11" s="811"/>
    </row>
    <row r="12" spans="1:8" ht="18.600000000000001" customHeight="1" outlineLevel="1" x14ac:dyDescent="0.25">
      <c r="A12" s="812" t="s">
        <v>2252</v>
      </c>
      <c r="B12" s="808"/>
      <c r="C12" s="811"/>
      <c r="D12" s="809">
        <f>'Energo atbalsts'!D12</f>
        <v>18.427592000000001</v>
      </c>
      <c r="E12" s="809">
        <f>'Energo atbalsts'!E12</f>
        <v>18.427592000000001</v>
      </c>
      <c r="F12" s="810">
        <f>'Energo atbalsts'!F12</f>
        <v>14.3</v>
      </c>
      <c r="G12" s="814"/>
      <c r="H12" s="811"/>
    </row>
    <row r="13" spans="1:8" ht="18.600000000000001" customHeight="1" outlineLevel="1" x14ac:dyDescent="0.25">
      <c r="A13" s="812" t="s">
        <v>2253</v>
      </c>
      <c r="B13" s="808"/>
      <c r="C13" s="811"/>
      <c r="D13" s="809">
        <f>'Energo atbalsts'!D13</f>
        <v>7</v>
      </c>
      <c r="E13" s="809">
        <f>'Energo atbalsts'!E13</f>
        <v>8.7140000000000004</v>
      </c>
      <c r="F13" s="810">
        <f>'Energo atbalsts'!F13</f>
        <v>8.74</v>
      </c>
      <c r="G13" s="810"/>
      <c r="H13" s="811"/>
    </row>
    <row r="14" spans="1:8" ht="18.600000000000001" customHeight="1" outlineLevel="1" x14ac:dyDescent="0.25">
      <c r="A14" s="812" t="s">
        <v>2254</v>
      </c>
      <c r="B14" s="808"/>
      <c r="C14" s="808"/>
      <c r="D14" s="813">
        <f>'Energo atbalsts'!D14</f>
        <v>27.400020999999999</v>
      </c>
      <c r="E14" s="809">
        <f>'Energo atbalsts'!E14</f>
        <v>26.451000000000001</v>
      </c>
      <c r="F14" s="810">
        <f>'Energo atbalsts'!F14</f>
        <v>27.02</v>
      </c>
      <c r="G14" s="815"/>
      <c r="H14" s="808"/>
    </row>
    <row r="15" spans="1:8" ht="18.600000000000001" customHeight="1" outlineLevel="1" x14ac:dyDescent="0.25">
      <c r="A15" s="812" t="s">
        <v>2255</v>
      </c>
      <c r="B15" s="808"/>
      <c r="C15" s="808"/>
      <c r="D15" s="813">
        <f>'Energo atbalsts'!D15</f>
        <v>21.200391</v>
      </c>
      <c r="E15" s="809">
        <f>'Energo atbalsts'!E15</f>
        <v>21.813641860000001</v>
      </c>
      <c r="F15" s="810">
        <f>'Energo atbalsts'!F15</f>
        <v>18.03</v>
      </c>
      <c r="G15" s="815"/>
      <c r="H15" s="808"/>
    </row>
    <row r="16" spans="1:8" ht="18.600000000000001" customHeight="1" outlineLevel="1" x14ac:dyDescent="0.25">
      <c r="A16" s="1101" t="s">
        <v>2346</v>
      </c>
      <c r="B16" s="1102"/>
      <c r="C16" s="1102"/>
      <c r="D16" s="1102"/>
      <c r="E16" s="1102"/>
      <c r="F16" s="1102"/>
      <c r="G16" s="1102"/>
      <c r="H16" s="1102"/>
    </row>
    <row r="17" spans="1:11" ht="35.450000000000003" customHeight="1" outlineLevel="1" x14ac:dyDescent="0.25">
      <c r="A17" s="893" t="s">
        <v>2322</v>
      </c>
      <c r="B17" s="808"/>
      <c r="C17" s="808"/>
      <c r="D17" s="813">
        <f>'Energo atbalsts'!D17</f>
        <v>15.16</v>
      </c>
      <c r="E17" s="813">
        <f>'Energo atbalsts'!E17</f>
        <v>1.829451E-2</v>
      </c>
      <c r="F17" s="810">
        <f>'Energo atbalsts'!F17</f>
        <v>3.4189689999999995E-2</v>
      </c>
      <c r="G17" s="810">
        <f>'Energo atbalsts'!G17</f>
        <v>37.9</v>
      </c>
      <c r="H17" s="810">
        <f>'Energo atbalsts'!H17</f>
        <v>0.12421993000000001</v>
      </c>
    </row>
    <row r="18" spans="1:11" ht="18.600000000000001" customHeight="1" outlineLevel="1" x14ac:dyDescent="0.25">
      <c r="A18" s="893" t="s">
        <v>2318</v>
      </c>
      <c r="B18" s="808"/>
      <c r="C18" s="808"/>
      <c r="D18" s="813">
        <f>'Energo atbalsts'!D18</f>
        <v>26.133745999999999</v>
      </c>
      <c r="E18" s="813">
        <f>'Energo atbalsts'!E18</f>
        <v>13.799999999999999</v>
      </c>
      <c r="F18" s="810">
        <f>'Energo atbalsts'!F18</f>
        <v>6.0525767500000001</v>
      </c>
      <c r="G18" s="810">
        <f>'Energo atbalsts'!G18</f>
        <v>17.426254</v>
      </c>
      <c r="H18" s="810">
        <f>'Energo atbalsts'!H18</f>
        <v>4.7782515999999999</v>
      </c>
      <c r="I18" s="816"/>
      <c r="J18" s="816"/>
    </row>
    <row r="19" spans="1:11" ht="18.600000000000001" customHeight="1" outlineLevel="1" x14ac:dyDescent="0.25">
      <c r="A19" s="893" t="s">
        <v>2319</v>
      </c>
      <c r="B19" s="808"/>
      <c r="C19" s="808"/>
      <c r="D19" s="813">
        <f>'Energo atbalsts'!D19</f>
        <v>71.999398999999997</v>
      </c>
      <c r="E19" s="813">
        <f>'Energo atbalsts'!E19</f>
        <v>32.234999999999999</v>
      </c>
      <c r="F19" s="810">
        <f>'Energo atbalsts'!F19</f>
        <v>26.41057481</v>
      </c>
      <c r="G19" s="810">
        <f>'Energo atbalsts'!G19</f>
        <v>96.000601000000003</v>
      </c>
      <c r="H19" s="810">
        <f>'Energo atbalsts'!H19</f>
        <v>49.408619139999999</v>
      </c>
    </row>
    <row r="20" spans="1:11" ht="18.600000000000001" customHeight="1" outlineLevel="1" x14ac:dyDescent="0.25">
      <c r="A20" s="893" t="s">
        <v>2256</v>
      </c>
      <c r="B20" s="808"/>
      <c r="C20" s="808"/>
      <c r="D20" s="813">
        <f>'Energo atbalsts'!D20</f>
        <v>21.7728</v>
      </c>
      <c r="E20" s="813">
        <f>'Energo atbalsts'!E20</f>
        <v>0.20217096000000001</v>
      </c>
      <c r="F20" s="810">
        <f>'Energo atbalsts'!F20</f>
        <v>0.10880424</v>
      </c>
      <c r="G20" s="810">
        <f>'Energo atbalsts'!G20</f>
        <v>21.7728</v>
      </c>
      <c r="H20" s="810">
        <f>'Energo atbalsts'!H20</f>
        <v>3.8755390000000001E-2</v>
      </c>
    </row>
    <row r="21" spans="1:11" ht="18.600000000000001" customHeight="1" outlineLevel="1" x14ac:dyDescent="0.25">
      <c r="A21" s="893" t="s">
        <v>2276</v>
      </c>
      <c r="B21" s="808"/>
      <c r="C21" s="808"/>
      <c r="D21" s="813">
        <f>'Energo atbalsts'!D21</f>
        <v>4.7953599999999996</v>
      </c>
      <c r="E21" s="813">
        <f>'Energo atbalsts'!E21</f>
        <v>15.13334538</v>
      </c>
      <c r="F21" s="810">
        <f>'Energo atbalsts'!F21</f>
        <v>12.875340019999999</v>
      </c>
      <c r="G21" s="813"/>
      <c r="H21" s="810">
        <f>'Energo atbalsts'!H21</f>
        <v>9.5100000000000004E-2</v>
      </c>
      <c r="I21" s="723"/>
    </row>
    <row r="22" spans="1:11" ht="18.600000000000001" customHeight="1" outlineLevel="1" x14ac:dyDescent="0.25">
      <c r="A22" s="893" t="s">
        <v>2257</v>
      </c>
      <c r="B22" s="808"/>
      <c r="C22" s="808"/>
      <c r="D22" s="813">
        <f>'Energo atbalsts'!D22</f>
        <v>2.016</v>
      </c>
      <c r="E22" s="813">
        <f>'Energo atbalsts'!E22</f>
        <v>0.11879520000000002</v>
      </c>
      <c r="F22" s="810">
        <f>'Energo atbalsts'!F22</f>
        <v>6.7346650000000008E-2</v>
      </c>
      <c r="G22" s="810">
        <f>'Energo atbalsts'!G22</f>
        <v>2.016</v>
      </c>
      <c r="H22" s="810">
        <f>'Energo atbalsts'!H22</f>
        <v>3.6232269999999997E-2</v>
      </c>
      <c r="I22" s="723"/>
    </row>
    <row r="23" spans="1:11" ht="18.600000000000001" customHeight="1" outlineLevel="1" x14ac:dyDescent="0.25">
      <c r="A23" s="893" t="s">
        <v>2258</v>
      </c>
      <c r="B23" s="808"/>
      <c r="C23" s="808"/>
      <c r="D23" s="813">
        <f>'Energo atbalsts'!D23</f>
        <v>10.48</v>
      </c>
      <c r="E23" s="813">
        <f>'Energo atbalsts'!E23</f>
        <v>2.5045175399999997</v>
      </c>
      <c r="F23" s="810">
        <f>'Energo atbalsts'!F23</f>
        <v>1.10586641</v>
      </c>
      <c r="G23" s="810">
        <f>'Energo atbalsts'!G23</f>
        <v>11.92</v>
      </c>
      <c r="H23" s="810">
        <f>'Energo atbalsts'!H23</f>
        <v>0.39707553000000001</v>
      </c>
      <c r="I23" s="723"/>
    </row>
    <row r="24" spans="1:11" ht="18.600000000000001" customHeight="1" outlineLevel="1" x14ac:dyDescent="0.25">
      <c r="A24" s="893" t="s">
        <v>2397</v>
      </c>
      <c r="B24" s="808"/>
      <c r="C24" s="808"/>
      <c r="D24" s="813"/>
      <c r="E24" s="813"/>
      <c r="F24" s="810"/>
      <c r="G24" s="813"/>
      <c r="H24" s="810">
        <f>'Energo atbalsts'!H24</f>
        <v>6.0849099999999998E-3</v>
      </c>
      <c r="I24" s="723"/>
    </row>
    <row r="25" spans="1:11" ht="18.600000000000001" customHeight="1" outlineLevel="1" x14ac:dyDescent="0.25">
      <c r="A25" s="893" t="s">
        <v>2398</v>
      </c>
      <c r="B25" s="808"/>
      <c r="C25" s="808"/>
      <c r="D25" s="813"/>
      <c r="E25" s="813"/>
      <c r="F25" s="810"/>
      <c r="G25" s="813"/>
      <c r="H25" s="810">
        <f>'Energo atbalsts'!H25</f>
        <v>4.0595909999999999E-2</v>
      </c>
      <c r="I25" s="723"/>
    </row>
    <row r="26" spans="1:11" ht="18.600000000000001" customHeight="1" outlineLevel="1" x14ac:dyDescent="0.25">
      <c r="A26" s="893" t="s">
        <v>2317</v>
      </c>
      <c r="B26" s="808"/>
      <c r="C26" s="808"/>
      <c r="D26" s="813">
        <f>'Energo atbalsts'!D26</f>
        <v>52.961942999999998</v>
      </c>
      <c r="E26" s="813">
        <f>'Energo atbalsts'!E26</f>
        <v>37.975000000000001</v>
      </c>
      <c r="F26" s="810">
        <f>'Energo atbalsts'!F26</f>
        <v>30.992884499999999</v>
      </c>
      <c r="G26" s="810">
        <f>'Energo atbalsts'!G26</f>
        <v>70.615924000000007</v>
      </c>
      <c r="H26" s="810">
        <f>'Energo atbalsts'!H26</f>
        <v>35.138975549999998</v>
      </c>
      <c r="I26" s="723"/>
    </row>
    <row r="27" spans="1:11" ht="18.600000000000001" customHeight="1" outlineLevel="1" x14ac:dyDescent="0.25">
      <c r="A27" s="893" t="s">
        <v>2316</v>
      </c>
      <c r="B27" s="808"/>
      <c r="C27" s="808"/>
      <c r="D27" s="813">
        <f>'Energo atbalsts'!D27</f>
        <v>3.1114289999999998</v>
      </c>
      <c r="E27" s="813">
        <f>'Energo atbalsts'!E27</f>
        <v>2.46</v>
      </c>
      <c r="F27" s="810">
        <f>'Energo atbalsts'!F27</f>
        <v>1.7142301900000001</v>
      </c>
      <c r="G27" s="810">
        <f>'Energo atbalsts'!G27</f>
        <v>7.7785710000000003</v>
      </c>
      <c r="H27" s="810">
        <f>'Energo atbalsts'!H27</f>
        <v>0.69356998000000003</v>
      </c>
      <c r="I27" s="723"/>
    </row>
    <row r="28" spans="1:11" ht="46.5" customHeight="1" outlineLevel="1" x14ac:dyDescent="0.25">
      <c r="A28" s="893" t="s">
        <v>2396</v>
      </c>
      <c r="B28" s="808"/>
      <c r="C28" s="808"/>
      <c r="D28" s="813"/>
      <c r="E28" s="813"/>
      <c r="F28" s="810"/>
      <c r="G28" s="813"/>
      <c r="H28" s="810">
        <f>'Energo atbalsts'!H28</f>
        <v>18.17815161</v>
      </c>
      <c r="I28" s="723"/>
    </row>
    <row r="29" spans="1:11" ht="18.600000000000001" customHeight="1" outlineLevel="1" x14ac:dyDescent="0.25">
      <c r="A29" s="893" t="s">
        <v>2321</v>
      </c>
      <c r="B29" s="808"/>
      <c r="C29" s="808"/>
      <c r="D29" s="813">
        <f>'Energo atbalsts'!D29</f>
        <v>19.166399999999999</v>
      </c>
      <c r="E29" s="813">
        <f>'Energo atbalsts'!E29</f>
        <v>5.35</v>
      </c>
      <c r="F29" s="810">
        <f>'Energo atbalsts'!F29</f>
        <v>5.13217781</v>
      </c>
      <c r="G29" s="810">
        <f>'Energo atbalsts'!G29</f>
        <v>47.915999999999997</v>
      </c>
      <c r="H29" s="810">
        <f>'Energo atbalsts'!H29</f>
        <v>6.9896207099999996</v>
      </c>
      <c r="I29" s="723"/>
    </row>
    <row r="30" spans="1:11" ht="18.600000000000001" customHeight="1" outlineLevel="1" x14ac:dyDescent="0.25">
      <c r="A30" s="893" t="s">
        <v>2275</v>
      </c>
      <c r="B30" s="808"/>
      <c r="C30" s="808"/>
      <c r="D30" s="813">
        <f>'Energo atbalsts'!D30</f>
        <v>24.877208</v>
      </c>
      <c r="E30" s="813">
        <f>'Energo atbalsts'!E30</f>
        <v>17.64</v>
      </c>
      <c r="F30" s="810">
        <f>'Energo atbalsts'!F30</f>
        <v>15.146614980000001</v>
      </c>
      <c r="G30" s="810">
        <f>'Energo atbalsts'!G30</f>
        <v>62.193019</v>
      </c>
      <c r="H30" s="810">
        <f>'Energo atbalsts'!H30</f>
        <v>32.84163066</v>
      </c>
      <c r="I30" s="723"/>
    </row>
    <row r="31" spans="1:11" ht="18.600000000000001" customHeight="1" outlineLevel="1" x14ac:dyDescent="0.25">
      <c r="A31" s="893" t="s">
        <v>2315</v>
      </c>
      <c r="B31" s="808"/>
      <c r="C31" s="808"/>
      <c r="D31" s="813">
        <f>'Energo atbalsts'!D31</f>
        <v>85.708332999999996</v>
      </c>
      <c r="E31" s="813">
        <f>'Energo atbalsts'!E31</f>
        <v>25.98</v>
      </c>
      <c r="F31" s="810">
        <f>'Energo atbalsts'!F31</f>
        <v>24.397352189999999</v>
      </c>
      <c r="G31" s="810">
        <f>'Energo atbalsts'!G31</f>
        <v>171.41666699999999</v>
      </c>
      <c r="H31" s="810">
        <f>'Energo atbalsts'!H31</f>
        <v>28.62525187</v>
      </c>
      <c r="I31" s="723"/>
    </row>
    <row r="32" spans="1:11" ht="24.95" customHeight="1" x14ac:dyDescent="0.35">
      <c r="A32" s="889" t="s">
        <v>2259</v>
      </c>
      <c r="B32" s="890">
        <f>'Energo atbalsts'!B32</f>
        <v>0</v>
      </c>
      <c r="C32" s="890">
        <f>'Energo atbalsts'!C32</f>
        <v>0</v>
      </c>
      <c r="D32" s="890">
        <f>'Energo atbalsts'!D32</f>
        <v>214.94881200000003</v>
      </c>
      <c r="E32" s="890">
        <f>'Energo atbalsts'!E32</f>
        <v>253.09474299999999</v>
      </c>
      <c r="F32" s="890">
        <f>'Energo atbalsts'!F32</f>
        <v>240.43266234000004</v>
      </c>
      <c r="G32" s="890">
        <f>'Energo atbalsts'!G32</f>
        <v>74.613102999999995</v>
      </c>
      <c r="H32" s="890">
        <f>'Energo atbalsts'!H32</f>
        <v>22.07224063</v>
      </c>
      <c r="I32" s="723"/>
      <c r="J32" s="817"/>
      <c r="K32" s="817"/>
    </row>
    <row r="33" spans="1:9" ht="18.95" customHeight="1" outlineLevel="1" x14ac:dyDescent="0.25">
      <c r="A33" s="1106" t="s">
        <v>2260</v>
      </c>
      <c r="B33" s="1107"/>
      <c r="C33" s="1107"/>
      <c r="D33" s="1107"/>
      <c r="E33" s="1107"/>
      <c r="F33" s="1107"/>
      <c r="G33" s="1107"/>
      <c r="H33" s="1107"/>
      <c r="I33" s="723"/>
    </row>
    <row r="34" spans="1:9" ht="60.75" outlineLevel="1" x14ac:dyDescent="0.25">
      <c r="A34" s="818" t="s">
        <v>2367</v>
      </c>
      <c r="B34" s="808"/>
      <c r="C34" s="811"/>
      <c r="D34" s="809">
        <f>'Energo atbalsts'!D34</f>
        <v>14.068836000000001</v>
      </c>
      <c r="E34" s="809">
        <f>'Energo atbalsts'!E34</f>
        <v>14.068836000000001</v>
      </c>
      <c r="F34" s="810">
        <f>'Energo atbalsts'!F34</f>
        <v>5.5182758200000004</v>
      </c>
      <c r="G34" s="969"/>
      <c r="H34" s="809"/>
      <c r="I34" s="665"/>
    </row>
    <row r="35" spans="1:9" ht="36.950000000000003" customHeight="1" outlineLevel="1" x14ac:dyDescent="0.25">
      <c r="A35" s="818" t="s">
        <v>2261</v>
      </c>
      <c r="B35" s="808"/>
      <c r="C35" s="811"/>
      <c r="D35" s="809">
        <f>'Energo atbalsts'!D35</f>
        <v>44.250390000000003</v>
      </c>
      <c r="E35" s="809">
        <f>'Energo atbalsts'!E35</f>
        <v>43.84</v>
      </c>
      <c r="F35" s="810">
        <f>'Energo atbalsts'!F35</f>
        <v>43.84920752</v>
      </c>
      <c r="G35" s="969"/>
      <c r="H35" s="811"/>
    </row>
    <row r="36" spans="1:9" ht="40.5" outlineLevel="1" x14ac:dyDescent="0.25">
      <c r="A36" s="818" t="s">
        <v>2262</v>
      </c>
      <c r="B36" s="808"/>
      <c r="C36" s="811"/>
      <c r="D36" s="809">
        <f>'Energo atbalsts'!D36</f>
        <v>81.121153000000007</v>
      </c>
      <c r="E36" s="809">
        <f>'Energo atbalsts'!E36</f>
        <v>80.98</v>
      </c>
      <c r="F36" s="810">
        <f>'Energo atbalsts'!F36</f>
        <v>81.042139000000006</v>
      </c>
      <c r="G36" s="969"/>
      <c r="H36" s="811"/>
    </row>
    <row r="37" spans="1:9" ht="63.75" customHeight="1" outlineLevel="1" x14ac:dyDescent="0.25">
      <c r="A37" s="818" t="s">
        <v>2263</v>
      </c>
      <c r="B37" s="808"/>
      <c r="C37" s="808"/>
      <c r="D37" s="809">
        <f>'Energo atbalsts'!D37</f>
        <v>6.7200000000000003E-3</v>
      </c>
      <c r="E37" s="809">
        <f>'Energo atbalsts'!E37</f>
        <v>2.48E-3</v>
      </c>
      <c r="F37" s="810">
        <f>'Energo atbalsts'!F37</f>
        <v>2E-3</v>
      </c>
      <c r="G37" s="969"/>
      <c r="H37" s="808"/>
    </row>
    <row r="38" spans="1:9" ht="22.5" customHeight="1" outlineLevel="1" x14ac:dyDescent="0.25">
      <c r="A38" s="1101" t="s">
        <v>2346</v>
      </c>
      <c r="B38" s="1102"/>
      <c r="C38" s="1102"/>
      <c r="D38" s="1102"/>
      <c r="E38" s="1102"/>
      <c r="F38" s="1102"/>
      <c r="G38" s="1102"/>
      <c r="H38" s="1102"/>
    </row>
    <row r="39" spans="1:9" ht="40.5" outlineLevel="1" x14ac:dyDescent="0.25">
      <c r="A39" s="818" t="s">
        <v>2368</v>
      </c>
      <c r="B39" s="970"/>
      <c r="C39" s="971"/>
      <c r="D39" s="971"/>
      <c r="E39" s="971"/>
      <c r="F39" s="971"/>
      <c r="G39" s="972">
        <f>'Energo atbalsts'!G39</f>
        <v>14.721354</v>
      </c>
      <c r="H39" s="810">
        <f>'Energo atbalsts'!H39</f>
        <v>3.44032063</v>
      </c>
    </row>
    <row r="40" spans="1:9" ht="20.25" outlineLevel="1" x14ac:dyDescent="0.25">
      <c r="A40" s="818" t="s">
        <v>2345</v>
      </c>
      <c r="B40" s="820"/>
      <c r="C40" s="820"/>
      <c r="D40" s="813">
        <f>'Energo atbalsts'!D40</f>
        <v>52.130732000000002</v>
      </c>
      <c r="E40" s="813">
        <f>'Energo atbalsts'!E40</f>
        <v>90.832446000000004</v>
      </c>
      <c r="F40" s="810">
        <f>'Energo atbalsts'!F40</f>
        <v>91.4</v>
      </c>
      <c r="G40" s="972"/>
      <c r="H40" s="972"/>
    </row>
    <row r="41" spans="1:9" ht="20.25" outlineLevel="1" x14ac:dyDescent="0.25">
      <c r="A41" s="818" t="s">
        <v>2264</v>
      </c>
      <c r="B41" s="820"/>
      <c r="C41" s="820"/>
      <c r="D41" s="813">
        <f>'Energo atbalsts'!D41</f>
        <v>0.2828</v>
      </c>
      <c r="E41" s="813">
        <f>'Energo atbalsts'!E41</f>
        <v>0.2828</v>
      </c>
      <c r="F41" s="810">
        <f>'Energo atbalsts'!F41</f>
        <v>0.28000000000000003</v>
      </c>
      <c r="G41" s="972"/>
      <c r="H41" s="972"/>
    </row>
    <row r="42" spans="1:9" ht="60.75" outlineLevel="1" x14ac:dyDescent="0.25">
      <c r="A42" s="818" t="s">
        <v>2265</v>
      </c>
      <c r="B42" s="808"/>
      <c r="C42" s="808"/>
      <c r="D42" s="813">
        <f>'Energo atbalsts'!D42</f>
        <v>23.086981000000002</v>
      </c>
      <c r="E42" s="813">
        <f>'Energo atbalsts'!E42</f>
        <v>23.086981000000002</v>
      </c>
      <c r="F42" s="813">
        <f>'Energo atbalsts'!F42</f>
        <v>18.340039999999998</v>
      </c>
      <c r="G42" s="972">
        <f>'Energo atbalsts'!G42</f>
        <v>59.888748</v>
      </c>
      <c r="H42" s="810">
        <f>'Energo atbalsts'!H42</f>
        <v>18.631920000000001</v>
      </c>
      <c r="I42" s="816"/>
    </row>
    <row r="43" spans="1:9" ht="81" outlineLevel="1" x14ac:dyDescent="0.25">
      <c r="A43" s="818" t="s">
        <v>2266</v>
      </c>
      <c r="B43" s="808"/>
      <c r="C43" s="808"/>
      <c r="D43" s="813">
        <f>'Energo atbalsts'!D43</f>
        <v>1.1999999999999999E-3</v>
      </c>
      <c r="E43" s="967">
        <f>'Energo atbalsts'!E43</f>
        <v>1.1999999999999999E-3</v>
      </c>
      <c r="F43" s="967">
        <f>'Energo atbalsts'!F43</f>
        <v>1E-3</v>
      </c>
      <c r="G43" s="972">
        <f>'Energo atbalsts'!G43</f>
        <v>3.0010000000000002E-3</v>
      </c>
      <c r="H43" s="810">
        <f>'Energo atbalsts'!H43</f>
        <v>0</v>
      </c>
      <c r="I43" s="821"/>
    </row>
    <row r="44" spans="1:9" ht="22.5" customHeight="1" outlineLevel="1" x14ac:dyDescent="0.3">
      <c r="A44" s="974" t="s">
        <v>2369</v>
      </c>
      <c r="B44" s="975"/>
      <c r="C44" s="976">
        <f>'Energo atbalsts'!C44</f>
        <v>0</v>
      </c>
      <c r="D44" s="976">
        <f>'Energo atbalsts'!D44</f>
        <v>50</v>
      </c>
      <c r="E44" s="976">
        <f>'Energo atbalsts'!E44</f>
        <v>24.5</v>
      </c>
      <c r="F44" s="976">
        <f>'Energo atbalsts'!F44</f>
        <v>23.547431320000001</v>
      </c>
      <c r="G44" s="976">
        <f>'Energo atbalsts'!G44</f>
        <v>0</v>
      </c>
      <c r="H44" s="976">
        <f>'Energo atbalsts'!H44</f>
        <v>0</v>
      </c>
    </row>
    <row r="45" spans="1:9" ht="15" customHeight="1" outlineLevel="1" x14ac:dyDescent="0.25">
      <c r="A45" s="822"/>
      <c r="B45" s="823"/>
      <c r="C45" s="824"/>
      <c r="D45" s="825"/>
      <c r="E45" s="825"/>
      <c r="F45" s="825"/>
      <c r="G45" s="825"/>
      <c r="H45" s="826"/>
    </row>
    <row r="46" spans="1:9" ht="20.45" customHeight="1" x14ac:dyDescent="0.25">
      <c r="A46" s="1140" t="s">
        <v>2342</v>
      </c>
      <c r="B46" s="1140"/>
      <c r="C46" s="1140"/>
      <c r="D46" s="1140"/>
      <c r="E46" s="1140"/>
      <c r="F46" s="1140"/>
      <c r="G46" s="1140"/>
      <c r="H46" s="1140"/>
    </row>
    <row r="47" spans="1:9" ht="20.25" x14ac:dyDescent="0.25">
      <c r="A47" s="1141" t="s">
        <v>2382</v>
      </c>
      <c r="B47" s="1141"/>
      <c r="C47" s="1141"/>
      <c r="D47" s="1141"/>
      <c r="E47" s="1141"/>
      <c r="F47" s="1141"/>
      <c r="G47" s="1141"/>
      <c r="H47" s="1141"/>
    </row>
    <row r="48" spans="1:9" ht="20.25" x14ac:dyDescent="0.25">
      <c r="A48" s="1140" t="s">
        <v>2343</v>
      </c>
      <c r="B48" s="1140"/>
      <c r="C48" s="1140"/>
      <c r="D48" s="1140"/>
      <c r="E48" s="1140"/>
      <c r="F48" s="1140"/>
      <c r="G48" s="1140"/>
      <c r="H48" s="1140"/>
    </row>
    <row r="49" spans="1:8" ht="24.95" customHeight="1" x14ac:dyDescent="0.3">
      <c r="A49" s="1134" t="s">
        <v>2344</v>
      </c>
      <c r="B49" s="1134"/>
      <c r="C49" s="1134"/>
      <c r="D49" s="1134" t="s">
        <v>2216</v>
      </c>
      <c r="E49" s="1134"/>
      <c r="F49" s="1134"/>
      <c r="G49" s="1134"/>
      <c r="H49" s="1134" t="s">
        <v>2217</v>
      </c>
    </row>
    <row r="51" spans="1:8" x14ac:dyDescent="0.25">
      <c r="H51" s="816"/>
    </row>
  </sheetData>
  <mergeCells count="12">
    <mergeCell ref="A49:H49"/>
    <mergeCell ref="A4:A5"/>
    <mergeCell ref="B4:C4"/>
    <mergeCell ref="D4:F4"/>
    <mergeCell ref="A9:H9"/>
    <mergeCell ref="A16:H16"/>
    <mergeCell ref="A33:H33"/>
    <mergeCell ref="A38:H38"/>
    <mergeCell ref="A46:H46"/>
    <mergeCell ref="A47:H47"/>
    <mergeCell ref="A48:H48"/>
    <mergeCell ref="G4:H4"/>
  </mergeCells>
  <pageMargins left="0.7" right="0.7" top="0.75" bottom="0.75" header="0.3" footer="0.3"/>
  <pageSetup paperSize="9" orientation="portrait"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79164-28F8-4B29-94E4-BBBA2FCF7612}">
  <sheetPr>
    <tabColor rgb="FF00B050"/>
  </sheetPr>
  <dimension ref="A1:G23"/>
  <sheetViews>
    <sheetView zoomScale="90" zoomScaleNormal="90" workbookViewId="0">
      <selection activeCell="A17" sqref="A17"/>
    </sheetView>
  </sheetViews>
  <sheetFormatPr defaultColWidth="8.7109375" defaultRowHeight="15" outlineLevelCol="1" x14ac:dyDescent="0.25"/>
  <cols>
    <col min="1" max="1" width="82.85546875" style="798" customWidth="1"/>
    <col min="2" max="2" width="12.5703125" style="798" hidden="1" customWidth="1" outlineLevel="1"/>
    <col min="3" max="3" width="14.5703125" style="798" customWidth="1" collapsed="1"/>
    <col min="4" max="4" width="9.140625" style="798" customWidth="1"/>
    <col min="5" max="5" width="15.7109375" style="798" customWidth="1"/>
    <col min="6" max="6" width="11.140625" style="798" customWidth="1"/>
    <col min="7" max="7" width="8.7109375" style="798"/>
    <col min="8" max="8" width="9.140625" style="798" customWidth="1"/>
    <col min="9" max="16384" width="8.7109375" style="798"/>
  </cols>
  <sheetData>
    <row r="1" spans="1:7" ht="15.75" x14ac:dyDescent="0.25">
      <c r="B1" s="827"/>
      <c r="C1" s="828"/>
      <c r="D1" s="828"/>
    </row>
    <row r="2" spans="1:7" ht="18.75" x14ac:dyDescent="0.3">
      <c r="A2" s="882" t="s">
        <v>2267</v>
      </c>
      <c r="B2" s="883"/>
      <c r="C2" s="884"/>
      <c r="D2" s="884"/>
    </row>
    <row r="4" spans="1:7" ht="14.45" customHeight="1" x14ac:dyDescent="0.25">
      <c r="A4" s="1142" t="s">
        <v>1764</v>
      </c>
      <c r="B4" s="1120">
        <v>2022</v>
      </c>
      <c r="C4" s="1120"/>
      <c r="D4" s="1121">
        <v>2023</v>
      </c>
      <c r="E4" s="1122"/>
    </row>
    <row r="5" spans="1:7" ht="26.1" customHeight="1" x14ac:dyDescent="0.25">
      <c r="A5" s="1143"/>
      <c r="B5" s="885" t="s">
        <v>740</v>
      </c>
      <c r="C5" s="897" t="s">
        <v>1982</v>
      </c>
      <c r="D5" s="885" t="s">
        <v>740</v>
      </c>
      <c r="E5" s="897" t="s">
        <v>2395</v>
      </c>
      <c r="F5" s="830"/>
    </row>
    <row r="6" spans="1:7" x14ac:dyDescent="0.25">
      <c r="A6" s="831" t="s">
        <v>2268</v>
      </c>
      <c r="B6" s="832">
        <f>'Atbalsts Ukrainai'!B6</f>
        <v>7.7107599999999996</v>
      </c>
      <c r="C6" s="832">
        <f>'Atbalsts Ukrainai'!C6</f>
        <v>7.702718</v>
      </c>
      <c r="D6" s="832" t="str">
        <f>'Atbalsts Ukrainai'!D6</f>
        <v>-</v>
      </c>
      <c r="E6" s="832">
        <f>'Atbalsts Ukrainai'!E6</f>
        <v>0</v>
      </c>
    </row>
    <row r="7" spans="1:7" x14ac:dyDescent="0.25">
      <c r="A7" s="831" t="s">
        <v>2269</v>
      </c>
      <c r="B7" s="832">
        <f>'Atbalsts Ukrainai'!B7</f>
        <v>54.780085999999997</v>
      </c>
      <c r="C7" s="832">
        <f>'Atbalsts Ukrainai'!C7</f>
        <v>56.771385999999985</v>
      </c>
      <c r="D7" s="832" t="str">
        <f>'Atbalsts Ukrainai'!D7</f>
        <v>-</v>
      </c>
      <c r="E7" s="832">
        <f>'Atbalsts Ukrainai'!E7</f>
        <v>5.761781</v>
      </c>
    </row>
    <row r="8" spans="1:7" x14ac:dyDescent="0.25">
      <c r="A8" s="831" t="s">
        <v>2270</v>
      </c>
      <c r="B8" s="832">
        <f>'Atbalsts Ukrainai'!B8</f>
        <v>16.920591999999999</v>
      </c>
      <c r="C8" s="832">
        <f>'Atbalsts Ukrainai'!C8</f>
        <v>16.536028000000002</v>
      </c>
      <c r="D8" s="832" t="str">
        <f>'Atbalsts Ukrainai'!D8</f>
        <v>-</v>
      </c>
      <c r="E8" s="832">
        <f>'Atbalsts Ukrainai'!E8</f>
        <v>5.875</v>
      </c>
      <c r="G8" s="835"/>
    </row>
    <row r="9" spans="1:7" ht="30" hidden="1" x14ac:dyDescent="0.25">
      <c r="A9" s="836" t="s">
        <v>2220</v>
      </c>
      <c r="B9" s="832" t="e">
        <f>'Atbalsts Ukrainai'!#REF!</f>
        <v>#REF!</v>
      </c>
      <c r="C9" s="833" t="e">
        <f>'Atbalsts Ukrainai'!#REF!</f>
        <v>#REF!</v>
      </c>
      <c r="D9" s="833"/>
      <c r="E9" s="896">
        <f>116.28-E7-E8</f>
        <v>104.643219</v>
      </c>
    </row>
    <row r="10" spans="1:7" x14ac:dyDescent="0.25">
      <c r="A10" s="837" t="s">
        <v>306</v>
      </c>
      <c r="B10" s="838">
        <f>'Atbalsts Ukrainai'!B9</f>
        <v>79.411438000000004</v>
      </c>
      <c r="C10" s="838">
        <f>'Atbalsts Ukrainai'!C9</f>
        <v>81.010131999999984</v>
      </c>
      <c r="D10" s="838">
        <f>'Atbalsts Ukrainai'!D9</f>
        <v>102</v>
      </c>
      <c r="E10" s="838">
        <f>'Atbalsts Ukrainai'!E9</f>
        <v>11.636780999999999</v>
      </c>
    </row>
    <row r="11" spans="1:7" x14ac:dyDescent="0.25">
      <c r="B11" s="839"/>
    </row>
    <row r="12" spans="1:7" hidden="1" x14ac:dyDescent="0.25">
      <c r="A12" s="1119" t="s">
        <v>2223</v>
      </c>
      <c r="B12" s="1119"/>
      <c r="C12" s="1119"/>
      <c r="D12" s="939"/>
    </row>
    <row r="13" spans="1:7" hidden="1" x14ac:dyDescent="0.25">
      <c r="A13" s="840" t="s">
        <v>2224</v>
      </c>
    </row>
    <row r="17" spans="2:4" x14ac:dyDescent="0.25">
      <c r="B17" s="842"/>
      <c r="C17" s="829"/>
      <c r="D17" s="829"/>
    </row>
    <row r="18" spans="2:4" x14ac:dyDescent="0.25">
      <c r="B18" s="829"/>
      <c r="C18" s="844"/>
      <c r="D18" s="844"/>
    </row>
    <row r="19" spans="2:4" x14ac:dyDescent="0.25">
      <c r="B19" s="845"/>
      <c r="C19" s="846"/>
      <c r="D19" s="846"/>
    </row>
    <row r="20" spans="2:4" x14ac:dyDescent="0.25">
      <c r="B20" s="845"/>
      <c r="C20" s="847"/>
      <c r="D20" s="847"/>
    </row>
    <row r="21" spans="2:4" x14ac:dyDescent="0.25">
      <c r="B21" s="845"/>
      <c r="C21" s="846"/>
      <c r="D21" s="846"/>
    </row>
    <row r="22" spans="2:4" x14ac:dyDescent="0.25">
      <c r="B22" s="845"/>
      <c r="C22" s="846"/>
      <c r="D22" s="846"/>
    </row>
    <row r="23" spans="2:4" x14ac:dyDescent="0.25">
      <c r="B23" s="829"/>
      <c r="C23" s="848"/>
      <c r="D23" s="848"/>
    </row>
  </sheetData>
  <mergeCells count="4">
    <mergeCell ref="A4:A5"/>
    <mergeCell ref="B4:C4"/>
    <mergeCell ref="A12:C12"/>
    <mergeCell ref="D4:E4"/>
  </mergeCells>
  <hyperlinks>
    <hyperlink ref="A13" r:id="rId1" xr:uid="{E917BC0E-F98D-4255-9C64-D0591CA9AEC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2C1E3-AE6D-40E6-B0BC-EF1E0902F79A}">
  <sheetPr>
    <tabColor rgb="FFFF0000"/>
  </sheetPr>
  <dimension ref="A1:Y46"/>
  <sheetViews>
    <sheetView zoomScale="50" zoomScaleNormal="50" workbookViewId="0">
      <selection activeCell="AC24" sqref="AC24"/>
    </sheetView>
  </sheetViews>
  <sheetFormatPr defaultColWidth="8.7109375" defaultRowHeight="15.75" x14ac:dyDescent="0.25"/>
  <cols>
    <col min="1" max="1" width="55.7109375" style="604" customWidth="1"/>
    <col min="2" max="2" width="10.140625" style="605" customWidth="1"/>
    <col min="3" max="3" width="11.42578125" style="605" hidden="1" customWidth="1"/>
    <col min="4" max="4" width="10.5703125" style="605" customWidth="1"/>
    <col min="5" max="5" width="23.42578125" style="605" hidden="1" customWidth="1"/>
    <col min="6" max="6" width="13.28515625" style="605" customWidth="1"/>
    <col min="7" max="7" width="16.85546875" style="604" customWidth="1"/>
    <col min="8" max="8" width="25.5703125" style="604" customWidth="1"/>
    <col min="9" max="9" width="3.42578125" style="604" customWidth="1"/>
    <col min="10" max="23" width="8.7109375" style="604"/>
    <col min="24" max="24" width="16.140625" style="604" customWidth="1"/>
    <col min="25" max="16384" width="8.7109375" style="604"/>
  </cols>
  <sheetData>
    <row r="1" spans="1:8" x14ac:dyDescent="0.25">
      <c r="F1" s="736"/>
      <c r="H1" s="737"/>
    </row>
    <row r="2" spans="1:8" ht="21.75" x14ac:dyDescent="0.3">
      <c r="A2" s="607" t="s">
        <v>2151</v>
      </c>
      <c r="F2" s="738"/>
      <c r="H2" s="739"/>
    </row>
    <row r="3" spans="1:8" ht="19.5" thickBot="1" x14ac:dyDescent="0.35">
      <c r="A3" s="607"/>
    </row>
    <row r="4" spans="1:8" ht="16.5" thickBot="1" x14ac:dyDescent="0.3">
      <c r="A4" s="1129" t="s">
        <v>1741</v>
      </c>
      <c r="B4" s="1131">
        <v>2020</v>
      </c>
      <c r="C4" s="1133"/>
      <c r="D4" s="1131">
        <v>2021</v>
      </c>
      <c r="E4" s="1132"/>
      <c r="F4" s="1145">
        <v>2022</v>
      </c>
      <c r="G4" s="1146"/>
      <c r="H4" s="1147"/>
    </row>
    <row r="5" spans="1:8" ht="48" thickBot="1" x14ac:dyDescent="0.3">
      <c r="A5" s="1093"/>
      <c r="B5" s="740" t="s">
        <v>1954</v>
      </c>
      <c r="C5" s="741" t="s">
        <v>2152</v>
      </c>
      <c r="D5" s="740" t="s">
        <v>1954</v>
      </c>
      <c r="E5" s="741" t="s">
        <v>2152</v>
      </c>
      <c r="F5" s="742" t="s">
        <v>2153</v>
      </c>
      <c r="G5" s="743" t="s">
        <v>2154</v>
      </c>
      <c r="H5" s="744" t="s">
        <v>2152</v>
      </c>
    </row>
    <row r="6" spans="1:8" x14ac:dyDescent="0.25">
      <c r="A6" s="745" t="s">
        <v>1742</v>
      </c>
      <c r="B6" s="746">
        <f t="shared" ref="B6:E6" si="0">B9+B13+B21+B30+B38</f>
        <v>1279.5963616900003</v>
      </c>
      <c r="C6" s="747">
        <f t="shared" si="0"/>
        <v>0</v>
      </c>
      <c r="D6" s="746">
        <f t="shared" si="0"/>
        <v>2283.6463718799996</v>
      </c>
      <c r="E6" s="747">
        <f t="shared" si="0"/>
        <v>0</v>
      </c>
      <c r="F6" s="748">
        <f>F9+F13+F21+F30+F38</f>
        <v>1538.58380852</v>
      </c>
      <c r="G6" s="749">
        <f>G9+G13+G21+G30+G38</f>
        <v>522.9</v>
      </c>
      <c r="H6" s="750"/>
    </row>
    <row r="7" spans="1:8" x14ac:dyDescent="0.25">
      <c r="A7" s="751" t="s">
        <v>1743</v>
      </c>
      <c r="B7" s="752">
        <f>B6/B8*100</f>
        <v>4.343946639813967</v>
      </c>
      <c r="C7" s="752" t="e">
        <f t="shared" ref="C7" si="1">C6/C8*100</f>
        <v>#DIV/0!</v>
      </c>
      <c r="D7" s="752">
        <f>D6/D8*100</f>
        <v>6.9481436452368621</v>
      </c>
      <c r="E7" s="753"/>
      <c r="F7" s="754">
        <f>F6/F8*100</f>
        <v>4.0105930415243858</v>
      </c>
      <c r="G7" s="755">
        <f>G6/G8*100</f>
        <v>1.363032088209994</v>
      </c>
      <c r="H7" s="756"/>
    </row>
    <row r="8" spans="1:8" x14ac:dyDescent="0.25">
      <c r="A8" s="757" t="s">
        <v>2155</v>
      </c>
      <c r="B8" s="602">
        <v>29457</v>
      </c>
      <c r="C8" s="758"/>
      <c r="D8" s="602">
        <v>32867</v>
      </c>
      <c r="E8" s="759"/>
      <c r="F8" s="760">
        <v>38363</v>
      </c>
      <c r="G8" s="761">
        <v>38363</v>
      </c>
      <c r="H8" s="762"/>
    </row>
    <row r="9" spans="1:8" x14ac:dyDescent="0.25">
      <c r="A9" s="763" t="s">
        <v>49</v>
      </c>
      <c r="B9" s="764">
        <v>250.99299999999999</v>
      </c>
      <c r="C9" s="765"/>
      <c r="D9" s="764">
        <v>62.55</v>
      </c>
      <c r="E9" s="765"/>
      <c r="F9" s="764">
        <v>35.5</v>
      </c>
      <c r="G9" s="766">
        <v>1.5</v>
      </c>
      <c r="H9" s="767"/>
    </row>
    <row r="10" spans="1:8" ht="105" x14ac:dyDescent="0.25">
      <c r="A10" s="768" t="s">
        <v>1744</v>
      </c>
      <c r="B10" s="769">
        <v>161.99299999999999</v>
      </c>
      <c r="C10" s="770" t="s">
        <v>2156</v>
      </c>
      <c r="D10" s="769">
        <v>62.55</v>
      </c>
      <c r="E10" s="770" t="s">
        <v>2157</v>
      </c>
      <c r="F10" s="769">
        <v>0</v>
      </c>
      <c r="G10" s="771">
        <v>1.5</v>
      </c>
      <c r="H10" s="772" t="s">
        <v>2158</v>
      </c>
    </row>
    <row r="11" spans="1:8" x14ac:dyDescent="0.25">
      <c r="A11" s="768" t="s">
        <v>1745</v>
      </c>
      <c r="B11" s="769">
        <v>60</v>
      </c>
      <c r="C11" s="770"/>
      <c r="D11" s="769">
        <v>0</v>
      </c>
      <c r="E11" s="770"/>
      <c r="F11" s="769">
        <v>0</v>
      </c>
      <c r="G11" s="773">
        <v>0</v>
      </c>
      <c r="H11" s="762"/>
    </row>
    <row r="12" spans="1:8" x14ac:dyDescent="0.25">
      <c r="A12" s="768" t="s">
        <v>1746</v>
      </c>
      <c r="B12" s="769">
        <v>29</v>
      </c>
      <c r="C12" s="774"/>
      <c r="D12" s="769">
        <v>0</v>
      </c>
      <c r="E12" s="774"/>
      <c r="F12" s="769">
        <v>30</v>
      </c>
      <c r="G12" s="773">
        <v>0</v>
      </c>
      <c r="H12" s="762"/>
    </row>
    <row r="13" spans="1:8" x14ac:dyDescent="0.25">
      <c r="A13" s="775" t="s">
        <v>50</v>
      </c>
      <c r="B13" s="776">
        <v>129.58778200000003</v>
      </c>
      <c r="C13" s="777"/>
      <c r="D13" s="776">
        <v>533.45613600000001</v>
      </c>
      <c r="E13" s="777"/>
      <c r="F13" s="776">
        <v>107.3</v>
      </c>
      <c r="G13" s="778">
        <v>77.8</v>
      </c>
      <c r="H13" s="767"/>
    </row>
    <row r="14" spans="1:8" ht="75" x14ac:dyDescent="0.25">
      <c r="A14" s="757" t="s">
        <v>1747</v>
      </c>
      <c r="B14" s="769">
        <v>60.503</v>
      </c>
      <c r="C14" s="770" t="s">
        <v>2159</v>
      </c>
      <c r="D14" s="769">
        <v>135.88231999999999</v>
      </c>
      <c r="E14" s="770" t="s">
        <v>2160</v>
      </c>
      <c r="F14" s="769">
        <v>0</v>
      </c>
      <c r="G14" s="779">
        <v>0</v>
      </c>
      <c r="H14" s="762"/>
    </row>
    <row r="15" spans="1:8" ht="180" x14ac:dyDescent="0.25">
      <c r="A15" s="780" t="s">
        <v>1748</v>
      </c>
      <c r="B15" s="769">
        <v>47.3</v>
      </c>
      <c r="C15" s="781" t="s">
        <v>2161</v>
      </c>
      <c r="D15" s="769">
        <v>32.712878000000003</v>
      </c>
      <c r="E15" s="781" t="s">
        <v>2162</v>
      </c>
      <c r="F15" s="769">
        <v>57</v>
      </c>
      <c r="G15" s="771">
        <v>7</v>
      </c>
      <c r="H15" s="782" t="s">
        <v>2163</v>
      </c>
    </row>
    <row r="16" spans="1:8" ht="45" x14ac:dyDescent="0.25">
      <c r="A16" s="780" t="s">
        <v>1749</v>
      </c>
      <c r="B16" s="603">
        <v>5.1554669999999998</v>
      </c>
      <c r="C16" s="770" t="s">
        <v>2164</v>
      </c>
      <c r="D16" s="603">
        <v>10.821989</v>
      </c>
      <c r="E16" s="770" t="s">
        <v>2165</v>
      </c>
      <c r="F16" s="769">
        <v>0</v>
      </c>
      <c r="G16" s="783">
        <v>0</v>
      </c>
      <c r="H16" s="762"/>
    </row>
    <row r="17" spans="1:8" ht="45" x14ac:dyDescent="0.25">
      <c r="A17" s="780" t="s">
        <v>1750</v>
      </c>
      <c r="B17" s="603">
        <v>2.8330139999999999</v>
      </c>
      <c r="C17" s="770" t="s">
        <v>2166</v>
      </c>
      <c r="D17" s="603">
        <v>32.656832999999999</v>
      </c>
      <c r="E17" s="770" t="s">
        <v>2167</v>
      </c>
      <c r="F17" s="769">
        <v>13.317109000000002</v>
      </c>
      <c r="G17" s="784">
        <v>40.4</v>
      </c>
      <c r="H17" s="785" t="s">
        <v>2168</v>
      </c>
    </row>
    <row r="18" spans="1:8" ht="31.5" x14ac:dyDescent="0.25">
      <c r="A18" s="780" t="s">
        <v>2169</v>
      </c>
      <c r="B18" s="603">
        <v>0</v>
      </c>
      <c r="C18" s="770"/>
      <c r="D18" s="603">
        <v>15.038055999999999</v>
      </c>
      <c r="E18" s="770" t="s">
        <v>2170</v>
      </c>
      <c r="F18" s="769">
        <v>30.059118999999999</v>
      </c>
      <c r="G18" s="786">
        <v>23.751359999999998</v>
      </c>
      <c r="H18" s="787" t="s">
        <v>2171</v>
      </c>
    </row>
    <row r="19" spans="1:8" ht="31.5" x14ac:dyDescent="0.25">
      <c r="A19" s="780" t="s">
        <v>1751</v>
      </c>
      <c r="B19" s="603">
        <v>0</v>
      </c>
      <c r="C19" s="770"/>
      <c r="D19" s="603">
        <v>187.92102600000001</v>
      </c>
      <c r="E19" s="770" t="s">
        <v>2172</v>
      </c>
      <c r="F19" s="769">
        <v>0</v>
      </c>
      <c r="G19" s="784">
        <v>0.191</v>
      </c>
      <c r="H19" s="787" t="s">
        <v>2173</v>
      </c>
    </row>
    <row r="20" spans="1:8" ht="31.5" x14ac:dyDescent="0.25">
      <c r="A20" s="780" t="s">
        <v>1752</v>
      </c>
      <c r="B20" s="603">
        <v>0</v>
      </c>
      <c r="C20" s="770"/>
      <c r="D20" s="603">
        <v>110.007152</v>
      </c>
      <c r="E20" s="770" t="s">
        <v>2174</v>
      </c>
      <c r="F20" s="769">
        <v>0</v>
      </c>
      <c r="G20" s="784">
        <v>1.7000000000000001E-2</v>
      </c>
      <c r="H20" s="787" t="s">
        <v>2175</v>
      </c>
    </row>
    <row r="21" spans="1:8" x14ac:dyDescent="0.25">
      <c r="A21" s="775" t="s">
        <v>51</v>
      </c>
      <c r="B21" s="776">
        <v>239.96399569000002</v>
      </c>
      <c r="C21" s="777"/>
      <c r="D21" s="776">
        <v>133.31562346999999</v>
      </c>
      <c r="E21" s="777"/>
      <c r="F21" s="776">
        <v>199.76380852000003</v>
      </c>
      <c r="G21" s="778">
        <v>25.6</v>
      </c>
      <c r="H21" s="767"/>
    </row>
    <row r="22" spans="1:8" ht="45" x14ac:dyDescent="0.25">
      <c r="A22" s="757" t="s">
        <v>1753</v>
      </c>
      <c r="B22" s="769">
        <v>91.8</v>
      </c>
      <c r="C22" s="781" t="s">
        <v>2176</v>
      </c>
      <c r="D22" s="769">
        <v>14.8</v>
      </c>
      <c r="E22" s="781" t="s">
        <v>2177</v>
      </c>
      <c r="F22" s="769">
        <v>5</v>
      </c>
      <c r="G22" s="783">
        <v>0</v>
      </c>
      <c r="H22" s="762"/>
    </row>
    <row r="23" spans="1:8" ht="45" x14ac:dyDescent="0.25">
      <c r="A23" s="757" t="s">
        <v>1754</v>
      </c>
      <c r="B23" s="769">
        <v>3</v>
      </c>
      <c r="C23" s="781" t="s">
        <v>2178</v>
      </c>
      <c r="D23" s="769">
        <v>5.8999999999999997E-2</v>
      </c>
      <c r="E23" s="781" t="s">
        <v>2179</v>
      </c>
      <c r="F23" s="769">
        <v>0</v>
      </c>
      <c r="G23" s="783">
        <v>0</v>
      </c>
      <c r="H23" s="762"/>
    </row>
    <row r="24" spans="1:8" ht="60" x14ac:dyDescent="0.25">
      <c r="A24" s="768" t="s">
        <v>1755</v>
      </c>
      <c r="B24" s="769">
        <v>92.5</v>
      </c>
      <c r="C24" s="781" t="s">
        <v>2180</v>
      </c>
      <c r="D24" s="769">
        <v>13.3</v>
      </c>
      <c r="E24" s="781" t="s">
        <v>2181</v>
      </c>
      <c r="F24" s="769">
        <v>30</v>
      </c>
      <c r="G24" s="783">
        <v>1.7</v>
      </c>
      <c r="H24" s="787" t="s">
        <v>2182</v>
      </c>
    </row>
    <row r="25" spans="1:8" ht="31.5" x14ac:dyDescent="0.25">
      <c r="A25" s="768" t="s">
        <v>2183</v>
      </c>
      <c r="B25" s="769">
        <v>0</v>
      </c>
      <c r="C25" s="770" t="s">
        <v>2184</v>
      </c>
      <c r="D25" s="769">
        <v>0</v>
      </c>
      <c r="E25" s="770" t="s">
        <v>2185</v>
      </c>
      <c r="F25" s="769">
        <v>0</v>
      </c>
      <c r="G25" s="773"/>
      <c r="H25" s="762"/>
    </row>
    <row r="26" spans="1:8" ht="31.5" x14ac:dyDescent="0.25">
      <c r="A26" s="768" t="s">
        <v>2186</v>
      </c>
      <c r="B26" s="769">
        <v>0</v>
      </c>
      <c r="C26" s="770" t="s">
        <v>2184</v>
      </c>
      <c r="D26" s="769">
        <v>0</v>
      </c>
      <c r="E26" s="770" t="s">
        <v>2185</v>
      </c>
      <c r="F26" s="769">
        <v>0</v>
      </c>
      <c r="G26" s="773"/>
      <c r="H26" s="762"/>
    </row>
    <row r="27" spans="1:8" ht="45" x14ac:dyDescent="0.25">
      <c r="A27" s="768" t="s">
        <v>1756</v>
      </c>
      <c r="B27" s="769">
        <v>0</v>
      </c>
      <c r="C27" s="770" t="s">
        <v>2184</v>
      </c>
      <c r="D27" s="769">
        <v>16.088100000000001</v>
      </c>
      <c r="E27" s="770" t="s">
        <v>2187</v>
      </c>
      <c r="F27" s="769">
        <v>18.899999999999999</v>
      </c>
      <c r="G27" s="784">
        <v>1.1736</v>
      </c>
      <c r="H27" s="785" t="s">
        <v>2188</v>
      </c>
    </row>
    <row r="28" spans="1:8" ht="31.5" x14ac:dyDescent="0.25">
      <c r="A28" s="768" t="s">
        <v>1757</v>
      </c>
      <c r="B28" s="769">
        <v>0</v>
      </c>
      <c r="C28" s="770" t="s">
        <v>2184</v>
      </c>
      <c r="D28" s="769">
        <v>0</v>
      </c>
      <c r="E28" s="770"/>
      <c r="F28" s="769">
        <v>70</v>
      </c>
      <c r="G28" s="783">
        <v>0</v>
      </c>
      <c r="H28" s="762"/>
    </row>
    <row r="29" spans="1:8" ht="90" x14ac:dyDescent="0.25">
      <c r="A29" s="757" t="s">
        <v>1758</v>
      </c>
      <c r="B29" s="769">
        <v>50.124114689999999</v>
      </c>
      <c r="C29" s="781" t="s">
        <v>2189</v>
      </c>
      <c r="D29" s="769">
        <v>83.737523469999999</v>
      </c>
      <c r="E29" s="781" t="s">
        <v>2189</v>
      </c>
      <c r="F29" s="603">
        <v>62.861289520000007</v>
      </c>
      <c r="G29" s="784">
        <v>23.8</v>
      </c>
      <c r="H29" s="762"/>
    </row>
    <row r="30" spans="1:8" x14ac:dyDescent="0.25">
      <c r="A30" s="775" t="s">
        <v>52</v>
      </c>
      <c r="B30" s="776">
        <v>631.79394600000012</v>
      </c>
      <c r="C30" s="777"/>
      <c r="D30" s="776">
        <v>1497.1246124100001</v>
      </c>
      <c r="E30" s="777"/>
      <c r="F30" s="788">
        <v>959.5</v>
      </c>
      <c r="G30" s="778">
        <v>377.2</v>
      </c>
      <c r="H30" s="767"/>
    </row>
    <row r="31" spans="1:8" ht="60" x14ac:dyDescent="0.25">
      <c r="A31" s="757" t="s">
        <v>2190</v>
      </c>
      <c r="B31" s="769">
        <v>133.1</v>
      </c>
      <c r="C31" s="781" t="s">
        <v>2191</v>
      </c>
      <c r="D31" s="769">
        <v>578.44283900000016</v>
      </c>
      <c r="E31" s="781" t="s">
        <v>2192</v>
      </c>
      <c r="F31" s="769">
        <v>551.1</v>
      </c>
      <c r="G31" s="784">
        <v>214.2</v>
      </c>
      <c r="H31" s="762"/>
    </row>
    <row r="32" spans="1:8" ht="60" x14ac:dyDescent="0.25">
      <c r="A32" s="757" t="s">
        <v>1759</v>
      </c>
      <c r="B32" s="769">
        <v>408.41</v>
      </c>
      <c r="C32" s="781" t="s">
        <v>2191</v>
      </c>
      <c r="D32" s="769">
        <v>227.910798</v>
      </c>
      <c r="E32" s="781" t="s">
        <v>2193</v>
      </c>
      <c r="F32" s="769">
        <v>68.8</v>
      </c>
      <c r="G32" s="786">
        <v>45</v>
      </c>
      <c r="H32" s="762"/>
    </row>
    <row r="33" spans="1:25" ht="45" x14ac:dyDescent="0.25">
      <c r="A33" s="757" t="s">
        <v>1760</v>
      </c>
      <c r="B33" s="769">
        <v>0.02</v>
      </c>
      <c r="C33" s="770" t="s">
        <v>2194</v>
      </c>
      <c r="D33" s="769">
        <v>513.12829199999999</v>
      </c>
      <c r="E33" s="770" t="s">
        <v>2195</v>
      </c>
      <c r="F33" s="769">
        <v>160.035</v>
      </c>
      <c r="G33" s="784">
        <v>57.89</v>
      </c>
      <c r="H33" s="772" t="s">
        <v>2196</v>
      </c>
    </row>
    <row r="34" spans="1:25" ht="60" x14ac:dyDescent="0.25">
      <c r="A34" s="768" t="s">
        <v>1761</v>
      </c>
      <c r="B34" s="769">
        <v>37.54</v>
      </c>
      <c r="C34" s="781" t="s">
        <v>2191</v>
      </c>
      <c r="D34" s="769">
        <v>24.146602999999999</v>
      </c>
      <c r="E34" s="781"/>
      <c r="F34" s="603">
        <v>0.3</v>
      </c>
      <c r="G34" s="784">
        <v>0</v>
      </c>
      <c r="H34" s="762"/>
      <c r="J34" s="789"/>
      <c r="K34" s="789"/>
      <c r="L34" s="789"/>
      <c r="M34" s="789"/>
      <c r="N34" s="789"/>
      <c r="O34" s="789"/>
      <c r="P34" s="789"/>
      <c r="Q34" s="789"/>
      <c r="R34" s="789"/>
      <c r="S34" s="789"/>
      <c r="T34" s="789"/>
      <c r="U34" s="789"/>
      <c r="V34" s="789"/>
      <c r="W34" s="789"/>
      <c r="X34" s="789"/>
      <c r="Y34" s="789"/>
    </row>
    <row r="35" spans="1:25" ht="60" x14ac:dyDescent="0.25">
      <c r="A35" s="757" t="s">
        <v>1762</v>
      </c>
      <c r="B35" s="769">
        <v>21.1</v>
      </c>
      <c r="C35" s="781" t="s">
        <v>2191</v>
      </c>
      <c r="D35" s="769">
        <v>19.821274999999996</v>
      </c>
      <c r="E35" s="781"/>
      <c r="F35" s="603">
        <v>6.5</v>
      </c>
      <c r="G35" s="784">
        <v>4.8</v>
      </c>
      <c r="H35" s="762"/>
    </row>
    <row r="36" spans="1:25" ht="60" x14ac:dyDescent="0.25">
      <c r="A36" s="768" t="s">
        <v>1763</v>
      </c>
      <c r="B36" s="769">
        <v>22.1</v>
      </c>
      <c r="C36" s="781" t="s">
        <v>2191</v>
      </c>
      <c r="D36" s="769">
        <v>36.901719999999997</v>
      </c>
      <c r="E36" s="781" t="s">
        <v>2197</v>
      </c>
      <c r="F36" s="603">
        <v>16.114344999999997</v>
      </c>
      <c r="G36" s="784">
        <v>15.552</v>
      </c>
      <c r="H36" s="762"/>
    </row>
    <row r="37" spans="1:25" x14ac:dyDescent="0.25">
      <c r="A37" s="757" t="s">
        <v>1772</v>
      </c>
      <c r="B37" s="769">
        <v>0</v>
      </c>
      <c r="C37" s="781"/>
      <c r="D37" s="769">
        <v>52.425425999999995</v>
      </c>
      <c r="E37" s="781"/>
      <c r="F37" s="769">
        <v>94.9</v>
      </c>
      <c r="G37" s="784">
        <v>22.9</v>
      </c>
      <c r="H37" s="762"/>
    </row>
    <row r="38" spans="1:25" x14ac:dyDescent="0.25">
      <c r="A38" s="775" t="s">
        <v>241</v>
      </c>
      <c r="B38" s="790">
        <v>27.257638</v>
      </c>
      <c r="C38" s="777"/>
      <c r="D38" s="790">
        <v>57.2</v>
      </c>
      <c r="E38" s="777"/>
      <c r="F38" s="776">
        <v>236.52</v>
      </c>
      <c r="G38" s="778">
        <v>40.799999999999997</v>
      </c>
      <c r="H38" s="767"/>
    </row>
    <row r="39" spans="1:25" ht="150" x14ac:dyDescent="0.25">
      <c r="A39" s="757" t="s">
        <v>2198</v>
      </c>
      <c r="B39" s="769">
        <v>9.3000000000000007</v>
      </c>
      <c r="C39" s="781" t="s">
        <v>2199</v>
      </c>
      <c r="D39" s="769">
        <v>37</v>
      </c>
      <c r="E39" s="781" t="s">
        <v>2200</v>
      </c>
      <c r="F39" s="769">
        <v>201.02113599999998</v>
      </c>
      <c r="G39" s="783">
        <v>33</v>
      </c>
      <c r="H39" s="762"/>
    </row>
    <row r="40" spans="1:25" x14ac:dyDescent="0.25">
      <c r="A40" s="757" t="s">
        <v>213</v>
      </c>
      <c r="B40" s="769">
        <v>0.2</v>
      </c>
      <c r="C40" s="791"/>
      <c r="D40" s="769">
        <v>20.2</v>
      </c>
      <c r="E40" s="791" t="s">
        <v>2201</v>
      </c>
      <c r="F40" s="769">
        <v>35.498666</v>
      </c>
      <c r="G40" s="773">
        <v>7.8</v>
      </c>
      <c r="H40" s="762"/>
    </row>
    <row r="41" spans="1:25" ht="16.5" thickBot="1" x14ac:dyDescent="0.3">
      <c r="A41" s="792" t="s">
        <v>2202</v>
      </c>
      <c r="B41" s="793">
        <v>17.7</v>
      </c>
      <c r="C41" s="794"/>
      <c r="D41" s="793">
        <v>0</v>
      </c>
      <c r="E41" s="795" t="s">
        <v>2201</v>
      </c>
      <c r="F41" s="793">
        <v>0</v>
      </c>
      <c r="G41" s="796">
        <v>0</v>
      </c>
      <c r="H41" s="797"/>
    </row>
    <row r="42" spans="1:25" ht="16.5" x14ac:dyDescent="0.25">
      <c r="A42" s="615" t="s">
        <v>1773</v>
      </c>
    </row>
    <row r="43" spans="1:25" x14ac:dyDescent="0.25">
      <c r="A43" s="1148" t="s">
        <v>2203</v>
      </c>
      <c r="B43" s="1149"/>
      <c r="C43" s="1149"/>
      <c r="D43" s="1149"/>
      <c r="E43" s="1149"/>
      <c r="F43" s="1149"/>
    </row>
    <row r="44" spans="1:25" x14ac:dyDescent="0.25">
      <c r="A44" s="1144" t="s">
        <v>2204</v>
      </c>
      <c r="B44" s="1144"/>
      <c r="C44" s="1144"/>
      <c r="D44" s="1144"/>
      <c r="E44" s="1144"/>
      <c r="F44" s="1144"/>
      <c r="G44" s="1144"/>
      <c r="H44" s="1144"/>
    </row>
    <row r="45" spans="1:25" x14ac:dyDescent="0.25">
      <c r="A45" s="798"/>
    </row>
    <row r="46" spans="1:25" x14ac:dyDescent="0.25">
      <c r="D46" s="799"/>
    </row>
  </sheetData>
  <mergeCells count="6">
    <mergeCell ref="A44:H44"/>
    <mergeCell ref="A4:A5"/>
    <mergeCell ref="B4:C4"/>
    <mergeCell ref="D4:E4"/>
    <mergeCell ref="F4:H4"/>
    <mergeCell ref="A43:F4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KOPĀ</vt:lpstr>
      <vt:lpstr>Covid-19</vt:lpstr>
      <vt:lpstr>Energo atbalsts</vt:lpstr>
      <vt:lpstr>Atbalsts Ukrainai</vt:lpstr>
      <vt:lpstr>TOTAL</vt:lpstr>
      <vt:lpstr>C-19_ENG</vt:lpstr>
      <vt:lpstr>Energo_ENG</vt:lpstr>
      <vt:lpstr>UKR_ENG</vt:lpstr>
      <vt:lpstr>C-19 ar saņēmējiem</vt:lpstr>
      <vt:lpstr>C-19_izvērsts</vt:lpstr>
      <vt:lpstr>Support measures</vt:lpstr>
      <vt:lpstr>'C-19_izvērsts'!Print_Area</vt:lpstr>
      <vt:lpstr>'Support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2023-03-21T09:02:25Z</dcterms:modified>
</cp:coreProperties>
</file>