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13_ncr:1_{BED7BE3F-337B-45C5-A2C7-3279F0AAFCCE}" xr6:coauthVersionLast="47" xr6:coauthVersionMax="47" xr10:uidLastSave="{00000000-0000-0000-0000-000000000000}"/>
  <bookViews>
    <workbookView xWindow="-110" yWindow="-110" windowWidth="19420" windowHeight="10420" tabRatio="763" xr2:uid="{00000000-000D-0000-FFFF-FFFF00000000}"/>
  </bookViews>
  <sheets>
    <sheet name="KOPĀ" sheetId="18" r:id="rId1"/>
    <sheet name="Covid-19" sheetId="17" r:id="rId2"/>
    <sheet name="Energo atbalsts" sheetId="20" r:id="rId3"/>
    <sheet name="Atbalsts Ukrainai" sheetId="21" r:id="rId4"/>
    <sheet name="TOTAL" sheetId="16" r:id="rId5"/>
    <sheet name="C-19_ENG" sheetId="22" r:id="rId6"/>
    <sheet name="Energo_ENG" sheetId="23" r:id="rId7"/>
    <sheet name="UKR_ENG" sheetId="24" r:id="rId8"/>
    <sheet name="C-19 ar saņēmējiem" sheetId="19" state="hidden" r:id="rId9"/>
    <sheet name="C-19_izvērsts" sheetId="11" r:id="rId10"/>
    <sheet name="Support measures" sheetId="10" state="hidden" r:id="rId11"/>
  </sheets>
  <definedNames>
    <definedName name="_xlnm._FilterDatabase" localSheetId="9" hidden="1">'C-19_izvērsts'!$A$107:$AV$500</definedName>
    <definedName name="_Hlk35704184" localSheetId="10">'Support measures'!#REF!</definedName>
    <definedName name="_xlnm.Print_Area" localSheetId="9">'C-19_izvērsts'!$A$1:$AS$502</definedName>
    <definedName name="_xlnm.Print_Titles" localSheetId="10">'Support measures'!$3:$5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152" i="11" l="1"/>
  <c r="E7" i="21"/>
  <c r="AR198" i="11"/>
  <c r="AR121" i="11"/>
  <c r="AR186" i="11" l="1"/>
  <c r="AJ186" i="11"/>
  <c r="AR262" i="11"/>
  <c r="AJ262" i="11"/>
  <c r="H31" i="20" l="1"/>
  <c r="N8" i="18" s="1"/>
  <c r="J45" i="23" l="1"/>
  <c r="I45" i="23"/>
  <c r="H45" i="23"/>
  <c r="G45" i="23"/>
  <c r="F45" i="23"/>
  <c r="C45" i="23"/>
  <c r="H43" i="23"/>
  <c r="H44" i="23"/>
  <c r="H38" i="23"/>
  <c r="H41" i="23"/>
  <c r="H42" i="23"/>
  <c r="H31" i="23"/>
  <c r="H17" i="23"/>
  <c r="H18" i="23"/>
  <c r="H25" i="23"/>
  <c r="H26" i="23"/>
  <c r="H27" i="23"/>
  <c r="H28" i="23"/>
  <c r="H29" i="23"/>
  <c r="H30" i="23"/>
  <c r="H10" i="23"/>
  <c r="H7" i="23"/>
  <c r="H6" i="20" l="1"/>
  <c r="H6" i="23" s="1"/>
  <c r="J7" i="20"/>
  <c r="J31" i="20"/>
  <c r="J6" i="20" l="1"/>
  <c r="P8" i="18" s="1"/>
  <c r="H24" i="20" l="1"/>
  <c r="H24" i="23" s="1"/>
  <c r="H23" i="20"/>
  <c r="H23" i="23" s="1"/>
  <c r="H22" i="20"/>
  <c r="H22" i="23" s="1"/>
  <c r="H21" i="20"/>
  <c r="H21" i="23" s="1"/>
  <c r="H20" i="20"/>
  <c r="H20" i="23" s="1"/>
  <c r="H19" i="20"/>
  <c r="H19" i="23" s="1"/>
  <c r="H16" i="20"/>
  <c r="H16" i="23" s="1"/>
  <c r="I10" i="23" l="1"/>
  <c r="F6" i="24"/>
  <c r="F7" i="24"/>
  <c r="F8" i="24"/>
  <c r="F9" i="24"/>
  <c r="J44" i="23"/>
  <c r="J43" i="23"/>
  <c r="I43" i="23"/>
  <c r="G43" i="23"/>
  <c r="F43" i="23"/>
  <c r="E43" i="23"/>
  <c r="D43" i="23"/>
  <c r="C43" i="23"/>
  <c r="P9" i="16"/>
  <c r="H9" i="16"/>
  <c r="P10" i="18" l="1"/>
  <c r="H10" i="18"/>
  <c r="J31" i="23" l="1"/>
  <c r="J7" i="23"/>
  <c r="P7" i="16" l="1"/>
  <c r="J6" i="23" l="1"/>
  <c r="H8" i="18"/>
  <c r="H7" i="16" s="1"/>
  <c r="N10" i="18" l="1"/>
  <c r="AN497" i="11"/>
  <c r="AN494" i="11"/>
  <c r="AN492" i="11"/>
  <c r="AN491" i="11" s="1"/>
  <c r="AN390" i="11"/>
  <c r="AN386" i="11"/>
  <c r="AN351" i="11"/>
  <c r="AN346" i="11"/>
  <c r="AN316" i="11"/>
  <c r="AN281" i="11"/>
  <c r="AN263" i="11"/>
  <c r="AN107" i="11"/>
  <c r="AN94" i="11"/>
  <c r="AN89" i="11"/>
  <c r="AN88" i="11"/>
  <c r="AN87" i="11" s="1"/>
  <c r="AN85" i="11"/>
  <c r="AN83" i="11"/>
  <c r="AN81" i="11"/>
  <c r="AN79" i="11"/>
  <c r="AN77" i="11"/>
  <c r="AN58" i="11"/>
  <c r="AN55" i="11"/>
  <c r="AN51" i="11"/>
  <c r="AN49" i="11"/>
  <c r="AN46" i="11"/>
  <c r="AN44" i="11"/>
  <c r="AN42" i="11"/>
  <c r="AN37" i="11"/>
  <c r="AN29" i="11"/>
  <c r="AN26" i="11"/>
  <c r="AN24" i="11"/>
  <c r="AN22" i="11"/>
  <c r="AN20" i="11"/>
  <c r="AN17" i="11"/>
  <c r="AN14" i="11"/>
  <c r="AN11" i="11"/>
  <c r="AN10" i="11"/>
  <c r="I16" i="20"/>
  <c r="I24" i="20"/>
  <c r="I23" i="20"/>
  <c r="I19" i="20"/>
  <c r="I21" i="20"/>
  <c r="I22" i="20"/>
  <c r="AN76" i="11" l="1"/>
  <c r="AN9" i="11"/>
  <c r="AN8" i="11" s="1"/>
  <c r="AN106" i="11"/>
  <c r="AN28" i="11"/>
  <c r="AS371" i="11"/>
  <c r="AN7" i="11" l="1"/>
  <c r="I20" i="20"/>
  <c r="AS261" i="11" l="1"/>
  <c r="AI261" i="11"/>
  <c r="AC261" i="11"/>
  <c r="Q261" i="11" s="1"/>
  <c r="X261" i="11"/>
  <c r="U261" i="11"/>
  <c r="T261" i="11"/>
  <c r="S261" i="11"/>
  <c r="R261" i="11"/>
  <c r="P261" i="11"/>
  <c r="M261" i="11"/>
  <c r="L261" i="11"/>
  <c r="K261" i="11" l="1"/>
  <c r="O261" i="11"/>
  <c r="N261" i="11"/>
  <c r="E7" i="24" l="1"/>
  <c r="AQ88" i="11"/>
  <c r="AP88" i="11"/>
  <c r="AO88" i="11"/>
  <c r="AM88" i="11"/>
  <c r="AJ88" i="11"/>
  <c r="AJ87" i="11" s="1"/>
  <c r="I44" i="23"/>
  <c r="I42" i="23"/>
  <c r="I41" i="23"/>
  <c r="I38" i="23"/>
  <c r="I17" i="23"/>
  <c r="I18" i="23"/>
  <c r="I19" i="23"/>
  <c r="I20" i="23"/>
  <c r="I21" i="23"/>
  <c r="I22" i="23"/>
  <c r="I23" i="23"/>
  <c r="I24" i="23"/>
  <c r="I25" i="23"/>
  <c r="I26" i="23"/>
  <c r="I27" i="23"/>
  <c r="I28" i="23"/>
  <c r="I29" i="23"/>
  <c r="I30" i="23"/>
  <c r="I16" i="23"/>
  <c r="G30" i="23"/>
  <c r="G29" i="23"/>
  <c r="G28" i="23"/>
  <c r="G26" i="23"/>
  <c r="G25" i="23"/>
  <c r="G21" i="23"/>
  <c r="G16" i="23"/>
  <c r="F40" i="23"/>
  <c r="F39" i="23"/>
  <c r="F36" i="23"/>
  <c r="F35" i="23"/>
  <c r="F34" i="23"/>
  <c r="F33" i="23"/>
  <c r="F30" i="23"/>
  <c r="F29" i="23"/>
  <c r="F28" i="23"/>
  <c r="F26" i="23"/>
  <c r="F25" i="23"/>
  <c r="F18" i="23"/>
  <c r="F17" i="23"/>
  <c r="F10" i="23"/>
  <c r="F11" i="23"/>
  <c r="F12" i="23"/>
  <c r="F13" i="23"/>
  <c r="F14" i="23"/>
  <c r="G44" i="23"/>
  <c r="D9" i="24"/>
  <c r="D7" i="24"/>
  <c r="C8" i="24"/>
  <c r="D8" i="24"/>
  <c r="E8" i="24"/>
  <c r="D6" i="24"/>
  <c r="E6" i="24"/>
  <c r="M4" i="16"/>
  <c r="K14" i="18"/>
  <c r="L14" i="18"/>
  <c r="M14" i="18"/>
  <c r="N14" i="18"/>
  <c r="O14" i="18"/>
  <c r="J14" i="18"/>
  <c r="I7" i="20"/>
  <c r="I7" i="23" l="1"/>
  <c r="AI78" i="11"/>
  <c r="T244" i="11"/>
  <c r="AS244" i="11"/>
  <c r="S180" i="11"/>
  <c r="T111" i="11"/>
  <c r="T112" i="11"/>
  <c r="T124" i="11"/>
  <c r="T125" i="11"/>
  <c r="T128" i="11"/>
  <c r="T129" i="11"/>
  <c r="T130" i="11"/>
  <c r="T133" i="11"/>
  <c r="T134" i="11"/>
  <c r="T135" i="11"/>
  <c r="T137" i="11"/>
  <c r="T138" i="11"/>
  <c r="T139" i="11"/>
  <c r="T140" i="11"/>
  <c r="T141" i="11"/>
  <c r="T142" i="11"/>
  <c r="T143" i="11"/>
  <c r="T144" i="11"/>
  <c r="T145" i="11"/>
  <c r="T146" i="11"/>
  <c r="T147" i="11"/>
  <c r="T148" i="11"/>
  <c r="T149" i="11"/>
  <c r="T150" i="11"/>
  <c r="T151" i="11"/>
  <c r="T153" i="11"/>
  <c r="T154" i="11"/>
  <c r="T155" i="11"/>
  <c r="T156" i="11"/>
  <c r="T158" i="11"/>
  <c r="T159" i="11"/>
  <c r="T160" i="11"/>
  <c r="T161" i="11"/>
  <c r="T162" i="11"/>
  <c r="T163" i="11"/>
  <c r="T164" i="11"/>
  <c r="T165" i="11"/>
  <c r="T166" i="11"/>
  <c r="T167" i="11"/>
  <c r="T168" i="11"/>
  <c r="T169" i="11"/>
  <c r="T170" i="11"/>
  <c r="T171" i="11"/>
  <c r="T172" i="11"/>
  <c r="T173" i="11"/>
  <c r="T174" i="11"/>
  <c r="T175" i="11"/>
  <c r="T176" i="11"/>
  <c r="T177" i="11"/>
  <c r="T178" i="11"/>
  <c r="T179" i="11"/>
  <c r="T181" i="11"/>
  <c r="T182" i="11"/>
  <c r="T183" i="11"/>
  <c r="T184" i="11"/>
  <c r="T185" i="11"/>
  <c r="T186" i="11"/>
  <c r="T187" i="11"/>
  <c r="T188" i="11"/>
  <c r="T189" i="11"/>
  <c r="T190" i="11"/>
  <c r="T191" i="11"/>
  <c r="T192" i="11"/>
  <c r="T193" i="11"/>
  <c r="T194" i="11"/>
  <c r="T195" i="11"/>
  <c r="T196" i="11"/>
  <c r="T197" i="11"/>
  <c r="T199" i="11"/>
  <c r="T200" i="11"/>
  <c r="T201" i="11"/>
  <c r="T202" i="11"/>
  <c r="T203" i="11"/>
  <c r="T204" i="11"/>
  <c r="T205" i="11"/>
  <c r="T207" i="11"/>
  <c r="T208" i="11"/>
  <c r="T209" i="11"/>
  <c r="T210" i="11"/>
  <c r="T211" i="11"/>
  <c r="T212" i="11"/>
  <c r="T213" i="11"/>
  <c r="T214" i="11"/>
  <c r="T215" i="11"/>
  <c r="T216" i="11"/>
  <c r="T217" i="11"/>
  <c r="T218" i="11"/>
  <c r="T219" i="11"/>
  <c r="T220" i="11"/>
  <c r="T221" i="11"/>
  <c r="T222" i="11"/>
  <c r="T223" i="11"/>
  <c r="T224" i="11"/>
  <c r="T225" i="11"/>
  <c r="T226" i="11"/>
  <c r="T227" i="11"/>
  <c r="T228" i="11"/>
  <c r="T229" i="11"/>
  <c r="T230" i="11"/>
  <c r="T231" i="11"/>
  <c r="T232" i="11"/>
  <c r="T233" i="11"/>
  <c r="T234" i="11"/>
  <c r="T235" i="11"/>
  <c r="T236" i="11"/>
  <c r="T237" i="11"/>
  <c r="T238" i="11"/>
  <c r="T239" i="11"/>
  <c r="T240" i="11"/>
  <c r="T241" i="11"/>
  <c r="T242" i="11"/>
  <c r="T243" i="11"/>
  <c r="T245" i="11"/>
  <c r="T246" i="11"/>
  <c r="T247" i="11"/>
  <c r="T248" i="11"/>
  <c r="T249" i="11"/>
  <c r="T250" i="11"/>
  <c r="T251" i="11"/>
  <c r="T252" i="11"/>
  <c r="T253" i="11"/>
  <c r="T254" i="11"/>
  <c r="T255" i="11"/>
  <c r="T256" i="11"/>
  <c r="T257" i="11"/>
  <c r="T258" i="11"/>
  <c r="T259" i="11"/>
  <c r="T260" i="11"/>
  <c r="T262" i="11"/>
  <c r="S371" i="11"/>
  <c r="S488" i="11"/>
  <c r="S95" i="11"/>
  <c r="S92" i="11"/>
  <c r="S93" i="11"/>
  <c r="S490" i="11"/>
  <c r="S487" i="11"/>
  <c r="S486" i="11"/>
  <c r="S485" i="11"/>
  <c r="S483" i="11"/>
  <c r="S482" i="11"/>
  <c r="S481" i="11"/>
  <c r="S480" i="11"/>
  <c r="S479" i="11"/>
  <c r="S478" i="11"/>
  <c r="S477" i="11"/>
  <c r="S476" i="11"/>
  <c r="S474" i="11"/>
  <c r="S473" i="11"/>
  <c r="S472" i="11"/>
  <c r="S471" i="11"/>
  <c r="S470" i="11"/>
  <c r="S469" i="11"/>
  <c r="S468" i="11"/>
  <c r="S466" i="11"/>
  <c r="S465" i="11"/>
  <c r="S464" i="11"/>
  <c r="S463" i="11"/>
  <c r="S462" i="11"/>
  <c r="S461" i="11"/>
  <c r="S460" i="11"/>
  <c r="S459" i="11"/>
  <c r="S458" i="11"/>
  <c r="S457" i="11"/>
  <c r="S456" i="11"/>
  <c r="S455" i="11"/>
  <c r="S454" i="11"/>
  <c r="S453" i="11"/>
  <c r="S452" i="11"/>
  <c r="S451" i="11"/>
  <c r="S450" i="11"/>
  <c r="S449" i="11"/>
  <c r="S448" i="11"/>
  <c r="S447" i="11"/>
  <c r="S446" i="11"/>
  <c r="S445" i="11"/>
  <c r="S444" i="11"/>
  <c r="S443" i="11"/>
  <c r="S442" i="11"/>
  <c r="S441" i="11"/>
  <c r="S440" i="11"/>
  <c r="S439" i="11"/>
  <c r="S438" i="11"/>
  <c r="S436" i="11"/>
  <c r="S435" i="11"/>
  <c r="S434" i="11"/>
  <c r="S433" i="11"/>
  <c r="S432" i="11"/>
  <c r="S430" i="11"/>
  <c r="S429" i="11"/>
  <c r="S428" i="11"/>
  <c r="S427" i="11"/>
  <c r="S426" i="11"/>
  <c r="S425" i="11"/>
  <c r="S424" i="11"/>
  <c r="S423" i="11"/>
  <c r="S422" i="11"/>
  <c r="S421" i="11"/>
  <c r="S420" i="11"/>
  <c r="S419" i="11"/>
  <c r="S418" i="11"/>
  <c r="S417" i="11"/>
  <c r="S416" i="11"/>
  <c r="S415" i="11"/>
  <c r="S414" i="11"/>
  <c r="S413" i="11"/>
  <c r="S412" i="11"/>
  <c r="S411" i="11"/>
  <c r="S410" i="11"/>
  <c r="S409" i="11"/>
  <c r="S408" i="11"/>
  <c r="S407" i="11"/>
  <c r="S406" i="11"/>
  <c r="S405" i="11"/>
  <c r="S403" i="11"/>
  <c r="S402" i="11"/>
  <c r="S401" i="11"/>
  <c r="S400" i="11"/>
  <c r="S399" i="11"/>
  <c r="S398" i="11"/>
  <c r="S397" i="11"/>
  <c r="S396" i="11"/>
  <c r="S395" i="11"/>
  <c r="S394" i="11"/>
  <c r="S391" i="11"/>
  <c r="S388" i="11"/>
  <c r="S387" i="11"/>
  <c r="S381" i="11"/>
  <c r="S380" i="11"/>
  <c r="S379" i="11"/>
  <c r="S378" i="11"/>
  <c r="S377" i="11"/>
  <c r="S376" i="11"/>
  <c r="S375" i="11"/>
  <c r="S374" i="11"/>
  <c r="S373" i="11"/>
  <c r="S372" i="11"/>
  <c r="S369" i="11"/>
  <c r="S368" i="11"/>
  <c r="S365" i="11"/>
  <c r="S364" i="11"/>
  <c r="S363" i="11"/>
  <c r="S362" i="11"/>
  <c r="S361" i="11"/>
  <c r="S360" i="11"/>
  <c r="S359" i="11"/>
  <c r="S357" i="11"/>
  <c r="S355" i="11"/>
  <c r="S353" i="11"/>
  <c r="S350" i="11"/>
  <c r="S349" i="11"/>
  <c r="S348" i="11"/>
  <c r="S347" i="11"/>
  <c r="S339" i="11"/>
  <c r="S338" i="11"/>
  <c r="S337" i="11"/>
  <c r="S336" i="11"/>
  <c r="S335" i="11"/>
  <c r="S334" i="11"/>
  <c r="S333" i="11"/>
  <c r="S332" i="11"/>
  <c r="S331" i="11"/>
  <c r="S330" i="11"/>
  <c r="S329" i="11"/>
  <c r="S328" i="11"/>
  <c r="S327" i="11"/>
  <c r="S326" i="11"/>
  <c r="S325" i="11"/>
  <c r="S324" i="11"/>
  <c r="S323" i="11"/>
  <c r="S322" i="11"/>
  <c r="S321" i="11"/>
  <c r="S320" i="11"/>
  <c r="S319" i="11"/>
  <c r="S318" i="11"/>
  <c r="S317" i="11"/>
  <c r="S315" i="11"/>
  <c r="S312" i="11"/>
  <c r="S311" i="11"/>
  <c r="S310" i="11"/>
  <c r="S309" i="11"/>
  <c r="S307" i="11"/>
  <c r="S306" i="11"/>
  <c r="S305" i="11"/>
  <c r="S303" i="11"/>
  <c r="S302" i="11"/>
  <c r="S301" i="11"/>
  <c r="S300" i="11"/>
  <c r="S299" i="11"/>
  <c r="S298" i="11"/>
  <c r="S297" i="11"/>
  <c r="S296" i="11"/>
  <c r="S295" i="11"/>
  <c r="S294" i="11"/>
  <c r="S293" i="11"/>
  <c r="S292" i="11"/>
  <c r="S291" i="11"/>
  <c r="S290" i="11"/>
  <c r="S289" i="11"/>
  <c r="S288" i="11"/>
  <c r="S287" i="11"/>
  <c r="S286" i="11"/>
  <c r="S285" i="11"/>
  <c r="S284" i="11"/>
  <c r="S283" i="11"/>
  <c r="S282" i="11"/>
  <c r="S279" i="11"/>
  <c r="S278" i="11"/>
  <c r="S277" i="11"/>
  <c r="S276" i="11"/>
  <c r="S275" i="11"/>
  <c r="S274" i="11"/>
  <c r="S272" i="11"/>
  <c r="S271" i="11"/>
  <c r="S270" i="11"/>
  <c r="S269" i="11"/>
  <c r="S268" i="11"/>
  <c r="S267" i="11"/>
  <c r="S266" i="11"/>
  <c r="S265" i="11"/>
  <c r="S264" i="11"/>
  <c r="S256" i="11"/>
  <c r="S255" i="11"/>
  <c r="S250" i="11"/>
  <c r="S249" i="11"/>
  <c r="S243" i="11"/>
  <c r="S231" i="11"/>
  <c r="S228" i="11"/>
  <c r="S227" i="11"/>
  <c r="S226" i="11"/>
  <c r="S222" i="11"/>
  <c r="S220" i="11"/>
  <c r="S219" i="11"/>
  <c r="S218" i="11"/>
  <c r="S216" i="11"/>
  <c r="S215" i="11"/>
  <c r="S214" i="11"/>
  <c r="S213" i="11"/>
  <c r="S212" i="11"/>
  <c r="S210" i="11"/>
  <c r="S209" i="11"/>
  <c r="S208" i="11"/>
  <c r="S207" i="11"/>
  <c r="S205" i="11"/>
  <c r="S204" i="11"/>
  <c r="S203" i="11"/>
  <c r="S202" i="11"/>
  <c r="S201" i="11"/>
  <c r="S200" i="11"/>
  <c r="S199" i="11"/>
  <c r="S197" i="11"/>
  <c r="S196" i="11"/>
  <c r="S195" i="11"/>
  <c r="S194" i="11"/>
  <c r="S193" i="11"/>
  <c r="S192" i="11"/>
  <c r="S191" i="11"/>
  <c r="S190" i="11"/>
  <c r="S189" i="11"/>
  <c r="S188" i="11"/>
  <c r="S187" i="11"/>
  <c r="S185" i="11"/>
  <c r="S184" i="11"/>
  <c r="S183" i="11"/>
  <c r="S182" i="11"/>
  <c r="S179" i="11"/>
  <c r="S178" i="11"/>
  <c r="S177" i="11"/>
  <c r="S176" i="11"/>
  <c r="S175" i="11"/>
  <c r="S174" i="11"/>
  <c r="S173" i="11"/>
  <c r="S172" i="11"/>
  <c r="S170" i="11"/>
  <c r="S169" i="11"/>
  <c r="S168" i="11"/>
  <c r="S167" i="11"/>
  <c r="S166" i="11"/>
  <c r="S165" i="11"/>
  <c r="S164" i="11"/>
  <c r="S163" i="11"/>
  <c r="S162" i="11"/>
  <c r="S161" i="11"/>
  <c r="S160" i="11"/>
  <c r="S159" i="11"/>
  <c r="S158" i="11"/>
  <c r="S156" i="11"/>
  <c r="S155" i="11"/>
  <c r="S154" i="11"/>
  <c r="S153" i="11"/>
  <c r="S151" i="11"/>
  <c r="S150" i="11"/>
  <c r="S149" i="11"/>
  <c r="S148" i="11"/>
  <c r="S147" i="11"/>
  <c r="S146" i="11"/>
  <c r="S145" i="11"/>
  <c r="S144" i="11"/>
  <c r="S143" i="11"/>
  <c r="S142" i="11"/>
  <c r="S141" i="11"/>
  <c r="S140" i="11"/>
  <c r="S139" i="11"/>
  <c r="S138" i="11"/>
  <c r="S137" i="11"/>
  <c r="S135" i="11"/>
  <c r="S134" i="11"/>
  <c r="S133" i="11"/>
  <c r="S130" i="11"/>
  <c r="S129" i="11"/>
  <c r="S128" i="11"/>
  <c r="S125" i="11"/>
  <c r="S124" i="11"/>
  <c r="S112" i="11"/>
  <c r="S111" i="11"/>
  <c r="S75" i="11"/>
  <c r="S72" i="11"/>
  <c r="S71" i="11"/>
  <c r="S70" i="11"/>
  <c r="S69" i="11"/>
  <c r="S68" i="11"/>
  <c r="S67" i="11"/>
  <c r="S66" i="11"/>
  <c r="S63" i="11"/>
  <c r="S62" i="11"/>
  <c r="S61" i="11"/>
  <c r="S56" i="11"/>
  <c r="S54" i="11"/>
  <c r="S52" i="11"/>
  <c r="S50" i="11"/>
  <c r="S48" i="11"/>
  <c r="S47" i="11"/>
  <c r="S45" i="11"/>
  <c r="S41" i="11"/>
  <c r="S40" i="11"/>
  <c r="S39" i="11"/>
  <c r="S38" i="11"/>
  <c r="S36" i="11"/>
  <c r="AE94" i="11"/>
  <c r="AD94" i="11"/>
  <c r="AI500" i="11" l="1"/>
  <c r="AI494" i="11"/>
  <c r="G38" i="17" s="1"/>
  <c r="AI492" i="11"/>
  <c r="AI489" i="11"/>
  <c r="AI484" i="11"/>
  <c r="AI475" i="11"/>
  <c r="AI467" i="11"/>
  <c r="AI437" i="11"/>
  <c r="AI431" i="11"/>
  <c r="AI389" i="11"/>
  <c r="AI386" i="11" s="1"/>
  <c r="G31" i="17" s="1"/>
  <c r="AI385" i="11"/>
  <c r="AI384" i="11"/>
  <c r="AI383" i="11"/>
  <c r="AI382" i="11"/>
  <c r="AI370" i="11"/>
  <c r="AI367" i="11"/>
  <c r="AI366" i="11"/>
  <c r="AI358" i="11"/>
  <c r="AI356" i="11"/>
  <c r="AI354" i="11"/>
  <c r="AI352" i="11"/>
  <c r="AI346" i="11"/>
  <c r="G32" i="17" s="1"/>
  <c r="AI345" i="11"/>
  <c r="AI344" i="11"/>
  <c r="AI343" i="11"/>
  <c r="AI342" i="11"/>
  <c r="AI341" i="11"/>
  <c r="AI340" i="11"/>
  <c r="AI314" i="11"/>
  <c r="AI313" i="11"/>
  <c r="AI304" i="11"/>
  <c r="AI280" i="11"/>
  <c r="AI273" i="11"/>
  <c r="AI260" i="11"/>
  <c r="AI259" i="11"/>
  <c r="AI258" i="11"/>
  <c r="AI257" i="11"/>
  <c r="AI254" i="11"/>
  <c r="AI253" i="11"/>
  <c r="AI252" i="11"/>
  <c r="AI251" i="11"/>
  <c r="AI248" i="11"/>
  <c r="AI247" i="11"/>
  <c r="AI246" i="11"/>
  <c r="AI245" i="11"/>
  <c r="AI244" i="11"/>
  <c r="AI242" i="11"/>
  <c r="AI241" i="11"/>
  <c r="AI240" i="11"/>
  <c r="AI239" i="11"/>
  <c r="AI238" i="11"/>
  <c r="AI237" i="11"/>
  <c r="AI236" i="11"/>
  <c r="AI235" i="11"/>
  <c r="AI234" i="11"/>
  <c r="AI233" i="11"/>
  <c r="AI232" i="11"/>
  <c r="AI230" i="11"/>
  <c r="AI229" i="11"/>
  <c r="AI225" i="11"/>
  <c r="AI224" i="11"/>
  <c r="AI223" i="11"/>
  <c r="AI221" i="11"/>
  <c r="AI217" i="11"/>
  <c r="AI211" i="11"/>
  <c r="AI186" i="11"/>
  <c r="AI181" i="11"/>
  <c r="AI171" i="11"/>
  <c r="AI127" i="11"/>
  <c r="AI126" i="11"/>
  <c r="AI105" i="11"/>
  <c r="AI96" i="11"/>
  <c r="AI91" i="11"/>
  <c r="AI90" i="11"/>
  <c r="S90" i="11" s="1"/>
  <c r="AI87" i="11"/>
  <c r="G26" i="17" s="1"/>
  <c r="AI85" i="11"/>
  <c r="AI83" i="11"/>
  <c r="G25" i="17" s="1"/>
  <c r="AI82" i="11"/>
  <c r="AI80" i="11"/>
  <c r="AI74" i="11"/>
  <c r="AI59" i="11"/>
  <c r="AI55" i="11"/>
  <c r="G16" i="17" s="1"/>
  <c r="AI51" i="11"/>
  <c r="G15" i="17" s="1"/>
  <c r="AI49" i="11"/>
  <c r="G20" i="17" s="1"/>
  <c r="AI46" i="11"/>
  <c r="G17" i="17" s="1"/>
  <c r="AI44" i="11"/>
  <c r="G19" i="17" s="1"/>
  <c r="AI43" i="11"/>
  <c r="AI37" i="11"/>
  <c r="G14" i="17" s="1"/>
  <c r="AI29" i="11"/>
  <c r="G13" i="17" s="1"/>
  <c r="AI26" i="11"/>
  <c r="AI24" i="11"/>
  <c r="AI22" i="11"/>
  <c r="G10" i="17" s="1"/>
  <c r="AI20" i="11"/>
  <c r="G11" i="17" s="1"/>
  <c r="AI9" i="11"/>
  <c r="G9" i="17" s="1"/>
  <c r="AP497" i="11"/>
  <c r="AP494" i="11"/>
  <c r="AP492" i="11"/>
  <c r="AP390" i="11"/>
  <c r="AP386" i="11"/>
  <c r="AP351" i="11"/>
  <c r="AP346" i="11"/>
  <c r="AP316" i="11"/>
  <c r="AP281" i="11"/>
  <c r="AP263" i="11"/>
  <c r="AP107" i="11"/>
  <c r="AP94" i="11"/>
  <c r="AP89" i="11"/>
  <c r="AP87" i="11"/>
  <c r="AP85" i="11"/>
  <c r="AP83" i="11"/>
  <c r="AP81" i="11"/>
  <c r="AP79" i="11"/>
  <c r="AP77" i="11"/>
  <c r="AP58" i="11"/>
  <c r="AP55" i="11"/>
  <c r="AP51" i="11"/>
  <c r="AP49" i="11"/>
  <c r="AP46" i="11"/>
  <c r="AP44" i="11"/>
  <c r="AP42" i="11"/>
  <c r="AP37" i="11"/>
  <c r="AP29" i="11"/>
  <c r="AP26" i="11"/>
  <c r="AP24" i="11"/>
  <c r="AP22" i="11"/>
  <c r="AP20" i="11"/>
  <c r="AP9" i="11"/>
  <c r="AO497" i="11"/>
  <c r="AO494" i="11"/>
  <c r="M38" i="17" s="1"/>
  <c r="M38" i="22" s="1"/>
  <c r="AO492" i="11"/>
  <c r="M37" i="17" s="1"/>
  <c r="M37" i="22" s="1"/>
  <c r="AO390" i="11"/>
  <c r="AO386" i="11"/>
  <c r="M31" i="17" s="1"/>
  <c r="M31" i="22" s="1"/>
  <c r="AO351" i="11"/>
  <c r="M35" i="17" s="1"/>
  <c r="M35" i="22" s="1"/>
  <c r="AO346" i="11"/>
  <c r="M32" i="17" s="1"/>
  <c r="M32" i="22" s="1"/>
  <c r="AO316" i="11"/>
  <c r="M33" i="17" s="1"/>
  <c r="M33" i="22" s="1"/>
  <c r="AO281" i="11"/>
  <c r="M34" i="17" s="1"/>
  <c r="M34" i="22" s="1"/>
  <c r="AO263" i="11"/>
  <c r="M30" i="17" s="1"/>
  <c r="M30" i="22" s="1"/>
  <c r="AO107" i="11"/>
  <c r="M29" i="17" s="1"/>
  <c r="M29" i="22" s="1"/>
  <c r="AO94" i="11"/>
  <c r="M27" i="17" s="1"/>
  <c r="M27" i="22" s="1"/>
  <c r="AO89" i="11"/>
  <c r="AO87" i="11"/>
  <c r="M26" i="17" s="1"/>
  <c r="M26" i="22" s="1"/>
  <c r="AO85" i="11"/>
  <c r="AO83" i="11"/>
  <c r="M25" i="17" s="1"/>
  <c r="M25" i="22" s="1"/>
  <c r="AO81" i="11"/>
  <c r="M23" i="17" s="1"/>
  <c r="M23" i="22" s="1"/>
  <c r="AO79" i="11"/>
  <c r="M22" i="17" s="1"/>
  <c r="M22" i="22" s="1"/>
  <c r="AO77" i="11"/>
  <c r="M24" i="17" s="1"/>
  <c r="M24" i="22" s="1"/>
  <c r="AO58" i="11"/>
  <c r="AO55" i="11"/>
  <c r="M16" i="17" s="1"/>
  <c r="M16" i="22" s="1"/>
  <c r="AO51" i="11"/>
  <c r="M15" i="17" s="1"/>
  <c r="M15" i="22" s="1"/>
  <c r="AO49" i="11"/>
  <c r="M20" i="17" s="1"/>
  <c r="M20" i="22" s="1"/>
  <c r="AO46" i="11"/>
  <c r="M17" i="17" s="1"/>
  <c r="M17" i="22" s="1"/>
  <c r="AO44" i="11"/>
  <c r="M19" i="17" s="1"/>
  <c r="M19" i="22" s="1"/>
  <c r="AO42" i="11"/>
  <c r="M18" i="17" s="1"/>
  <c r="M18" i="22" s="1"/>
  <c r="AO37" i="11"/>
  <c r="M14" i="17" s="1"/>
  <c r="M14" i="22" s="1"/>
  <c r="AO29" i="11"/>
  <c r="M13" i="17" s="1"/>
  <c r="M13" i="22" s="1"/>
  <c r="AO26" i="11"/>
  <c r="AO24" i="11"/>
  <c r="AO22" i="11"/>
  <c r="M10" i="17" s="1"/>
  <c r="M10" i="22" s="1"/>
  <c r="AO20" i="11"/>
  <c r="M11" i="17" s="1"/>
  <c r="M11" i="22" s="1"/>
  <c r="AO9" i="11"/>
  <c r="M9" i="17" s="1"/>
  <c r="M9" i="22" s="1"/>
  <c r="AM497" i="11"/>
  <c r="AM494" i="11"/>
  <c r="I38" i="17" s="1"/>
  <c r="AM492" i="11"/>
  <c r="I37" i="17" s="1"/>
  <c r="AM390" i="11"/>
  <c r="AM386" i="11"/>
  <c r="I31" i="17" s="1"/>
  <c r="AM351" i="11"/>
  <c r="I35" i="17" s="1"/>
  <c r="AM346" i="11"/>
  <c r="I32" i="17" s="1"/>
  <c r="AM316" i="11"/>
  <c r="I33" i="17" s="1"/>
  <c r="AM281" i="11"/>
  <c r="I34" i="17" s="1"/>
  <c r="AM263" i="11"/>
  <c r="I30" i="17" s="1"/>
  <c r="AM107" i="11"/>
  <c r="I29" i="17" s="1"/>
  <c r="AM94" i="11"/>
  <c r="I27" i="17" s="1"/>
  <c r="AM89" i="11"/>
  <c r="AM87" i="11"/>
  <c r="I26" i="17" s="1"/>
  <c r="AM85" i="11"/>
  <c r="AM83" i="11"/>
  <c r="I25" i="17" s="1"/>
  <c r="AM81" i="11"/>
  <c r="I23" i="17" s="1"/>
  <c r="AM79" i="11"/>
  <c r="I22" i="17" s="1"/>
  <c r="AM77" i="11"/>
  <c r="I24" i="17" s="1"/>
  <c r="AM58" i="11"/>
  <c r="AM55" i="11"/>
  <c r="I16" i="17" s="1"/>
  <c r="AM51" i="11"/>
  <c r="I15" i="17" s="1"/>
  <c r="AM49" i="11"/>
  <c r="I20" i="17" s="1"/>
  <c r="AM46" i="11"/>
  <c r="I17" i="17" s="1"/>
  <c r="AM44" i="11"/>
  <c r="I19" i="17" s="1"/>
  <c r="AM42" i="11"/>
  <c r="I18" i="17" s="1"/>
  <c r="AM37" i="11"/>
  <c r="I14" i="17" s="1"/>
  <c r="AM29" i="11"/>
  <c r="I13" i="17" s="1"/>
  <c r="AM26" i="11"/>
  <c r="AM24" i="11"/>
  <c r="AM22" i="11"/>
  <c r="I10" i="17" s="1"/>
  <c r="AM20" i="11"/>
  <c r="I11" i="17" s="1"/>
  <c r="AM17" i="11"/>
  <c r="AM14" i="11"/>
  <c r="AM11" i="11"/>
  <c r="AM10" i="11"/>
  <c r="S497" i="11"/>
  <c r="S494" i="11"/>
  <c r="F38" i="17" s="1"/>
  <c r="S492" i="11"/>
  <c r="F37" i="17" s="1"/>
  <c r="S87" i="11"/>
  <c r="F26" i="17" s="1"/>
  <c r="S85" i="11"/>
  <c r="S83" i="11"/>
  <c r="F25" i="17" s="1"/>
  <c r="S81" i="11"/>
  <c r="F23" i="17" s="1"/>
  <c r="S79" i="11"/>
  <c r="F22" i="17" s="1"/>
  <c r="S77" i="11"/>
  <c r="F24" i="17" s="1"/>
  <c r="S55" i="11"/>
  <c r="F16" i="17" s="1"/>
  <c r="S44" i="11"/>
  <c r="F19" i="17" s="1"/>
  <c r="S30" i="11"/>
  <c r="S26" i="11"/>
  <c r="S24" i="11"/>
  <c r="S22" i="11"/>
  <c r="F10" i="17" s="1"/>
  <c r="S20" i="11"/>
  <c r="F11" i="17" s="1"/>
  <c r="S9" i="11"/>
  <c r="F9" i="17" s="1"/>
  <c r="F10" i="18"/>
  <c r="AI281" i="11" l="1"/>
  <c r="G34" i="17" s="1"/>
  <c r="S181" i="11"/>
  <c r="S238" i="11"/>
  <c r="S352" i="11"/>
  <c r="S74" i="11"/>
  <c r="S230" i="11"/>
  <c r="S260" i="11"/>
  <c r="S340" i="11"/>
  <c r="S484" i="11"/>
  <c r="S96" i="11"/>
  <c r="S251" i="11"/>
  <c r="S262" i="11"/>
  <c r="AI316" i="11"/>
  <c r="G33" i="17" s="1"/>
  <c r="S341" i="11"/>
  <c r="S356" i="11"/>
  <c r="AI94" i="11"/>
  <c r="G27" i="17" s="1"/>
  <c r="S105" i="11"/>
  <c r="S233" i="11"/>
  <c r="S241" i="11"/>
  <c r="S252" i="11"/>
  <c r="AI263" i="11"/>
  <c r="G30" i="17" s="1"/>
  <c r="S273" i="11"/>
  <c r="S342" i="11"/>
  <c r="S358" i="11"/>
  <c r="AM9" i="11"/>
  <c r="I9" i="17" s="1"/>
  <c r="AI107" i="11"/>
  <c r="G29" i="17" s="1"/>
  <c r="S221" i="11"/>
  <c r="S234" i="11"/>
  <c r="S242" i="11"/>
  <c r="S253" i="11"/>
  <c r="S280" i="11"/>
  <c r="S343" i="11"/>
  <c r="S366" i="11"/>
  <c r="S389" i="11"/>
  <c r="S229" i="11"/>
  <c r="S314" i="11"/>
  <c r="S383" i="11"/>
  <c r="AI42" i="11"/>
  <c r="G18" i="17" s="1"/>
  <c r="S43" i="11"/>
  <c r="S42" i="11" s="1"/>
  <c r="F18" i="17" s="1"/>
  <c r="S186" i="11"/>
  <c r="S248" i="11"/>
  <c r="S384" i="11"/>
  <c r="S211" i="11"/>
  <c r="S240" i="11"/>
  <c r="S489" i="11"/>
  <c r="S217" i="11"/>
  <c r="G37" i="17"/>
  <c r="S223" i="11"/>
  <c r="S235" i="11"/>
  <c r="S244" i="11"/>
  <c r="S254" i="11"/>
  <c r="S344" i="11"/>
  <c r="S367" i="11"/>
  <c r="S431" i="11"/>
  <c r="AI497" i="11"/>
  <c r="AI491" i="11" s="1"/>
  <c r="G36" i="17" s="1"/>
  <c r="S224" i="11"/>
  <c r="S236" i="11"/>
  <c r="S245" i="11"/>
  <c r="S257" i="11"/>
  <c r="S304" i="11"/>
  <c r="S345" i="11"/>
  <c r="S370" i="11"/>
  <c r="S437" i="11"/>
  <c r="S59" i="11"/>
  <c r="S247" i="11"/>
  <c r="S259" i="11"/>
  <c r="AI390" i="11"/>
  <c r="S475" i="11"/>
  <c r="S239" i="11"/>
  <c r="AI351" i="11"/>
  <c r="G35" i="17" s="1"/>
  <c r="S354" i="11"/>
  <c r="S232" i="11"/>
  <c r="S385" i="11"/>
  <c r="AI58" i="11"/>
  <c r="S171" i="11"/>
  <c r="S225" i="11"/>
  <c r="S237" i="11"/>
  <c r="S246" i="11"/>
  <c r="S258" i="11"/>
  <c r="S313" i="11"/>
  <c r="S382" i="11"/>
  <c r="S467" i="11"/>
  <c r="S91" i="11"/>
  <c r="AI81" i="11"/>
  <c r="G23" i="17" s="1"/>
  <c r="AO491" i="11"/>
  <c r="M36" i="17" s="1"/>
  <c r="M36" i="22" s="1"/>
  <c r="AP491" i="11"/>
  <c r="AM491" i="11"/>
  <c r="I36" i="17" s="1"/>
  <c r="AI77" i="11"/>
  <c r="G24" i="17" s="1"/>
  <c r="AI8" i="11"/>
  <c r="G8" i="17" s="1"/>
  <c r="AI79" i="11"/>
  <c r="G22" i="17" s="1"/>
  <c r="S49" i="11"/>
  <c r="F20" i="17" s="1"/>
  <c r="AP106" i="11"/>
  <c r="AI89" i="11"/>
  <c r="AP8" i="11"/>
  <c r="AP76" i="11"/>
  <c r="AP28" i="11"/>
  <c r="AO28" i="11"/>
  <c r="M12" i="17" s="1"/>
  <c r="M12" i="22" s="1"/>
  <c r="AO106" i="11"/>
  <c r="M28" i="17" s="1"/>
  <c r="M28" i="22" s="1"/>
  <c r="AO8" i="11"/>
  <c r="M8" i="17" s="1"/>
  <c r="M8" i="22" s="1"/>
  <c r="AO76" i="11"/>
  <c r="M21" i="17" s="1"/>
  <c r="M21" i="22" s="1"/>
  <c r="S46" i="11"/>
  <c r="F17" i="17" s="1"/>
  <c r="S491" i="11"/>
  <c r="F36" i="17" s="1"/>
  <c r="AM28" i="11"/>
  <c r="I12" i="17" s="1"/>
  <c r="AM76" i="11"/>
  <c r="I21" i="17" s="1"/>
  <c r="S346" i="11"/>
  <c r="F32" i="17" s="1"/>
  <c r="AM8" i="11"/>
  <c r="I8" i="17" s="1"/>
  <c r="AM106" i="11"/>
  <c r="I28" i="17" s="1"/>
  <c r="S8" i="11"/>
  <c r="F8" i="17" s="1"/>
  <c r="S51" i="11"/>
  <c r="F15" i="17" s="1"/>
  <c r="S29" i="11"/>
  <c r="F13" i="17" s="1"/>
  <c r="S37" i="11"/>
  <c r="F14" i="17" s="1"/>
  <c r="G42" i="20"/>
  <c r="G42" i="23" s="1"/>
  <c r="G41" i="20"/>
  <c r="G41" i="23" s="1"/>
  <c r="G38" i="20"/>
  <c r="G38" i="23" s="1"/>
  <c r="G22" i="20"/>
  <c r="G22" i="23" s="1"/>
  <c r="G19" i="20"/>
  <c r="G19" i="23" s="1"/>
  <c r="G18" i="20"/>
  <c r="G18" i="23" s="1"/>
  <c r="G17" i="20"/>
  <c r="G17" i="23" s="1"/>
  <c r="AI28" i="11" l="1"/>
  <c r="G12" i="17" s="1"/>
  <c r="G31" i="20"/>
  <c r="G31" i="23" s="1"/>
  <c r="S351" i="11"/>
  <c r="F35" i="17" s="1"/>
  <c r="S94" i="11"/>
  <c r="F27" i="17" s="1"/>
  <c r="AI106" i="11"/>
  <c r="G28" i="17" s="1"/>
  <c r="S58" i="11"/>
  <c r="S28" i="11" s="1"/>
  <c r="F12" i="17" s="1"/>
  <c r="S316" i="11"/>
  <c r="F33" i="17" s="1"/>
  <c r="S263" i="11"/>
  <c r="F30" i="17" s="1"/>
  <c r="S386" i="11"/>
  <c r="F31" i="17" s="1"/>
  <c r="G7" i="20"/>
  <c r="S89" i="11"/>
  <c r="AO7" i="11"/>
  <c r="AP7" i="11"/>
  <c r="AI76" i="11"/>
  <c r="AM7" i="11"/>
  <c r="C7" i="21"/>
  <c r="C7" i="24" s="1"/>
  <c r="M7" i="17" l="1"/>
  <c r="G6" i="20"/>
  <c r="G7" i="23"/>
  <c r="S76" i="11"/>
  <c r="F21" i="17" s="1"/>
  <c r="AI7" i="11"/>
  <c r="G21" i="17"/>
  <c r="I7" i="17"/>
  <c r="F16" i="20"/>
  <c r="F16" i="23" s="1"/>
  <c r="F20" i="20"/>
  <c r="F20" i="23" s="1"/>
  <c r="F19" i="20"/>
  <c r="F19" i="23" s="1"/>
  <c r="F21" i="20"/>
  <c r="F21" i="23" s="1"/>
  <c r="F22" i="20"/>
  <c r="F22" i="23" s="1"/>
  <c r="M7" i="22" l="1"/>
  <c r="P6" i="18"/>
  <c r="F8" i="18"/>
  <c r="G6" i="23"/>
  <c r="G7" i="17"/>
  <c r="B8" i="21"/>
  <c r="B8" i="24" s="1"/>
  <c r="B7" i="21"/>
  <c r="B7" i="24" s="1"/>
  <c r="B6" i="21"/>
  <c r="C6" i="21"/>
  <c r="C6" i="24" s="1"/>
  <c r="P5" i="16" l="1"/>
  <c r="P12" i="18"/>
  <c r="AS262" i="11"/>
  <c r="R262" i="11"/>
  <c r="AS260" i="11"/>
  <c r="AC260" i="11"/>
  <c r="AS259" i="11"/>
  <c r="AC259" i="11"/>
  <c r="X262" i="11"/>
  <c r="O262" i="11" s="1"/>
  <c r="U262" i="11"/>
  <c r="P262" i="11"/>
  <c r="M262" i="11"/>
  <c r="L262" i="11"/>
  <c r="X260" i="11"/>
  <c r="O260" i="11" s="1"/>
  <c r="U260" i="11"/>
  <c r="P260" i="11"/>
  <c r="M260" i="11"/>
  <c r="L260" i="11"/>
  <c r="X259" i="11"/>
  <c r="N259" i="11" s="1"/>
  <c r="U259" i="11"/>
  <c r="P259" i="11"/>
  <c r="M259" i="11"/>
  <c r="L259" i="11"/>
  <c r="AS258" i="11"/>
  <c r="AC258" i="11"/>
  <c r="X258" i="11"/>
  <c r="O258" i="11" s="1"/>
  <c r="U258" i="11"/>
  <c r="P258" i="11"/>
  <c r="M258" i="11"/>
  <c r="L258" i="11"/>
  <c r="AS257" i="11"/>
  <c r="AC257" i="11"/>
  <c r="Q257" i="11" s="1"/>
  <c r="X257" i="11"/>
  <c r="N257" i="11" s="1"/>
  <c r="U257" i="11"/>
  <c r="P257" i="11"/>
  <c r="M257" i="11"/>
  <c r="L257" i="11"/>
  <c r="AC500" i="11"/>
  <c r="P11" i="16" l="1"/>
  <c r="R258" i="11"/>
  <c r="R257" i="11"/>
  <c r="K257" i="11" s="1"/>
  <c r="Q258" i="11"/>
  <c r="Q259" i="11"/>
  <c r="Q262" i="11"/>
  <c r="Q260" i="11"/>
  <c r="R260" i="11"/>
  <c r="R259" i="11"/>
  <c r="K262" i="11"/>
  <c r="N262" i="11"/>
  <c r="N260" i="11"/>
  <c r="O259" i="11"/>
  <c r="N258" i="11"/>
  <c r="O257" i="11"/>
  <c r="K258" i="11" l="1"/>
  <c r="K260" i="11"/>
  <c r="K259" i="11"/>
  <c r="AQ87" i="11" l="1"/>
  <c r="AJ105" i="11"/>
  <c r="AC105" i="11"/>
  <c r="F44" i="23"/>
  <c r="E44" i="23"/>
  <c r="D44" i="23"/>
  <c r="C44" i="23"/>
  <c r="F41" i="23"/>
  <c r="F42" i="23"/>
  <c r="E40" i="23"/>
  <c r="E41" i="23"/>
  <c r="E42" i="23"/>
  <c r="E39" i="23"/>
  <c r="E35" i="23"/>
  <c r="E36" i="23"/>
  <c r="D34" i="23"/>
  <c r="D35" i="23"/>
  <c r="D36" i="23"/>
  <c r="E33" i="23"/>
  <c r="E17" i="23"/>
  <c r="E18" i="23"/>
  <c r="E19" i="23"/>
  <c r="E20" i="23"/>
  <c r="E21" i="23"/>
  <c r="E22" i="23"/>
  <c r="E25" i="23"/>
  <c r="E26" i="23"/>
  <c r="E28" i="23"/>
  <c r="E29" i="23"/>
  <c r="E30" i="23"/>
  <c r="E16" i="23"/>
  <c r="E10" i="23"/>
  <c r="E11" i="23"/>
  <c r="E12" i="23"/>
  <c r="E13" i="23"/>
  <c r="E14" i="23"/>
  <c r="E9" i="23"/>
  <c r="D33" i="20"/>
  <c r="D33" i="23" s="1"/>
  <c r="F31" i="20"/>
  <c r="T105" i="11" l="1"/>
  <c r="E9" i="21"/>
  <c r="E9" i="24" s="1"/>
  <c r="O10" i="18" l="1"/>
  <c r="O9" i="16" s="1"/>
  <c r="G10" i="18"/>
  <c r="G11" i="18" l="1"/>
  <c r="G9" i="16"/>
  <c r="F7" i="20"/>
  <c r="F6" i="20" s="1"/>
  <c r="AC256" i="11"/>
  <c r="R256" i="11" s="1"/>
  <c r="AC255" i="11"/>
  <c r="L255" i="11"/>
  <c r="M255" i="11"/>
  <c r="P255" i="11"/>
  <c r="U255" i="11"/>
  <c r="X255" i="11"/>
  <c r="AS255" i="11"/>
  <c r="AS254" i="11"/>
  <c r="AC254" i="11"/>
  <c r="R254" i="11" s="1"/>
  <c r="X254" i="11"/>
  <c r="O254" i="11" s="1"/>
  <c r="U254" i="11"/>
  <c r="P254" i="11"/>
  <c r="M254" i="11"/>
  <c r="L254" i="11"/>
  <c r="AS256" i="11"/>
  <c r="X256" i="11"/>
  <c r="U256" i="11"/>
  <c r="P256" i="11"/>
  <c r="M256" i="11"/>
  <c r="L256" i="11"/>
  <c r="AL6" i="11"/>
  <c r="AL497" i="11"/>
  <c r="AL494" i="11"/>
  <c r="AL492" i="11"/>
  <c r="AL390" i="11"/>
  <c r="AL386" i="11"/>
  <c r="AL351" i="11"/>
  <c r="AL346" i="11"/>
  <c r="AL316" i="11"/>
  <c r="AL281" i="11"/>
  <c r="AL263" i="11"/>
  <c r="AL107" i="11"/>
  <c r="AL94" i="11"/>
  <c r="AL89" i="11"/>
  <c r="AL87" i="11"/>
  <c r="AL85" i="11"/>
  <c r="AL83" i="11"/>
  <c r="AL81" i="11"/>
  <c r="AL79" i="11"/>
  <c r="AL77" i="11"/>
  <c r="AL58" i="11"/>
  <c r="AL55" i="11"/>
  <c r="AL51" i="11"/>
  <c r="AL49" i="11"/>
  <c r="AL46" i="11"/>
  <c r="AL44" i="11"/>
  <c r="AL42" i="11"/>
  <c r="AL37" i="11"/>
  <c r="AL29" i="11"/>
  <c r="AL26" i="11"/>
  <c r="AL24" i="11"/>
  <c r="AL22" i="11"/>
  <c r="AL20" i="11"/>
  <c r="AL17" i="11"/>
  <c r="AL14" i="11"/>
  <c r="AL11" i="11"/>
  <c r="AL10" i="11"/>
  <c r="M8" i="18" l="1"/>
  <c r="E8" i="18"/>
  <c r="R255" i="11"/>
  <c r="N254" i="11"/>
  <c r="O255" i="11"/>
  <c r="N255" i="11"/>
  <c r="Q255" i="11"/>
  <c r="Q254" i="11"/>
  <c r="K256" i="11"/>
  <c r="K254" i="11"/>
  <c r="N256" i="11"/>
  <c r="AL9" i="11"/>
  <c r="Q256" i="11"/>
  <c r="O256" i="11"/>
  <c r="AL76" i="11"/>
  <c r="AL28" i="11"/>
  <c r="AL106" i="11"/>
  <c r="AL491" i="11"/>
  <c r="AL8" i="11" l="1"/>
  <c r="K255" i="11"/>
  <c r="AL7" i="11" l="1"/>
  <c r="AH189" i="11"/>
  <c r="AH171" i="11"/>
  <c r="AH500" i="11"/>
  <c r="AH497" i="11" s="1"/>
  <c r="AH494" i="11"/>
  <c r="AH492" i="11"/>
  <c r="AH475" i="11"/>
  <c r="AH386" i="11"/>
  <c r="AH352" i="11"/>
  <c r="AH351" i="11" s="1"/>
  <c r="AH346" i="11"/>
  <c r="AH316" i="11"/>
  <c r="AH281" i="11"/>
  <c r="AH263" i="11"/>
  <c r="AH178" i="11"/>
  <c r="AH177" i="11"/>
  <c r="AH176" i="11"/>
  <c r="AH175" i="11"/>
  <c r="AH174" i="11"/>
  <c r="AH173" i="11"/>
  <c r="AH172" i="11"/>
  <c r="AH94" i="11"/>
  <c r="AH89" i="11"/>
  <c r="AH87" i="11"/>
  <c r="AH85" i="11"/>
  <c r="AH83" i="11"/>
  <c r="AH81" i="11"/>
  <c r="AH79" i="11"/>
  <c r="AH77" i="11"/>
  <c r="AH58" i="11"/>
  <c r="AH55" i="11"/>
  <c r="AH51" i="11"/>
  <c r="AH49" i="11"/>
  <c r="AH46" i="11"/>
  <c r="AH44" i="11"/>
  <c r="AH42" i="11"/>
  <c r="AH37" i="11"/>
  <c r="AH29" i="11"/>
  <c r="AH26" i="11"/>
  <c r="AH24" i="11"/>
  <c r="AH22" i="11"/>
  <c r="AH20" i="11"/>
  <c r="AH17" i="11"/>
  <c r="AH16" i="11"/>
  <c r="AH15" i="11"/>
  <c r="AH14" i="11"/>
  <c r="AH11" i="11"/>
  <c r="AH10" i="11"/>
  <c r="E34" i="23"/>
  <c r="AH390" i="11" l="1"/>
  <c r="AH107" i="11"/>
  <c r="AH9" i="11"/>
  <c r="AH28" i="11"/>
  <c r="AH76" i="11"/>
  <c r="AH491" i="11"/>
  <c r="E7" i="20"/>
  <c r="AS253" i="11"/>
  <c r="AC253" i="11"/>
  <c r="Q253" i="11" s="1"/>
  <c r="X253" i="11"/>
  <c r="O253" i="11" s="1"/>
  <c r="U253" i="11"/>
  <c r="P253" i="11"/>
  <c r="M253" i="11"/>
  <c r="L253" i="11"/>
  <c r="AC345" i="11"/>
  <c r="AS344" i="11"/>
  <c r="AC344" i="11"/>
  <c r="R344" i="11" s="1"/>
  <c r="AB344" i="11"/>
  <c r="P344" i="11" s="1"/>
  <c r="X344" i="11"/>
  <c r="O344" i="11" s="1"/>
  <c r="U344" i="11"/>
  <c r="T344" i="11"/>
  <c r="M344" i="11"/>
  <c r="L344" i="11"/>
  <c r="AS252" i="11"/>
  <c r="AC252" i="11"/>
  <c r="R252" i="11" s="1"/>
  <c r="X252" i="11"/>
  <c r="O252" i="11" s="1"/>
  <c r="U252" i="11"/>
  <c r="P252" i="11"/>
  <c r="M252" i="11"/>
  <c r="L252" i="11"/>
  <c r="AS251" i="11"/>
  <c r="AC251" i="11"/>
  <c r="Q251" i="11" s="1"/>
  <c r="X251" i="11"/>
  <c r="O251" i="11" s="1"/>
  <c r="U251" i="11"/>
  <c r="P251" i="11"/>
  <c r="M251" i="11"/>
  <c r="L251" i="11"/>
  <c r="E7" i="23" l="1"/>
  <c r="AH8" i="11"/>
  <c r="AH106" i="11"/>
  <c r="R253" i="11"/>
  <c r="Q252" i="11"/>
  <c r="R251" i="11"/>
  <c r="N344" i="11"/>
  <c r="Q344" i="11"/>
  <c r="N253" i="11"/>
  <c r="K344" i="11"/>
  <c r="N252" i="11"/>
  <c r="K252" i="11"/>
  <c r="N251" i="11"/>
  <c r="K253" i="11" l="1"/>
  <c r="AH7" i="11"/>
  <c r="K251" i="11"/>
  <c r="AG85" i="11"/>
  <c r="G13" i="16" l="1"/>
  <c r="G10" i="16" s="1"/>
  <c r="F13" i="16"/>
  <c r="E13" i="16"/>
  <c r="D13" i="16"/>
  <c r="C13" i="16"/>
  <c r="O11" i="18"/>
  <c r="D30" i="23" l="1"/>
  <c r="D29" i="23"/>
  <c r="D28" i="23"/>
  <c r="D26" i="23"/>
  <c r="D25" i="23"/>
  <c r="D14" i="23"/>
  <c r="D13" i="23"/>
  <c r="D12" i="23"/>
  <c r="D11" i="23"/>
  <c r="D10" i="23"/>
  <c r="C10" i="23"/>
  <c r="B10" i="23"/>
  <c r="F9" i="23"/>
  <c r="O13" i="16" l="1"/>
  <c r="O10" i="16" s="1"/>
  <c r="N13" i="16"/>
  <c r="M13" i="16"/>
  <c r="L13" i="16"/>
  <c r="K13" i="16"/>
  <c r="J13" i="16"/>
  <c r="J12" i="16"/>
  <c r="J11" i="16"/>
  <c r="J9" i="16"/>
  <c r="J5" i="16"/>
  <c r="L4" i="16"/>
  <c r="K4" i="16"/>
  <c r="C9" i="21" l="1"/>
  <c r="B6" i="24"/>
  <c r="D42" i="20"/>
  <c r="D42" i="23" s="1"/>
  <c r="D41" i="20"/>
  <c r="D41" i="23" s="1"/>
  <c r="D40" i="20"/>
  <c r="D40" i="23" s="1"/>
  <c r="D39" i="20"/>
  <c r="C31" i="20"/>
  <c r="C31" i="23" s="1"/>
  <c r="B31" i="20"/>
  <c r="B31" i="23" s="1"/>
  <c r="D22" i="20"/>
  <c r="D22" i="23" s="1"/>
  <c r="D21" i="20"/>
  <c r="D21" i="23" s="1"/>
  <c r="D20" i="20"/>
  <c r="D20" i="23" s="1"/>
  <c r="D19" i="20"/>
  <c r="D19" i="23" s="1"/>
  <c r="D18" i="20"/>
  <c r="D18" i="23" s="1"/>
  <c r="D17" i="20"/>
  <c r="D17" i="23" s="1"/>
  <c r="D16" i="20"/>
  <c r="D16" i="23" s="1"/>
  <c r="D9" i="20"/>
  <c r="F7" i="23"/>
  <c r="C7" i="20"/>
  <c r="B7" i="20"/>
  <c r="G6" i="19"/>
  <c r="G7" i="19" s="1"/>
  <c r="F6" i="19"/>
  <c r="F7" i="19" s="1"/>
  <c r="E6" i="19"/>
  <c r="D6" i="19"/>
  <c r="D7" i="19" s="1"/>
  <c r="C6" i="19"/>
  <c r="C7" i="19" s="1"/>
  <c r="B6" i="19"/>
  <c r="B7" i="19" s="1"/>
  <c r="C6" i="20" l="1"/>
  <c r="B6" i="20"/>
  <c r="C9" i="24"/>
  <c r="E10" i="18"/>
  <c r="M10" i="18"/>
  <c r="I31" i="20"/>
  <c r="I6" i="20" s="1"/>
  <c r="O8" i="18" s="1"/>
  <c r="O9" i="18" s="1"/>
  <c r="D39" i="23"/>
  <c r="D31" i="20"/>
  <c r="D7" i="20"/>
  <c r="E31" i="20"/>
  <c r="E6" i="20" s="1"/>
  <c r="C7" i="23"/>
  <c r="B9" i="21"/>
  <c r="D9" i="23"/>
  <c r="F31" i="23"/>
  <c r="B7" i="23"/>
  <c r="D6" i="20" l="1"/>
  <c r="D6" i="23" s="1"/>
  <c r="E31" i="23"/>
  <c r="D7" i="23"/>
  <c r="I31" i="23"/>
  <c r="E6" i="23"/>
  <c r="D31" i="23"/>
  <c r="E9" i="16"/>
  <c r="E10" i="16" s="1"/>
  <c r="B9" i="24"/>
  <c r="F9" i="16"/>
  <c r="F10" i="16" s="1"/>
  <c r="F11" i="18"/>
  <c r="N9" i="16"/>
  <c r="N10" i="16" s="1"/>
  <c r="M9" i="16"/>
  <c r="M10" i="16" s="1"/>
  <c r="M11" i="18"/>
  <c r="B6" i="23"/>
  <c r="L8" i="18"/>
  <c r="D8" i="18"/>
  <c r="C6" i="23"/>
  <c r="I6" i="23" l="1"/>
  <c r="G8" i="18"/>
  <c r="G7" i="16" s="1"/>
  <c r="E7" i="16"/>
  <c r="E11" i="18"/>
  <c r="F7" i="16"/>
  <c r="N7" i="16"/>
  <c r="F6" i="23"/>
  <c r="D7" i="16"/>
  <c r="D9" i="18"/>
  <c r="L7" i="16"/>
  <c r="L9" i="18"/>
  <c r="M7" i="16" l="1"/>
  <c r="M8" i="16" s="1"/>
  <c r="F9" i="18"/>
  <c r="E9" i="18"/>
  <c r="G9" i="18"/>
  <c r="O7" i="16"/>
  <c r="O8" i="16" s="1"/>
  <c r="M9" i="18"/>
  <c r="F8" i="16"/>
  <c r="G8" i="16"/>
  <c r="E8" i="16"/>
  <c r="N8" i="16"/>
  <c r="L8" i="16"/>
  <c r="D8" i="16"/>
  <c r="AS250" i="11" l="1"/>
  <c r="AC250" i="11"/>
  <c r="R250" i="11" s="1"/>
  <c r="X250" i="11"/>
  <c r="U250" i="11"/>
  <c r="P250" i="11"/>
  <c r="M250" i="11"/>
  <c r="L250" i="11"/>
  <c r="N250" i="11" l="1"/>
  <c r="O250" i="11"/>
  <c r="K250" i="11"/>
  <c r="Q250" i="11"/>
  <c r="R93" i="11" l="1"/>
  <c r="Q490" i="11"/>
  <c r="Q488" i="11"/>
  <c r="Q487" i="11"/>
  <c r="Q486" i="11"/>
  <c r="Q485" i="11"/>
  <c r="Q484" i="11"/>
  <c r="Q483" i="11"/>
  <c r="Q482" i="11"/>
  <c r="Q481" i="11"/>
  <c r="Q480" i="11"/>
  <c r="Q479" i="11"/>
  <c r="Q478" i="11"/>
  <c r="Q477" i="11"/>
  <c r="Q476" i="11"/>
  <c r="Q474" i="11"/>
  <c r="Q473" i="11"/>
  <c r="Q472" i="11"/>
  <c r="Q471" i="11"/>
  <c r="Q470" i="11"/>
  <c r="Q469"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3" i="11"/>
  <c r="Q402" i="11"/>
  <c r="Q401" i="11"/>
  <c r="Q400" i="11"/>
  <c r="Q399" i="11"/>
  <c r="Q398" i="11"/>
  <c r="Q397" i="11"/>
  <c r="Q396" i="11"/>
  <c r="Q395" i="11"/>
  <c r="Q394" i="11"/>
  <c r="Q391" i="11"/>
  <c r="Q387" i="11"/>
  <c r="Q364" i="11"/>
  <c r="Q363" i="11"/>
  <c r="Q361" i="11"/>
  <c r="Q360" i="11"/>
  <c r="Q359" i="11"/>
  <c r="Q354" i="11"/>
  <c r="Q348" i="11"/>
  <c r="Q347"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5" i="11"/>
  <c r="Q314" i="11"/>
  <c r="Q313" i="11"/>
  <c r="Q312" i="11"/>
  <c r="Q311" i="11"/>
  <c r="Q310" i="11"/>
  <c r="Q309" i="11"/>
  <c r="Q307" i="11"/>
  <c r="Q305" i="11"/>
  <c r="Q303" i="11"/>
  <c r="Q302" i="11"/>
  <c r="Q301" i="11"/>
  <c r="Q300" i="11"/>
  <c r="Q299" i="11"/>
  <c r="Q298" i="11"/>
  <c r="Q297" i="11"/>
  <c r="Q296" i="11"/>
  <c r="Q295" i="11"/>
  <c r="Q294" i="11"/>
  <c r="Q293" i="11"/>
  <c r="Q292" i="11"/>
  <c r="Q291" i="11"/>
  <c r="Q290" i="11"/>
  <c r="Q289" i="11"/>
  <c r="Q288" i="11"/>
  <c r="Q287" i="11"/>
  <c r="Q286" i="11"/>
  <c r="Q285" i="11"/>
  <c r="Q284" i="11"/>
  <c r="Q283" i="11"/>
  <c r="Q282" i="11"/>
  <c r="Q279" i="11"/>
  <c r="Q278" i="11"/>
  <c r="Q277" i="11"/>
  <c r="Q276" i="11"/>
  <c r="Q275" i="11"/>
  <c r="Q274" i="11"/>
  <c r="Q273" i="11"/>
  <c r="Q272" i="11"/>
  <c r="Q271" i="11"/>
  <c r="Q270" i="11"/>
  <c r="Q269" i="11"/>
  <c r="Q268" i="11"/>
  <c r="Q267" i="11"/>
  <c r="Q266" i="11"/>
  <c r="Q265" i="11"/>
  <c r="Q264" i="11"/>
  <c r="Q236" i="11"/>
  <c r="Q233" i="11"/>
  <c r="Q232" i="11"/>
  <c r="Q231" i="11"/>
  <c r="Q230" i="11"/>
  <c r="Q229" i="11"/>
  <c r="Q228" i="11"/>
  <c r="Q227" i="11"/>
  <c r="Q226" i="11"/>
  <c r="Q225" i="11"/>
  <c r="Q224" i="11"/>
  <c r="Q223" i="11"/>
  <c r="Q222" i="11"/>
  <c r="Q221" i="11"/>
  <c r="Q211" i="11"/>
  <c r="Q210" i="11"/>
  <c r="Q208" i="11"/>
  <c r="Q207" i="11"/>
  <c r="Q205" i="11"/>
  <c r="Q203" i="11"/>
  <c r="Q202" i="11"/>
  <c r="Q201" i="11"/>
  <c r="Q200" i="11"/>
  <c r="Q199" i="11"/>
  <c r="Q197" i="11"/>
  <c r="Q196" i="11"/>
  <c r="Q195" i="11"/>
  <c r="Q194" i="11"/>
  <c r="Q193" i="11"/>
  <c r="Q192" i="11"/>
  <c r="Q191" i="11"/>
  <c r="Q190" i="11"/>
  <c r="Q189" i="11"/>
  <c r="Q188" i="11"/>
  <c r="Q187" i="11"/>
  <c r="Q185" i="11"/>
  <c r="Q184" i="11"/>
  <c r="Q183" i="11"/>
  <c r="Q182" i="11"/>
  <c r="Q181" i="11"/>
  <c r="Q179" i="11"/>
  <c r="Q170" i="11"/>
  <c r="Q169" i="11"/>
  <c r="Q168" i="11"/>
  <c r="Q167" i="11"/>
  <c r="Q166" i="11"/>
  <c r="Q165" i="11"/>
  <c r="Q164" i="11"/>
  <c r="Q163" i="11"/>
  <c r="Q162" i="11"/>
  <c r="Q161" i="11"/>
  <c r="Q160" i="11"/>
  <c r="Q159" i="11"/>
  <c r="Q158" i="11"/>
  <c r="Q156" i="11"/>
  <c r="Q155" i="11"/>
  <c r="Q154" i="11"/>
  <c r="Q153" i="11"/>
  <c r="Q151" i="11"/>
  <c r="Q150" i="11"/>
  <c r="Q149" i="11"/>
  <c r="Q148" i="11"/>
  <c r="Q147" i="11"/>
  <c r="Q146" i="11"/>
  <c r="Q145" i="11"/>
  <c r="Q144" i="11"/>
  <c r="Q143" i="11"/>
  <c r="Q142" i="11"/>
  <c r="Q141" i="11"/>
  <c r="Q140" i="11"/>
  <c r="Q139" i="11"/>
  <c r="Q138" i="11"/>
  <c r="Q137" i="11"/>
  <c r="Q135" i="11"/>
  <c r="Q134" i="11"/>
  <c r="Q133" i="11"/>
  <c r="Q130" i="11"/>
  <c r="Q129" i="11"/>
  <c r="Q128" i="11"/>
  <c r="Q125" i="11"/>
  <c r="Q124" i="11"/>
  <c r="Q112" i="11"/>
  <c r="Q111" i="11"/>
  <c r="Q93" i="11"/>
  <c r="Q75" i="11"/>
  <c r="Q74" i="11"/>
  <c r="Q72" i="11"/>
  <c r="Q71" i="11"/>
  <c r="Q70" i="11"/>
  <c r="Q69" i="11"/>
  <c r="Q68" i="11"/>
  <c r="Q67" i="11"/>
  <c r="Q66" i="11"/>
  <c r="Q63" i="11"/>
  <c r="Q62" i="11"/>
  <c r="Q61" i="11"/>
  <c r="Q56" i="11"/>
  <c r="Q54" i="11"/>
  <c r="Q52" i="11"/>
  <c r="Q48" i="11"/>
  <c r="Q47" i="11"/>
  <c r="Q45" i="11"/>
  <c r="Q43" i="11"/>
  <c r="Q40" i="11"/>
  <c r="Q39" i="11"/>
  <c r="Q38" i="11"/>
  <c r="Q36" i="11"/>
  <c r="Q30" i="11"/>
  <c r="Q9" i="11"/>
  <c r="F9" i="22" s="1"/>
  <c r="Q20" i="11"/>
  <c r="F11" i="22" s="1"/>
  <c r="Q22" i="11"/>
  <c r="F10" i="22" s="1"/>
  <c r="Q24" i="11"/>
  <c r="Q26" i="11"/>
  <c r="Q77" i="11"/>
  <c r="F24" i="22" s="1"/>
  <c r="Q79" i="11"/>
  <c r="F22" i="22" s="1"/>
  <c r="Q81" i="11"/>
  <c r="F23" i="22" s="1"/>
  <c r="Q83" i="11"/>
  <c r="F25" i="22" s="1"/>
  <c r="Q85" i="11"/>
  <c r="Q87" i="11"/>
  <c r="F26" i="22" s="1"/>
  <c r="Q92" i="11"/>
  <c r="Q492" i="11"/>
  <c r="F37" i="22" s="1"/>
  <c r="Q494" i="11"/>
  <c r="F38" i="22" s="1"/>
  <c r="Q497" i="11"/>
  <c r="Q55" i="11" l="1"/>
  <c r="F16" i="22" s="1"/>
  <c r="Q89" i="11"/>
  <c r="Q42" i="11"/>
  <c r="F18" i="22" s="1"/>
  <c r="Q44" i="11"/>
  <c r="F19" i="22" s="1"/>
  <c r="Q46" i="11"/>
  <c r="F17" i="22" s="1"/>
  <c r="Q29" i="11"/>
  <c r="F13" i="22" s="1"/>
  <c r="Q491" i="11"/>
  <c r="F36" i="22" s="1"/>
  <c r="Q8" i="11"/>
  <c r="F8" i="22" s="1"/>
  <c r="Q51" i="11"/>
  <c r="F15" i="22" s="1"/>
  <c r="AC78" i="11"/>
  <c r="T26" i="11"/>
  <c r="AB15" i="11" l="1"/>
  <c r="AA19" i="11"/>
  <c r="AA17" i="11"/>
  <c r="AA16" i="11"/>
  <c r="AA15" i="11"/>
  <c r="AA14" i="11"/>
  <c r="AA12" i="11"/>
  <c r="AA11" i="11"/>
  <c r="AA10" i="11"/>
  <c r="AK17" i="11" l="1"/>
  <c r="AG17" i="11"/>
  <c r="AG16" i="11"/>
  <c r="AG15" i="11"/>
  <c r="AK20" i="11"/>
  <c r="X12" i="11"/>
  <c r="AG352" i="11" l="1"/>
  <c r="AC21" i="11" l="1"/>
  <c r="O206" i="11"/>
  <c r="U206" i="11"/>
  <c r="N206" i="11"/>
  <c r="M206" i="11"/>
  <c r="L206" i="11"/>
  <c r="AC204" i="11"/>
  <c r="Q204" i="11" s="1"/>
  <c r="AC235" i="11"/>
  <c r="Q235" i="11" s="1"/>
  <c r="AC245" i="11"/>
  <c r="Q245" i="11" s="1"/>
  <c r="AC248" i="11"/>
  <c r="Q248" i="11" s="1"/>
  <c r="AC249" i="11"/>
  <c r="Q249" i="11" s="1"/>
  <c r="AB198" i="11"/>
  <c r="AC186" i="11"/>
  <c r="Q186" i="11" s="1"/>
  <c r="AB152" i="11"/>
  <c r="K206" i="11" l="1"/>
  <c r="AC352" i="11" l="1"/>
  <c r="Q352" i="11" s="1"/>
  <c r="AC385" i="11"/>
  <c r="Q385" i="11" s="1"/>
  <c r="AG475" i="11"/>
  <c r="AK500" i="11" l="1"/>
  <c r="AG500" i="11"/>
  <c r="AF19" i="11" l="1"/>
  <c r="AK10" i="11"/>
  <c r="AK11" i="11"/>
  <c r="AK14" i="11"/>
  <c r="AK22" i="11"/>
  <c r="AK24" i="11"/>
  <c r="AK26" i="11"/>
  <c r="AK29" i="11"/>
  <c r="AK37" i="11"/>
  <c r="AK42" i="11"/>
  <c r="AK44" i="11"/>
  <c r="AK46" i="11"/>
  <c r="AK49" i="11"/>
  <c r="AK51" i="11"/>
  <c r="AK55" i="11"/>
  <c r="AK58" i="11"/>
  <c r="AK77" i="11"/>
  <c r="AK79" i="11"/>
  <c r="AK81" i="11"/>
  <c r="AK83" i="11"/>
  <c r="AK85" i="11"/>
  <c r="AK87" i="11"/>
  <c r="AK89" i="11"/>
  <c r="AK94" i="11"/>
  <c r="AK107" i="11"/>
  <c r="AK263" i="11"/>
  <c r="AK281" i="11"/>
  <c r="AK316" i="11"/>
  <c r="AK346" i="11"/>
  <c r="AK351" i="11"/>
  <c r="AK386" i="11"/>
  <c r="AK390" i="11"/>
  <c r="AK492" i="11"/>
  <c r="AK494" i="11"/>
  <c r="AK497" i="11"/>
  <c r="AG20" i="11"/>
  <c r="G11" i="22" s="1"/>
  <c r="AG492" i="11"/>
  <c r="G37" i="22" s="1"/>
  <c r="AG494" i="11"/>
  <c r="G38" i="22" s="1"/>
  <c r="AG497" i="11"/>
  <c r="AG171" i="11"/>
  <c r="AG172" i="11"/>
  <c r="AG173" i="11"/>
  <c r="AG174" i="11"/>
  <c r="AG175" i="11"/>
  <c r="AG176" i="11"/>
  <c r="AG177" i="11"/>
  <c r="AG178" i="11"/>
  <c r="AG263" i="11"/>
  <c r="G30" i="22" s="1"/>
  <c r="AG281" i="11"/>
  <c r="G34" i="22" s="1"/>
  <c r="AG316" i="11"/>
  <c r="G33" i="22" s="1"/>
  <c r="AG346" i="11"/>
  <c r="G32" i="22" s="1"/>
  <c r="AG351" i="11"/>
  <c r="G35" i="22" s="1"/>
  <c r="AG386" i="11"/>
  <c r="G31" i="22" s="1"/>
  <c r="AG390" i="11"/>
  <c r="AG77" i="11"/>
  <c r="G24" i="22" s="1"/>
  <c r="AG79" i="11"/>
  <c r="G22" i="22" s="1"/>
  <c r="AG81" i="11"/>
  <c r="G23" i="22" s="1"/>
  <c r="AG83" i="11"/>
  <c r="G25" i="22" s="1"/>
  <c r="AG87" i="11"/>
  <c r="G26" i="22" s="1"/>
  <c r="AG89" i="11"/>
  <c r="AG94" i="11"/>
  <c r="G27" i="22" s="1"/>
  <c r="AG29" i="11"/>
  <c r="G13" i="22" s="1"/>
  <c r="AG37" i="11"/>
  <c r="G14" i="22" s="1"/>
  <c r="AG42" i="11"/>
  <c r="G18" i="22" s="1"/>
  <c r="AG44" i="11"/>
  <c r="G19" i="22" s="1"/>
  <c r="AG46" i="11"/>
  <c r="G17" i="22" s="1"/>
  <c r="AG49" i="11"/>
  <c r="AG51" i="11"/>
  <c r="G15" i="22" s="1"/>
  <c r="AG55" i="11"/>
  <c r="G16" i="22" s="1"/>
  <c r="AG58" i="11"/>
  <c r="AG22" i="11"/>
  <c r="G10" i="22" s="1"/>
  <c r="AG10" i="11"/>
  <c r="AG11" i="11"/>
  <c r="AG14" i="11"/>
  <c r="AG24" i="11"/>
  <c r="AG26" i="11"/>
  <c r="AS249" i="11"/>
  <c r="R249" i="11"/>
  <c r="X249" i="11"/>
  <c r="O249" i="11" s="1"/>
  <c r="U249" i="11"/>
  <c r="P249" i="11"/>
  <c r="M249" i="11"/>
  <c r="L249" i="11"/>
  <c r="AC350" i="11"/>
  <c r="Q350" i="11" s="1"/>
  <c r="AS349" i="11"/>
  <c r="AC349" i="11"/>
  <c r="U349" i="11"/>
  <c r="T349" i="11"/>
  <c r="P349" i="11"/>
  <c r="O349" i="11"/>
  <c r="N349" i="11"/>
  <c r="M349" i="11"/>
  <c r="L349" i="11"/>
  <c r="AG107" i="11" l="1"/>
  <c r="G29" i="22" s="1"/>
  <c r="R349" i="11"/>
  <c r="Q349" i="11"/>
  <c r="AK9" i="11"/>
  <c r="AG9" i="11"/>
  <c r="G9" i="22" s="1"/>
  <c r="AG491" i="11"/>
  <c r="G36" i="22" s="1"/>
  <c r="AK491" i="11"/>
  <c r="AK106" i="11"/>
  <c r="AK76" i="11"/>
  <c r="AK28" i="11"/>
  <c r="AG28" i="11"/>
  <c r="G12" i="22" s="1"/>
  <c r="AG76" i="11"/>
  <c r="G21" i="22" s="1"/>
  <c r="N249" i="11"/>
  <c r="K249" i="11"/>
  <c r="K349" i="11" l="1"/>
  <c r="AG106" i="11"/>
  <c r="G28" i="22" s="1"/>
  <c r="AG8" i="11"/>
  <c r="G8" i="22" s="1"/>
  <c r="AK8" i="11"/>
  <c r="Q346" i="11"/>
  <c r="F32" i="22" s="1"/>
  <c r="AG7" i="11" l="1"/>
  <c r="AK7" i="11"/>
  <c r="G7" i="22" l="1"/>
  <c r="M6" i="18"/>
  <c r="M12" i="18" s="1"/>
  <c r="Q345" i="11"/>
  <c r="AS343" i="11"/>
  <c r="AC343" i="11"/>
  <c r="AB343" i="11"/>
  <c r="P343" i="11" s="1"/>
  <c r="X343" i="11"/>
  <c r="O343" i="11" s="1"/>
  <c r="U343" i="11"/>
  <c r="T343" i="11"/>
  <c r="M343" i="11"/>
  <c r="L343" i="11"/>
  <c r="AS248" i="11"/>
  <c r="X248" i="11"/>
  <c r="U248" i="11"/>
  <c r="P248" i="11"/>
  <c r="M248" i="11"/>
  <c r="L248" i="11"/>
  <c r="AS247" i="11"/>
  <c r="AC247" i="11"/>
  <c r="X247" i="11"/>
  <c r="O247" i="11" s="1"/>
  <c r="U247" i="11"/>
  <c r="P247" i="11"/>
  <c r="M247" i="11"/>
  <c r="L247" i="11"/>
  <c r="M5" i="16" l="1"/>
  <c r="M7" i="18"/>
  <c r="M13" i="18"/>
  <c r="R247" i="11"/>
  <c r="Q247" i="11"/>
  <c r="R343" i="11"/>
  <c r="Q343" i="11"/>
  <c r="N248" i="11"/>
  <c r="O248" i="11"/>
  <c r="N343" i="11"/>
  <c r="R248" i="11"/>
  <c r="N247" i="11"/>
  <c r="M6" i="16" l="1"/>
  <c r="M11" i="16"/>
  <c r="M12" i="16" s="1"/>
  <c r="K247" i="11"/>
  <c r="K343" i="11"/>
  <c r="K248" i="11"/>
  <c r="AS246" i="11" l="1"/>
  <c r="AC246" i="11"/>
  <c r="X246" i="11"/>
  <c r="U246" i="11"/>
  <c r="P246" i="11"/>
  <c r="M246" i="11"/>
  <c r="L246" i="11"/>
  <c r="Q246" i="11" l="1"/>
  <c r="R246" i="11"/>
  <c r="N246" i="11"/>
  <c r="O246" i="11"/>
  <c r="K246" i="11" l="1"/>
  <c r="M94" i="11"/>
  <c r="AF46" i="11"/>
  <c r="R105" i="11" l="1"/>
  <c r="Q105" i="11"/>
  <c r="AC96" i="11"/>
  <c r="AF94" i="11"/>
  <c r="AS105" i="11"/>
  <c r="AR96" i="11"/>
  <c r="AS96" i="11" s="1"/>
  <c r="AQ94" i="11"/>
  <c r="AJ94" i="11"/>
  <c r="W94" i="11"/>
  <c r="V94" i="11"/>
  <c r="U96" i="11"/>
  <c r="U94" i="11" s="1"/>
  <c r="L27" i="17" s="1"/>
  <c r="L27" i="22" s="1"/>
  <c r="K105" i="11" l="1"/>
  <c r="R96" i="11"/>
  <c r="Q96" i="11"/>
  <c r="AC94" i="11"/>
  <c r="L94" i="11"/>
  <c r="Q94" i="11" l="1"/>
  <c r="F27" i="22" s="1"/>
  <c r="AB95" i="11"/>
  <c r="AR94" i="11"/>
  <c r="K27" i="17" s="1"/>
  <c r="K27" i="22" s="1"/>
  <c r="Y94" i="11"/>
  <c r="Q76" i="11" l="1"/>
  <c r="F21" i="22" s="1"/>
  <c r="AA105" i="11" l="1"/>
  <c r="Z105" i="11"/>
  <c r="X210" i="11"/>
  <c r="AD178" i="11"/>
  <c r="AD177" i="11"/>
  <c r="AD176" i="11"/>
  <c r="AD175" i="11"/>
  <c r="P497" i="11"/>
  <c r="P494" i="11"/>
  <c r="P492" i="11"/>
  <c r="X211" i="11"/>
  <c r="K21" i="11"/>
  <c r="AE175" i="11"/>
  <c r="K80" i="11"/>
  <c r="K15" i="11"/>
  <c r="AR384" i="11"/>
  <c r="AS384" i="11" s="1"/>
  <c r="AC384" i="11"/>
  <c r="X384" i="11"/>
  <c r="U384" i="11"/>
  <c r="T384" i="11"/>
  <c r="P384" i="11"/>
  <c r="M384" i="11"/>
  <c r="L384" i="11"/>
  <c r="AS270" i="11"/>
  <c r="U270" i="11"/>
  <c r="T270" i="11"/>
  <c r="R270" i="11"/>
  <c r="P270" i="11"/>
  <c r="O270" i="11"/>
  <c r="N270" i="11"/>
  <c r="M270" i="11"/>
  <c r="L270" i="11"/>
  <c r="R384" i="11" l="1"/>
  <c r="Q384" i="11"/>
  <c r="N384" i="11"/>
  <c r="P491" i="11"/>
  <c r="O384" i="11"/>
  <c r="AS457" i="11"/>
  <c r="AA457" i="11"/>
  <c r="Z457" i="11"/>
  <c r="X457" i="11"/>
  <c r="O457" i="11" s="1"/>
  <c r="U457" i="11"/>
  <c r="T457" i="11"/>
  <c r="R457" i="11"/>
  <c r="P457" i="11"/>
  <c r="M457" i="11"/>
  <c r="L457" i="11"/>
  <c r="AS485" i="11"/>
  <c r="X485" i="11"/>
  <c r="N485" i="11" s="1"/>
  <c r="U485" i="11"/>
  <c r="T485" i="11"/>
  <c r="R485" i="11"/>
  <c r="P485" i="11"/>
  <c r="M485" i="11"/>
  <c r="L485" i="11"/>
  <c r="K384" i="11" l="1"/>
  <c r="O485" i="11"/>
  <c r="K457" i="11"/>
  <c r="N457" i="11"/>
  <c r="K485" i="11"/>
  <c r="AS245" i="11"/>
  <c r="X245" i="11"/>
  <c r="U245" i="11"/>
  <c r="P245" i="11"/>
  <c r="M245" i="11"/>
  <c r="L245" i="11"/>
  <c r="N245" i="11" l="1"/>
  <c r="O245" i="11"/>
  <c r="R245" i="11"/>
  <c r="K245" i="11" l="1"/>
  <c r="AC280" i="11"/>
  <c r="Q280" i="11" s="1"/>
  <c r="AS279" i="11"/>
  <c r="X279" i="11"/>
  <c r="N279" i="11" s="1"/>
  <c r="U279" i="11"/>
  <c r="T279" i="11"/>
  <c r="R279" i="11"/>
  <c r="P279" i="11"/>
  <c r="M279" i="11"/>
  <c r="L279" i="11"/>
  <c r="AS342" i="11"/>
  <c r="AC342" i="11"/>
  <c r="AB342" i="11"/>
  <c r="P342" i="11" s="1"/>
  <c r="X342" i="11"/>
  <c r="O342" i="11" s="1"/>
  <c r="U342" i="11"/>
  <c r="T342" i="11"/>
  <c r="M342" i="11"/>
  <c r="L342" i="11"/>
  <c r="AR385" i="11"/>
  <c r="AS385" i="11" s="1"/>
  <c r="AS383" i="11"/>
  <c r="AC383" i="11"/>
  <c r="X383" i="11"/>
  <c r="U383" i="11"/>
  <c r="T383" i="11"/>
  <c r="P383" i="11"/>
  <c r="M383" i="11"/>
  <c r="L383" i="11"/>
  <c r="Q263" i="11" l="1"/>
  <c r="F30" i="22" s="1"/>
  <c r="R342" i="11"/>
  <c r="Q342" i="11"/>
  <c r="R383" i="11"/>
  <c r="Q383" i="11"/>
  <c r="O279" i="11"/>
  <c r="N342" i="11"/>
  <c r="K279" i="11"/>
  <c r="N383" i="11"/>
  <c r="O383" i="11"/>
  <c r="K342" i="11" l="1"/>
  <c r="K383" i="11"/>
  <c r="AS431" i="11" l="1"/>
  <c r="U431" i="11"/>
  <c r="T431" i="11"/>
  <c r="R431" i="11"/>
  <c r="P431" i="11"/>
  <c r="O431" i="11"/>
  <c r="N431" i="11"/>
  <c r="M431" i="11"/>
  <c r="L431" i="11"/>
  <c r="AS243" i="11"/>
  <c r="AC243" i="11"/>
  <c r="X243" i="11"/>
  <c r="O243" i="11" s="1"/>
  <c r="U243" i="11"/>
  <c r="P243" i="11"/>
  <c r="M243" i="11"/>
  <c r="L243" i="11"/>
  <c r="R243" i="11" l="1"/>
  <c r="Q243" i="11"/>
  <c r="K431" i="11"/>
  <c r="N243" i="11"/>
  <c r="AC212" i="11"/>
  <c r="Q212" i="11" s="1"/>
  <c r="AC220" i="11"/>
  <c r="Q220" i="11" s="1"/>
  <c r="AC219" i="11"/>
  <c r="Q219" i="11" s="1"/>
  <c r="AC216" i="11"/>
  <c r="Q216" i="11" s="1"/>
  <c r="AC213" i="11"/>
  <c r="Q213" i="11" s="1"/>
  <c r="AS242" i="11"/>
  <c r="AC242" i="11"/>
  <c r="X242" i="11"/>
  <c r="O242" i="11" s="1"/>
  <c r="U242" i="11"/>
  <c r="P242" i="11"/>
  <c r="M242" i="11"/>
  <c r="L242" i="11"/>
  <c r="AC209" i="11"/>
  <c r="Q209" i="11" s="1"/>
  <c r="AC217" i="11"/>
  <c r="Q217" i="11" s="1"/>
  <c r="K243" i="11" l="1"/>
  <c r="Q242" i="11"/>
  <c r="R242" i="11"/>
  <c r="N242" i="11"/>
  <c r="K242" i="11" l="1"/>
  <c r="AS236" i="11"/>
  <c r="X236" i="11"/>
  <c r="O236" i="11" s="1"/>
  <c r="U236" i="11"/>
  <c r="R236" i="11"/>
  <c r="P236" i="11"/>
  <c r="M236" i="11"/>
  <c r="L236" i="11"/>
  <c r="AC340" i="11"/>
  <c r="Q340" i="11" s="1"/>
  <c r="N236" i="11" l="1"/>
  <c r="K236" i="11"/>
  <c r="AC467" i="11" l="1"/>
  <c r="Q467" i="11" s="1"/>
  <c r="AS241" i="11" l="1"/>
  <c r="AC241" i="11"/>
  <c r="X241" i="11"/>
  <c r="O241" i="11" s="1"/>
  <c r="U241" i="11"/>
  <c r="P241" i="11"/>
  <c r="M241" i="11"/>
  <c r="L241" i="11"/>
  <c r="R241" i="11" l="1"/>
  <c r="Q241" i="11"/>
  <c r="N241" i="11"/>
  <c r="K241" i="11" l="1"/>
  <c r="AS456" i="11"/>
  <c r="AA456" i="11"/>
  <c r="Z456" i="11"/>
  <c r="X456" i="11"/>
  <c r="U456" i="11"/>
  <c r="T456" i="11"/>
  <c r="R456" i="11"/>
  <c r="P456" i="11"/>
  <c r="M456" i="11"/>
  <c r="L456" i="11"/>
  <c r="AC239" i="11"/>
  <c r="Q239" i="11" s="1"/>
  <c r="AC238" i="11"/>
  <c r="Q238" i="11" s="1"/>
  <c r="AC237" i="11"/>
  <c r="Q237" i="11" s="1"/>
  <c r="AC240" i="11"/>
  <c r="Q240" i="11" s="1"/>
  <c r="AS341" i="11"/>
  <c r="AC341" i="11"/>
  <c r="AB341" i="11"/>
  <c r="P341" i="11" s="1"/>
  <c r="X341" i="11"/>
  <c r="N341" i="11" s="1"/>
  <c r="U341" i="11"/>
  <c r="T341" i="11"/>
  <c r="M341" i="11"/>
  <c r="L341" i="11"/>
  <c r="Q341" i="11" l="1"/>
  <c r="R341" i="11"/>
  <c r="K456" i="11"/>
  <c r="O341" i="11"/>
  <c r="N456" i="11"/>
  <c r="O456" i="11"/>
  <c r="Q316" i="11" l="1"/>
  <c r="F33" i="22" s="1"/>
  <c r="K341" i="11"/>
  <c r="AS314" i="11"/>
  <c r="X314" i="11"/>
  <c r="O314" i="11" s="1"/>
  <c r="U314" i="11"/>
  <c r="T314" i="11"/>
  <c r="R314" i="11"/>
  <c r="P314" i="11"/>
  <c r="M314" i="11"/>
  <c r="L314" i="11"/>
  <c r="AS484" i="11"/>
  <c r="X484" i="11"/>
  <c r="O484" i="11" s="1"/>
  <c r="U484" i="11"/>
  <c r="T484" i="11"/>
  <c r="R484" i="11"/>
  <c r="P484" i="11"/>
  <c r="M484" i="11"/>
  <c r="L484" i="11"/>
  <c r="AS240" i="11"/>
  <c r="R240" i="11"/>
  <c r="X240" i="11"/>
  <c r="U240" i="11"/>
  <c r="P240" i="11"/>
  <c r="M240" i="11"/>
  <c r="L240" i="11"/>
  <c r="AS239" i="11"/>
  <c r="R239" i="11"/>
  <c r="X239" i="11"/>
  <c r="O239" i="11" s="1"/>
  <c r="U239" i="11"/>
  <c r="P239" i="11"/>
  <c r="M239" i="11"/>
  <c r="L239" i="11"/>
  <c r="AS238" i="11"/>
  <c r="R238" i="11"/>
  <c r="X238" i="11"/>
  <c r="N238" i="11" s="1"/>
  <c r="U238" i="11"/>
  <c r="P238" i="11"/>
  <c r="M238" i="11"/>
  <c r="L238" i="11"/>
  <c r="AS237" i="11"/>
  <c r="R237" i="11"/>
  <c r="X237" i="11"/>
  <c r="O237" i="11" s="1"/>
  <c r="U237" i="11"/>
  <c r="P237" i="11"/>
  <c r="M237" i="11"/>
  <c r="L237" i="11"/>
  <c r="AS235" i="11"/>
  <c r="R235" i="11"/>
  <c r="X235" i="11"/>
  <c r="O235" i="11" s="1"/>
  <c r="U235" i="11"/>
  <c r="P235" i="11"/>
  <c r="M235" i="11"/>
  <c r="L235" i="11"/>
  <c r="AR234" i="11"/>
  <c r="AS234" i="11" s="1"/>
  <c r="AC234" i="11"/>
  <c r="X234" i="11"/>
  <c r="U234" i="11"/>
  <c r="P234" i="11"/>
  <c r="M234" i="11"/>
  <c r="L234" i="11"/>
  <c r="R234" i="11" l="1"/>
  <c r="Q234" i="11"/>
  <c r="N314" i="11"/>
  <c r="N484" i="11"/>
  <c r="K314" i="11"/>
  <c r="K484" i="11"/>
  <c r="N240" i="11"/>
  <c r="O240" i="11"/>
  <c r="O238" i="11"/>
  <c r="N239" i="11"/>
  <c r="K239" i="11"/>
  <c r="K240" i="11"/>
  <c r="K238" i="11"/>
  <c r="N237" i="11"/>
  <c r="K237" i="11"/>
  <c r="N234" i="11"/>
  <c r="O234" i="11"/>
  <c r="K235" i="11"/>
  <c r="N235" i="11"/>
  <c r="K234" i="11" l="1"/>
  <c r="AS233" i="11"/>
  <c r="X233" i="11"/>
  <c r="O233" i="11" s="1"/>
  <c r="U233" i="11"/>
  <c r="R233" i="11"/>
  <c r="P233" i="11"/>
  <c r="M233" i="11"/>
  <c r="L233" i="11"/>
  <c r="AS232" i="11"/>
  <c r="X232" i="11"/>
  <c r="U232" i="11"/>
  <c r="R232" i="11"/>
  <c r="P232" i="11"/>
  <c r="M232" i="11"/>
  <c r="L232" i="11"/>
  <c r="AS231" i="11"/>
  <c r="X231" i="11"/>
  <c r="U231" i="11"/>
  <c r="R231" i="11"/>
  <c r="P231" i="11"/>
  <c r="M231" i="11"/>
  <c r="L231" i="11"/>
  <c r="N232" i="11" l="1"/>
  <c r="O232" i="11"/>
  <c r="N233" i="11"/>
  <c r="K233" i="11"/>
  <c r="K232" i="11"/>
  <c r="O231" i="11"/>
  <c r="N231" i="11"/>
  <c r="K231" i="11"/>
  <c r="R230" i="11"/>
  <c r="AS230" i="11"/>
  <c r="X230" i="11"/>
  <c r="O230" i="11" s="1"/>
  <c r="U230" i="11"/>
  <c r="P230" i="11"/>
  <c r="M230" i="11"/>
  <c r="L230" i="11"/>
  <c r="AS455" i="11"/>
  <c r="AA455" i="11"/>
  <c r="Z455" i="11"/>
  <c r="X455" i="11"/>
  <c r="U455" i="11"/>
  <c r="T455" i="11"/>
  <c r="R455" i="11"/>
  <c r="P455" i="11"/>
  <c r="M455" i="11"/>
  <c r="L455" i="11"/>
  <c r="AS454" i="11"/>
  <c r="AA454" i="11"/>
  <c r="Z454" i="11"/>
  <c r="X454" i="11"/>
  <c r="O454" i="11" s="1"/>
  <c r="U454" i="11"/>
  <c r="T454" i="11"/>
  <c r="R454" i="11"/>
  <c r="P454" i="11"/>
  <c r="M454" i="11"/>
  <c r="L454" i="11"/>
  <c r="AS313" i="11"/>
  <c r="X313" i="11"/>
  <c r="O313" i="11" s="1"/>
  <c r="U313" i="11"/>
  <c r="T313" i="11"/>
  <c r="R313" i="11"/>
  <c r="P313" i="11"/>
  <c r="M313" i="11"/>
  <c r="L313" i="11"/>
  <c r="N230" i="11" l="1"/>
  <c r="O455" i="11"/>
  <c r="N313" i="11"/>
  <c r="N455" i="11"/>
  <c r="K230" i="11"/>
  <c r="K455" i="11"/>
  <c r="K454" i="11"/>
  <c r="N454" i="11"/>
  <c r="K313" i="11"/>
  <c r="AC86" i="11" l="1"/>
  <c r="AB86" i="11"/>
  <c r="W86" i="11"/>
  <c r="AF88" i="11" l="1"/>
  <c r="AC88" i="11"/>
  <c r="AR46" i="11"/>
  <c r="AS452" i="11"/>
  <c r="R220" i="11"/>
  <c r="AS229" i="11"/>
  <c r="X229" i="11"/>
  <c r="O229" i="11" s="1"/>
  <c r="U229" i="11"/>
  <c r="R229" i="11"/>
  <c r="P229" i="11"/>
  <c r="M229" i="11"/>
  <c r="L229" i="11"/>
  <c r="AS453" i="11"/>
  <c r="AA453" i="11"/>
  <c r="Z453" i="11"/>
  <c r="X453" i="11"/>
  <c r="U453" i="11"/>
  <c r="T453" i="11"/>
  <c r="R453" i="11"/>
  <c r="P453" i="11"/>
  <c r="M453" i="11"/>
  <c r="L453" i="11"/>
  <c r="AB121" i="11"/>
  <c r="AC370" i="11"/>
  <c r="P205" i="11"/>
  <c r="AB157" i="11"/>
  <c r="AB136" i="11"/>
  <c r="AB131" i="11"/>
  <c r="W114" i="11"/>
  <c r="AS228" i="11"/>
  <c r="X228" i="11"/>
  <c r="O228" i="11" s="1"/>
  <c r="U228" i="11"/>
  <c r="R228" i="11"/>
  <c r="P228" i="11"/>
  <c r="M228" i="11"/>
  <c r="L228" i="11"/>
  <c r="AS469" i="11"/>
  <c r="X469" i="11"/>
  <c r="O469" i="11" s="1"/>
  <c r="U469" i="11"/>
  <c r="T469" i="11"/>
  <c r="R469" i="11"/>
  <c r="P469" i="11"/>
  <c r="M469" i="11"/>
  <c r="L469" i="11"/>
  <c r="AS312" i="11"/>
  <c r="AB312" i="11"/>
  <c r="X312" i="11"/>
  <c r="U312" i="11"/>
  <c r="T312" i="11"/>
  <c r="R312" i="11"/>
  <c r="M312" i="11"/>
  <c r="L312" i="11"/>
  <c r="AS227" i="11"/>
  <c r="X227" i="11"/>
  <c r="U227" i="11"/>
  <c r="R227" i="11"/>
  <c r="P227" i="11"/>
  <c r="M227" i="11"/>
  <c r="L227" i="11"/>
  <c r="AC80" i="11"/>
  <c r="AE500" i="11"/>
  <c r="AE494" i="11"/>
  <c r="AE492" i="11"/>
  <c r="AE468" i="11"/>
  <c r="AE386" i="11"/>
  <c r="AE351" i="11"/>
  <c r="AE346" i="11"/>
  <c r="AE316" i="11"/>
  <c r="AE304" i="11"/>
  <c r="AE281" i="11" s="1"/>
  <c r="AE263" i="11"/>
  <c r="AE178" i="11"/>
  <c r="AE177" i="11"/>
  <c r="AE176" i="11"/>
  <c r="AE174" i="11"/>
  <c r="AE173" i="11"/>
  <c r="AE172" i="11"/>
  <c r="AE171" i="11"/>
  <c r="AE89" i="11"/>
  <c r="AE87" i="11"/>
  <c r="AE85" i="11"/>
  <c r="AE83" i="11"/>
  <c r="AE81" i="11"/>
  <c r="AE79" i="11"/>
  <c r="AE77" i="11"/>
  <c r="AE58" i="11"/>
  <c r="AE55" i="11"/>
  <c r="AE51" i="11"/>
  <c r="AE49" i="11"/>
  <c r="AE46" i="11"/>
  <c r="AE44" i="11"/>
  <c r="AE42" i="11"/>
  <c r="AE37" i="11"/>
  <c r="AE29" i="11"/>
  <c r="AE26" i="11"/>
  <c r="AE24" i="11"/>
  <c r="AE22" i="11"/>
  <c r="AE20" i="11"/>
  <c r="AE19" i="11"/>
  <c r="AE16" i="11"/>
  <c r="AE15" i="11"/>
  <c r="AE14" i="11"/>
  <c r="AE12" i="11"/>
  <c r="AE11" i="11"/>
  <c r="AE10" i="11"/>
  <c r="AS489" i="11"/>
  <c r="AS458" i="11"/>
  <c r="AA452" i="11"/>
  <c r="Z452" i="11"/>
  <c r="X452" i="11"/>
  <c r="O452" i="11" s="1"/>
  <c r="U452" i="11"/>
  <c r="T452" i="11"/>
  <c r="R452" i="11"/>
  <c r="P452" i="11"/>
  <c r="M452" i="11"/>
  <c r="L452" i="11"/>
  <c r="AS348" i="11"/>
  <c r="U348" i="11"/>
  <c r="T348" i="11"/>
  <c r="R348" i="11"/>
  <c r="P348" i="11"/>
  <c r="O348" i="11"/>
  <c r="N348" i="11"/>
  <c r="M348" i="11"/>
  <c r="L348" i="11"/>
  <c r="AS345" i="11"/>
  <c r="AC59" i="11"/>
  <c r="AC489" i="11"/>
  <c r="Q489" i="11" s="1"/>
  <c r="U489" i="11"/>
  <c r="T489" i="11"/>
  <c r="P489" i="11"/>
  <c r="O489" i="11"/>
  <c r="N489" i="11"/>
  <c r="M489" i="11"/>
  <c r="L489" i="11"/>
  <c r="AS488" i="11"/>
  <c r="U488" i="11"/>
  <c r="T488" i="11"/>
  <c r="R488" i="11"/>
  <c r="P488" i="11"/>
  <c r="O488" i="11"/>
  <c r="N488" i="11"/>
  <c r="M488" i="11"/>
  <c r="L488" i="11"/>
  <c r="AS226" i="11"/>
  <c r="X226" i="11"/>
  <c r="O226" i="11" s="1"/>
  <c r="U226" i="11"/>
  <c r="R226" i="11"/>
  <c r="P226" i="11"/>
  <c r="M226" i="11"/>
  <c r="L226" i="11"/>
  <c r="AS225" i="11"/>
  <c r="X225" i="11"/>
  <c r="O225" i="11" s="1"/>
  <c r="U225" i="11"/>
  <c r="R225" i="11"/>
  <c r="P225" i="11"/>
  <c r="M225" i="11"/>
  <c r="L225" i="11"/>
  <c r="R340" i="11"/>
  <c r="K108" i="11"/>
  <c r="K20" i="11"/>
  <c r="K10" i="11"/>
  <c r="AJ390" i="11"/>
  <c r="AJ281" i="11"/>
  <c r="AJ492" i="11"/>
  <c r="AJ494" i="11"/>
  <c r="AF494" i="11"/>
  <c r="AJ386" i="11"/>
  <c r="AQ351" i="11"/>
  <c r="AJ351" i="11"/>
  <c r="AD351" i="11"/>
  <c r="AF351" i="11"/>
  <c r="AJ346" i="11"/>
  <c r="AJ316" i="11"/>
  <c r="AF316" i="11"/>
  <c r="AJ263" i="11"/>
  <c r="AF263" i="11"/>
  <c r="AJ107" i="11"/>
  <c r="AQ263" i="11"/>
  <c r="R345" i="11"/>
  <c r="AS224" i="11"/>
  <c r="X224" i="11"/>
  <c r="N224" i="11" s="1"/>
  <c r="U224" i="11"/>
  <c r="R224" i="11"/>
  <c r="P224" i="11"/>
  <c r="M224" i="11"/>
  <c r="L224" i="11"/>
  <c r="U486" i="11"/>
  <c r="AS483" i="11"/>
  <c r="X483" i="11"/>
  <c r="U483" i="11"/>
  <c r="T483" i="11"/>
  <c r="R483" i="11"/>
  <c r="P483" i="11"/>
  <c r="M483" i="11"/>
  <c r="L483" i="11"/>
  <c r="AS10" i="11"/>
  <c r="AS9" i="11" s="1"/>
  <c r="R9" i="11"/>
  <c r="R223" i="11"/>
  <c r="AS223" i="11"/>
  <c r="X223" i="11"/>
  <c r="U223" i="11"/>
  <c r="P223" i="11"/>
  <c r="M223" i="11"/>
  <c r="L223" i="11"/>
  <c r="AS222" i="11"/>
  <c r="X222" i="11"/>
  <c r="O222" i="11" s="1"/>
  <c r="U222" i="11"/>
  <c r="R222" i="11"/>
  <c r="P222" i="11"/>
  <c r="M222" i="11"/>
  <c r="L222" i="11"/>
  <c r="AS221" i="11"/>
  <c r="X221" i="11"/>
  <c r="U221" i="11"/>
  <c r="R221" i="11"/>
  <c r="P221" i="11"/>
  <c r="M221" i="11"/>
  <c r="L221" i="11"/>
  <c r="T451" i="11"/>
  <c r="AS451" i="11"/>
  <c r="AA451" i="11"/>
  <c r="Z451" i="11"/>
  <c r="X451" i="11"/>
  <c r="U451" i="11"/>
  <c r="R451" i="11"/>
  <c r="P451" i="11"/>
  <c r="M451" i="11"/>
  <c r="L451" i="11"/>
  <c r="AR340" i="11"/>
  <c r="AS340" i="11" s="1"/>
  <c r="AB340" i="11"/>
  <c r="X340" i="11"/>
  <c r="U340" i="11"/>
  <c r="T340" i="11"/>
  <c r="M340" i="11"/>
  <c r="L340" i="11"/>
  <c r="AC382" i="11"/>
  <c r="R385" i="11"/>
  <c r="AR382" i="11"/>
  <c r="AS382" i="11" s="1"/>
  <c r="X382" i="11"/>
  <c r="N382" i="11" s="1"/>
  <c r="U382" i="11"/>
  <c r="T382" i="11"/>
  <c r="M382" i="11"/>
  <c r="L382" i="11"/>
  <c r="P385" i="11"/>
  <c r="AS211" i="11"/>
  <c r="AS204" i="11"/>
  <c r="P93" i="11"/>
  <c r="P89" i="11" s="1"/>
  <c r="N93" i="11"/>
  <c r="AS93" i="11"/>
  <c r="U93" i="11"/>
  <c r="T93" i="11"/>
  <c r="M93" i="11"/>
  <c r="AS92" i="11"/>
  <c r="U92" i="11"/>
  <c r="T92" i="11"/>
  <c r="R92" i="11"/>
  <c r="M92" i="11"/>
  <c r="R85" i="11"/>
  <c r="AC77" i="11"/>
  <c r="AB50" i="11"/>
  <c r="AS220" i="11"/>
  <c r="X220" i="11"/>
  <c r="O220" i="11" s="1"/>
  <c r="U220" i="11"/>
  <c r="P220" i="11"/>
  <c r="M220" i="11"/>
  <c r="L220" i="11"/>
  <c r="AS450" i="11"/>
  <c r="AA450" i="11"/>
  <c r="Z450" i="11"/>
  <c r="X450" i="11"/>
  <c r="O450" i="11" s="1"/>
  <c r="U450" i="11"/>
  <c r="T450" i="11"/>
  <c r="R450" i="11"/>
  <c r="P450" i="11"/>
  <c r="M450" i="11"/>
  <c r="L450" i="11"/>
  <c r="R75" i="11"/>
  <c r="AS74" i="11"/>
  <c r="U74" i="11"/>
  <c r="T74" i="11"/>
  <c r="R74" i="11"/>
  <c r="P74" i="11"/>
  <c r="O74" i="11"/>
  <c r="N74" i="11"/>
  <c r="M74" i="11"/>
  <c r="L74" i="11"/>
  <c r="R458" i="11"/>
  <c r="P449" i="11"/>
  <c r="AS449" i="11"/>
  <c r="AA449" i="11"/>
  <c r="Z449" i="11"/>
  <c r="X449" i="11"/>
  <c r="N449" i="11" s="1"/>
  <c r="U449" i="11"/>
  <c r="T449" i="11"/>
  <c r="R449" i="11"/>
  <c r="M449" i="11"/>
  <c r="L449" i="11"/>
  <c r="P482" i="11"/>
  <c r="AS308" i="11"/>
  <c r="AB82" i="11"/>
  <c r="AB80" i="11"/>
  <c r="AB79" i="11" s="1"/>
  <c r="E22" i="17" s="1"/>
  <c r="E22" i="22" s="1"/>
  <c r="AB78" i="11"/>
  <c r="AS201" i="11"/>
  <c r="P132" i="11"/>
  <c r="K132" i="11" s="1"/>
  <c r="P84" i="11"/>
  <c r="P83" i="11" s="1"/>
  <c r="D25" i="17" s="1"/>
  <c r="D25" i="22" s="1"/>
  <c r="P490" i="11"/>
  <c r="P487" i="11"/>
  <c r="P486" i="11"/>
  <c r="P481" i="11"/>
  <c r="P480" i="11"/>
  <c r="P479" i="11"/>
  <c r="P478" i="11"/>
  <c r="P477" i="11"/>
  <c r="P476" i="11"/>
  <c r="P473" i="11"/>
  <c r="P472" i="11"/>
  <c r="P471" i="11"/>
  <c r="P470" i="11"/>
  <c r="P467" i="11"/>
  <c r="P466" i="11"/>
  <c r="P465" i="11"/>
  <c r="P464" i="11"/>
  <c r="P463" i="11"/>
  <c r="P462" i="11"/>
  <c r="P460" i="11"/>
  <c r="P459" i="11"/>
  <c r="P458" i="11"/>
  <c r="P448" i="11"/>
  <c r="P447" i="11"/>
  <c r="P446" i="11"/>
  <c r="P445" i="11"/>
  <c r="P444" i="11"/>
  <c r="P443" i="11"/>
  <c r="P442" i="11"/>
  <c r="P441" i="11"/>
  <c r="P440" i="11"/>
  <c r="P439" i="11"/>
  <c r="P438" i="11"/>
  <c r="P434" i="11"/>
  <c r="P433" i="11"/>
  <c r="P432" i="11"/>
  <c r="P430" i="11"/>
  <c r="P429" i="11"/>
  <c r="P428" i="11"/>
  <c r="P427" i="11"/>
  <c r="P426" i="11"/>
  <c r="P425" i="11"/>
  <c r="P424" i="11"/>
  <c r="P423" i="11"/>
  <c r="P422" i="11"/>
  <c r="P421" i="11"/>
  <c r="P420" i="11"/>
  <c r="P419" i="11"/>
  <c r="P418" i="11"/>
  <c r="P417" i="11"/>
  <c r="P416" i="11"/>
  <c r="P415" i="11"/>
  <c r="P414" i="11"/>
  <c r="P413" i="11"/>
  <c r="P412" i="11"/>
  <c r="P411" i="11"/>
  <c r="P410" i="11"/>
  <c r="P409" i="11"/>
  <c r="P408" i="11"/>
  <c r="P407" i="11"/>
  <c r="P406" i="11"/>
  <c r="P405" i="11"/>
  <c r="P403" i="11"/>
  <c r="P401" i="11"/>
  <c r="P399" i="11"/>
  <c r="P397" i="11"/>
  <c r="P396" i="11"/>
  <c r="P395" i="11"/>
  <c r="P394" i="11"/>
  <c r="P391" i="11"/>
  <c r="P388" i="11"/>
  <c r="P387" i="11"/>
  <c r="P381" i="11"/>
  <c r="P380" i="11"/>
  <c r="P376" i="11"/>
  <c r="P375" i="11"/>
  <c r="P371" i="11"/>
  <c r="P368" i="11"/>
  <c r="P367" i="11"/>
  <c r="P365" i="11"/>
  <c r="P364" i="11"/>
  <c r="P363" i="11"/>
  <c r="P355" i="11"/>
  <c r="P353" i="11"/>
  <c r="P352" i="11"/>
  <c r="P350" i="11"/>
  <c r="P347" i="11"/>
  <c r="P330" i="11"/>
  <c r="P329" i="11"/>
  <c r="P326" i="11"/>
  <c r="P325" i="11"/>
  <c r="P323" i="11"/>
  <c r="P322" i="11"/>
  <c r="P320" i="11"/>
  <c r="P319" i="11"/>
  <c r="P318" i="11"/>
  <c r="P305" i="11"/>
  <c r="P304" i="11"/>
  <c r="P303" i="11"/>
  <c r="P299" i="11"/>
  <c r="P298" i="11"/>
  <c r="P295" i="11"/>
  <c r="P294" i="11"/>
  <c r="P293" i="11"/>
  <c r="P292" i="11"/>
  <c r="P291" i="11"/>
  <c r="P286" i="11"/>
  <c r="P284" i="11"/>
  <c r="P283" i="11"/>
  <c r="P282" i="11"/>
  <c r="P280" i="11"/>
  <c r="P278" i="11"/>
  <c r="P277" i="11"/>
  <c r="P276" i="11"/>
  <c r="P275" i="11"/>
  <c r="P274" i="11"/>
  <c r="P273" i="11"/>
  <c r="P272" i="11"/>
  <c r="P271" i="11"/>
  <c r="P269" i="11"/>
  <c r="P267" i="11"/>
  <c r="P266" i="11"/>
  <c r="P265" i="11"/>
  <c r="P264" i="11"/>
  <c r="P219" i="11"/>
  <c r="P218" i="11"/>
  <c r="P217" i="11"/>
  <c r="P216" i="11"/>
  <c r="P215" i="11"/>
  <c r="P214" i="11"/>
  <c r="P213" i="11"/>
  <c r="P212" i="11"/>
  <c r="P211" i="11"/>
  <c r="P210" i="11"/>
  <c r="P209" i="11"/>
  <c r="P208" i="11"/>
  <c r="P207" i="11"/>
  <c r="P204" i="11"/>
  <c r="P203" i="11"/>
  <c r="P202" i="11"/>
  <c r="P196" i="11"/>
  <c r="P195" i="11"/>
  <c r="P193" i="11"/>
  <c r="P192" i="11"/>
  <c r="P191" i="11"/>
  <c r="P190" i="11"/>
  <c r="P189" i="11"/>
  <c r="P188" i="11"/>
  <c r="P187" i="11"/>
  <c r="P186" i="11"/>
  <c r="P184" i="11"/>
  <c r="P183" i="11"/>
  <c r="P182" i="11"/>
  <c r="P179" i="11"/>
  <c r="P178" i="11"/>
  <c r="P175" i="11"/>
  <c r="P172" i="11"/>
  <c r="P171" i="11"/>
  <c r="P168" i="11"/>
  <c r="P167" i="11"/>
  <c r="P166" i="11"/>
  <c r="P165" i="11"/>
  <c r="P162" i="11"/>
  <c r="P156" i="11"/>
  <c r="P155" i="11"/>
  <c r="P153" i="11"/>
  <c r="P150" i="11"/>
  <c r="P148" i="11"/>
  <c r="P147" i="11"/>
  <c r="P145" i="11"/>
  <c r="P144" i="11"/>
  <c r="P140" i="11"/>
  <c r="P139" i="11"/>
  <c r="P138" i="11"/>
  <c r="P137" i="11"/>
  <c r="P130" i="11"/>
  <c r="P129" i="11"/>
  <c r="P128" i="11"/>
  <c r="P125" i="11"/>
  <c r="P124" i="11"/>
  <c r="P111" i="11"/>
  <c r="P75" i="11"/>
  <c r="P71" i="11"/>
  <c r="P70" i="11"/>
  <c r="P69" i="11"/>
  <c r="P67" i="11"/>
  <c r="P66" i="11"/>
  <c r="P63" i="11"/>
  <c r="P62" i="11"/>
  <c r="P54" i="11"/>
  <c r="P47" i="11"/>
  <c r="P43" i="11"/>
  <c r="P41" i="11"/>
  <c r="P40" i="11"/>
  <c r="P39" i="11"/>
  <c r="P38" i="11"/>
  <c r="P36" i="11"/>
  <c r="P30" i="11"/>
  <c r="O490" i="11"/>
  <c r="O487" i="11"/>
  <c r="O478" i="11"/>
  <c r="O477" i="11"/>
  <c r="O476" i="11"/>
  <c r="O475" i="11"/>
  <c r="O474" i="11"/>
  <c r="O473" i="11"/>
  <c r="O472" i="11"/>
  <c r="O471" i="11"/>
  <c r="O466" i="11"/>
  <c r="O465" i="11"/>
  <c r="O464" i="11"/>
  <c r="O463" i="11"/>
  <c r="O462" i="11"/>
  <c r="O460" i="11"/>
  <c r="O459" i="11"/>
  <c r="O442" i="11"/>
  <c r="O441" i="11"/>
  <c r="O440" i="11"/>
  <c r="O439" i="11"/>
  <c r="O438" i="11"/>
  <c r="O436" i="11"/>
  <c r="O433" i="11"/>
  <c r="O432" i="11"/>
  <c r="O429" i="11"/>
  <c r="O428" i="11"/>
  <c r="O427" i="11"/>
  <c r="O426" i="11"/>
  <c r="O425" i="11"/>
  <c r="O424" i="11"/>
  <c r="O423" i="11"/>
  <c r="O422" i="11"/>
  <c r="O421" i="11"/>
  <c r="O420" i="11"/>
  <c r="O419" i="11"/>
  <c r="O418" i="11"/>
  <c r="O417" i="11"/>
  <c r="O416" i="11"/>
  <c r="O415" i="11"/>
  <c r="O414" i="11"/>
  <c r="O412" i="11"/>
  <c r="O411" i="11"/>
  <c r="O406" i="11"/>
  <c r="O405" i="11"/>
  <c r="O403" i="11"/>
  <c r="O402" i="11"/>
  <c r="O401" i="11"/>
  <c r="O400" i="11"/>
  <c r="O399" i="11"/>
  <c r="O398" i="11"/>
  <c r="O397" i="11"/>
  <c r="O396" i="11"/>
  <c r="O395" i="11"/>
  <c r="O394" i="11"/>
  <c r="O391" i="11"/>
  <c r="O378" i="11"/>
  <c r="O377" i="11"/>
  <c r="O376" i="11"/>
  <c r="O375" i="11"/>
  <c r="O373" i="11"/>
  <c r="O372" i="11"/>
  <c r="O371" i="11"/>
  <c r="O370" i="11"/>
  <c r="O369" i="11"/>
  <c r="O368" i="11"/>
  <c r="O367" i="11"/>
  <c r="O366" i="11"/>
  <c r="O365" i="11"/>
  <c r="O364" i="11"/>
  <c r="O362" i="11"/>
  <c r="O361" i="11"/>
  <c r="O360" i="11"/>
  <c r="O359" i="11"/>
  <c r="O358" i="11"/>
  <c r="O357" i="11"/>
  <c r="O356" i="11"/>
  <c r="O355" i="11"/>
  <c r="O354" i="11"/>
  <c r="O353" i="11"/>
  <c r="O350" i="11"/>
  <c r="O347" i="11"/>
  <c r="O335" i="11"/>
  <c r="O333" i="11"/>
  <c r="O332" i="11"/>
  <c r="O331" i="11"/>
  <c r="O329" i="11"/>
  <c r="O328" i="11"/>
  <c r="O327" i="11"/>
  <c r="O326" i="11"/>
  <c r="O325" i="11"/>
  <c r="O324" i="11"/>
  <c r="O323" i="11"/>
  <c r="O322" i="11"/>
  <c r="O321" i="11"/>
  <c r="O320" i="11"/>
  <c r="O319" i="11"/>
  <c r="O318" i="11"/>
  <c r="O317" i="11"/>
  <c r="O306" i="11"/>
  <c r="O305" i="11"/>
  <c r="O303" i="11"/>
  <c r="O302" i="11"/>
  <c r="O301" i="11"/>
  <c r="O300" i="11"/>
  <c r="O299" i="11"/>
  <c r="O298" i="11"/>
  <c r="O297" i="11"/>
  <c r="O296" i="11"/>
  <c r="O295" i="11"/>
  <c r="O294" i="11"/>
  <c r="O293" i="11"/>
  <c r="O292" i="11"/>
  <c r="O291" i="11"/>
  <c r="O290" i="11"/>
  <c r="O289" i="11"/>
  <c r="O286" i="11"/>
  <c r="O285" i="11"/>
  <c r="O284" i="11"/>
  <c r="O283" i="11"/>
  <c r="O282" i="11"/>
  <c r="O278" i="11"/>
  <c r="O277" i="11"/>
  <c r="O276" i="11"/>
  <c r="O275" i="11"/>
  <c r="O274" i="11"/>
  <c r="O273" i="11"/>
  <c r="O272" i="11"/>
  <c r="O271" i="11"/>
  <c r="O268" i="11"/>
  <c r="O267" i="11"/>
  <c r="O266" i="11"/>
  <c r="O265" i="11"/>
  <c r="O264" i="11"/>
  <c r="O192" i="11"/>
  <c r="O191" i="11"/>
  <c r="O190" i="11"/>
  <c r="O189" i="11"/>
  <c r="O188" i="11"/>
  <c r="O187" i="11"/>
  <c r="O186" i="11"/>
  <c r="O171" i="11"/>
  <c r="O170" i="11"/>
  <c r="O169" i="11"/>
  <c r="O168" i="11"/>
  <c r="O167" i="11"/>
  <c r="O166" i="11"/>
  <c r="O164" i="11"/>
  <c r="O159" i="11"/>
  <c r="O158" i="11"/>
  <c r="O157" i="11"/>
  <c r="O156" i="11"/>
  <c r="O155" i="11"/>
  <c r="O154" i="11"/>
  <c r="O153" i="11"/>
  <c r="O151" i="11"/>
  <c r="O150" i="11"/>
  <c r="O149" i="11"/>
  <c r="O148" i="11"/>
  <c r="O147" i="11"/>
  <c r="O144" i="11"/>
  <c r="O143" i="11"/>
  <c r="O142" i="11"/>
  <c r="O140" i="11"/>
  <c r="O138" i="11"/>
  <c r="O137" i="11"/>
  <c r="O135" i="11"/>
  <c r="O133" i="11"/>
  <c r="O130" i="11"/>
  <c r="O128" i="11"/>
  <c r="O125" i="11"/>
  <c r="O124" i="11"/>
  <c r="O111" i="11"/>
  <c r="O75" i="11"/>
  <c r="O72" i="11"/>
  <c r="O71" i="11"/>
  <c r="O70" i="11"/>
  <c r="O69" i="11"/>
  <c r="O67" i="11"/>
  <c r="O66" i="11"/>
  <c r="O62" i="11"/>
  <c r="O61" i="11"/>
  <c r="O54" i="11"/>
  <c r="O48" i="11"/>
  <c r="O47" i="11"/>
  <c r="O40" i="11"/>
  <c r="O39" i="11"/>
  <c r="O38" i="11"/>
  <c r="O30" i="11"/>
  <c r="N30" i="11"/>
  <c r="AB9" i="11"/>
  <c r="K82" i="11"/>
  <c r="K81" i="11" s="1"/>
  <c r="K500" i="11"/>
  <c r="K499" i="11"/>
  <c r="K498" i="11"/>
  <c r="K495" i="11"/>
  <c r="K494" i="11" s="1"/>
  <c r="K493" i="11"/>
  <c r="K492" i="11" s="1"/>
  <c r="K110" i="11"/>
  <c r="K109" i="11"/>
  <c r="K91" i="11"/>
  <c r="K90" i="11"/>
  <c r="K79" i="11"/>
  <c r="K78" i="11"/>
  <c r="K77" i="11" s="1"/>
  <c r="K27" i="11"/>
  <c r="K26" i="11" s="1"/>
  <c r="K25" i="11"/>
  <c r="K24" i="11" s="1"/>
  <c r="K23" i="11"/>
  <c r="K22" i="11" s="1"/>
  <c r="D38" i="17"/>
  <c r="D38" i="22" s="1"/>
  <c r="D37" i="17"/>
  <c r="D37" i="22" s="1"/>
  <c r="P87" i="11"/>
  <c r="D26" i="17" s="1"/>
  <c r="D26" i="22" s="1"/>
  <c r="P85" i="11"/>
  <c r="P81" i="11"/>
  <c r="D23" i="17" s="1"/>
  <c r="D23" i="22" s="1"/>
  <c r="P79" i="11"/>
  <c r="D22" i="17" s="1"/>
  <c r="D22" i="22" s="1"/>
  <c r="P77" i="11"/>
  <c r="D24" i="17" s="1"/>
  <c r="D24" i="22" s="1"/>
  <c r="P26" i="11"/>
  <c r="P24" i="11"/>
  <c r="P22" i="11"/>
  <c r="D10" i="17" s="1"/>
  <c r="D10" i="22" s="1"/>
  <c r="P20" i="11"/>
  <c r="P9" i="11"/>
  <c r="D9" i="17" s="1"/>
  <c r="D9" i="22" s="1"/>
  <c r="AB497" i="11"/>
  <c r="AB494" i="11"/>
  <c r="E38" i="17" s="1"/>
  <c r="E38" i="22" s="1"/>
  <c r="AB492" i="11"/>
  <c r="E37" i="17" s="1"/>
  <c r="E37" i="22" s="1"/>
  <c r="AB475" i="11"/>
  <c r="P475" i="11" s="1"/>
  <c r="AB474" i="11"/>
  <c r="P474" i="11" s="1"/>
  <c r="AB468" i="11"/>
  <c r="AB461" i="11"/>
  <c r="P461" i="11" s="1"/>
  <c r="AB437" i="11"/>
  <c r="P437" i="11" s="1"/>
  <c r="AB436" i="11"/>
  <c r="P436" i="11" s="1"/>
  <c r="AB435" i="11"/>
  <c r="AB402" i="11"/>
  <c r="P402" i="11" s="1"/>
  <c r="AB400" i="11"/>
  <c r="P400" i="11" s="1"/>
  <c r="AB398" i="11"/>
  <c r="P398" i="11" s="1"/>
  <c r="AB389" i="11"/>
  <c r="AB386" i="11" s="1"/>
  <c r="E31" i="17" s="1"/>
  <c r="E31" i="22" s="1"/>
  <c r="AB379" i="11"/>
  <c r="P379" i="11" s="1"/>
  <c r="AB378" i="11"/>
  <c r="P378" i="11" s="1"/>
  <c r="AB377" i="11"/>
  <c r="P377" i="11" s="1"/>
  <c r="AB374" i="11"/>
  <c r="P374" i="11" s="1"/>
  <c r="AB373" i="11"/>
  <c r="P373" i="11" s="1"/>
  <c r="AB372" i="11"/>
  <c r="P372" i="11" s="1"/>
  <c r="AB369" i="11"/>
  <c r="P369" i="11" s="1"/>
  <c r="AB366" i="11"/>
  <c r="P366" i="11" s="1"/>
  <c r="AB362" i="11"/>
  <c r="P362" i="11" s="1"/>
  <c r="AB361" i="11"/>
  <c r="P361" i="11" s="1"/>
  <c r="AB360" i="11"/>
  <c r="P360" i="11" s="1"/>
  <c r="AB359" i="11"/>
  <c r="P359" i="11" s="1"/>
  <c r="AB358" i="11"/>
  <c r="P358" i="11" s="1"/>
  <c r="AB357" i="11"/>
  <c r="P357" i="11" s="1"/>
  <c r="AB356" i="11"/>
  <c r="P356" i="11" s="1"/>
  <c r="AB354" i="11"/>
  <c r="AB346" i="11"/>
  <c r="E32" i="17" s="1"/>
  <c r="E32" i="22" s="1"/>
  <c r="AB345" i="11"/>
  <c r="P345" i="11" s="1"/>
  <c r="AB339" i="11"/>
  <c r="P339" i="11" s="1"/>
  <c r="AB338" i="11"/>
  <c r="AB337" i="11"/>
  <c r="P337" i="11" s="1"/>
  <c r="AB336" i="11"/>
  <c r="P336" i="11" s="1"/>
  <c r="AB335" i="11"/>
  <c r="P335" i="11" s="1"/>
  <c r="AB334" i="11"/>
  <c r="P334" i="11" s="1"/>
  <c r="AB333" i="11"/>
  <c r="AB332" i="11"/>
  <c r="P332" i="11" s="1"/>
  <c r="AB331" i="11"/>
  <c r="P331" i="11" s="1"/>
  <c r="AB328" i="11"/>
  <c r="P328" i="11" s="1"/>
  <c r="AB327" i="11"/>
  <c r="P327" i="11" s="1"/>
  <c r="AB324" i="11"/>
  <c r="P324" i="11" s="1"/>
  <c r="AB321" i="11"/>
  <c r="P321" i="11" s="1"/>
  <c r="AB317" i="11"/>
  <c r="P315" i="11"/>
  <c r="AB311" i="11"/>
  <c r="P311" i="11" s="1"/>
  <c r="AB310" i="11"/>
  <c r="P310" i="11" s="1"/>
  <c r="AB309" i="11"/>
  <c r="AB308" i="11"/>
  <c r="P308" i="11" s="1"/>
  <c r="AB307" i="11"/>
  <c r="P307" i="11" s="1"/>
  <c r="AB306" i="11"/>
  <c r="P306" i="11" s="1"/>
  <c r="AB302" i="11"/>
  <c r="P302" i="11" s="1"/>
  <c r="AB301" i="11"/>
  <c r="P301" i="11" s="1"/>
  <c r="AB300" i="11"/>
  <c r="P300" i="11" s="1"/>
  <c r="AB297" i="11"/>
  <c r="P297" i="11" s="1"/>
  <c r="AB296" i="11"/>
  <c r="P296" i="11" s="1"/>
  <c r="AB290" i="11"/>
  <c r="P290" i="11" s="1"/>
  <c r="AB289" i="11"/>
  <c r="P289" i="11" s="1"/>
  <c r="AB288" i="11"/>
  <c r="AB287" i="11"/>
  <c r="P287" i="11" s="1"/>
  <c r="AB285" i="11"/>
  <c r="AB268" i="11"/>
  <c r="P268" i="11" s="1"/>
  <c r="AB201" i="11"/>
  <c r="P201" i="11" s="1"/>
  <c r="AB200" i="11"/>
  <c r="AB199" i="11"/>
  <c r="P199" i="11" s="1"/>
  <c r="AB197" i="11"/>
  <c r="P197" i="11" s="1"/>
  <c r="AB194" i="11"/>
  <c r="P194" i="11" s="1"/>
  <c r="AB185" i="11"/>
  <c r="P185" i="11" s="1"/>
  <c r="AB181" i="11"/>
  <c r="P181" i="11" s="1"/>
  <c r="AB177" i="11"/>
  <c r="P177" i="11" s="1"/>
  <c r="AB176" i="11"/>
  <c r="P176" i="11" s="1"/>
  <c r="AB174" i="11"/>
  <c r="P174" i="11" s="1"/>
  <c r="AB173" i="11"/>
  <c r="P173" i="11" s="1"/>
  <c r="AB170" i="11"/>
  <c r="P170" i="11" s="1"/>
  <c r="AB169" i="11"/>
  <c r="P169" i="11" s="1"/>
  <c r="AB164" i="11"/>
  <c r="P164" i="11" s="1"/>
  <c r="AB163" i="11"/>
  <c r="P163" i="11" s="1"/>
  <c r="AB161" i="11"/>
  <c r="P161" i="11" s="1"/>
  <c r="AB160" i="11"/>
  <c r="P160" i="11" s="1"/>
  <c r="AB159" i="11"/>
  <c r="P159" i="11" s="1"/>
  <c r="AB158" i="11"/>
  <c r="AB154" i="11"/>
  <c r="P154" i="11" s="1"/>
  <c r="AB151" i="11"/>
  <c r="P151" i="11" s="1"/>
  <c r="AB149" i="11"/>
  <c r="P149" i="11" s="1"/>
  <c r="AB146" i="11"/>
  <c r="P146" i="11" s="1"/>
  <c r="AB143" i="11"/>
  <c r="P143" i="11" s="1"/>
  <c r="AB142" i="11"/>
  <c r="P142" i="11" s="1"/>
  <c r="AB141" i="11"/>
  <c r="P141" i="11" s="1"/>
  <c r="AB135" i="11"/>
  <c r="P135" i="11" s="1"/>
  <c r="AB134" i="11"/>
  <c r="P134" i="11" s="1"/>
  <c r="AB133" i="11"/>
  <c r="P133" i="11" s="1"/>
  <c r="AB127" i="11"/>
  <c r="AB126" i="11"/>
  <c r="AB112" i="11"/>
  <c r="AB108" i="11"/>
  <c r="AB96" i="11"/>
  <c r="P95" i="11"/>
  <c r="AB91" i="11"/>
  <c r="AB90" i="11"/>
  <c r="AB87" i="11"/>
  <c r="E26" i="17" s="1"/>
  <c r="E26" i="22" s="1"/>
  <c r="AB85" i="11"/>
  <c r="AB83" i="11"/>
  <c r="E25" i="17" s="1"/>
  <c r="E25" i="22" s="1"/>
  <c r="AB72" i="11"/>
  <c r="AB68" i="11"/>
  <c r="AB61" i="11"/>
  <c r="AB59" i="11"/>
  <c r="P59" i="11" s="1"/>
  <c r="AB56" i="11"/>
  <c r="AB52" i="11"/>
  <c r="P52" i="11" s="1"/>
  <c r="AB48" i="11"/>
  <c r="P48" i="11" s="1"/>
  <c r="AB45" i="11"/>
  <c r="AB42" i="11"/>
  <c r="E18" i="17" s="1"/>
  <c r="E18" i="22" s="1"/>
  <c r="AB37" i="11"/>
  <c r="E14" i="17" s="1"/>
  <c r="E14" i="22" s="1"/>
  <c r="AB29" i="11"/>
  <c r="E13" i="17" s="1"/>
  <c r="E13" i="22" s="1"/>
  <c r="AB26" i="11"/>
  <c r="AB24" i="11"/>
  <c r="AB22" i="11"/>
  <c r="E10" i="17" s="1"/>
  <c r="E10" i="22" s="1"/>
  <c r="AB20" i="11"/>
  <c r="E11" i="17" s="1"/>
  <c r="E11" i="22" s="1"/>
  <c r="R201" i="11"/>
  <c r="U201" i="11"/>
  <c r="M201" i="11"/>
  <c r="R273" i="11"/>
  <c r="AR346" i="11"/>
  <c r="AR9" i="11"/>
  <c r="AR20" i="11"/>
  <c r="AR22" i="11"/>
  <c r="AR24" i="11"/>
  <c r="AR26" i="11"/>
  <c r="AR29" i="11"/>
  <c r="AR37" i="11"/>
  <c r="AR42" i="11"/>
  <c r="AR44" i="11"/>
  <c r="AR77" i="11"/>
  <c r="AR80" i="11"/>
  <c r="AR79" i="11" s="1"/>
  <c r="AR81" i="11"/>
  <c r="AR83" i="11"/>
  <c r="AR85" i="11"/>
  <c r="AR87" i="11"/>
  <c r="AR90" i="11"/>
  <c r="AR91" i="11"/>
  <c r="AR492" i="11"/>
  <c r="K37" i="17" s="1"/>
  <c r="K37" i="22" s="1"/>
  <c r="AR494" i="11"/>
  <c r="AR497" i="11"/>
  <c r="M391" i="11"/>
  <c r="N391" i="11"/>
  <c r="U391" i="11"/>
  <c r="R391" i="11"/>
  <c r="T391" i="11"/>
  <c r="M392" i="11"/>
  <c r="M393" i="11"/>
  <c r="M394" i="11"/>
  <c r="N394" i="11"/>
  <c r="U394" i="11"/>
  <c r="R394" i="11"/>
  <c r="T394" i="11"/>
  <c r="M395" i="11"/>
  <c r="N395" i="11"/>
  <c r="U395" i="11"/>
  <c r="R395" i="11"/>
  <c r="T395" i="11"/>
  <c r="M396" i="11"/>
  <c r="N396" i="11"/>
  <c r="U396" i="11"/>
  <c r="R396" i="11"/>
  <c r="T396" i="11"/>
  <c r="M397" i="11"/>
  <c r="N397" i="11"/>
  <c r="U397" i="11"/>
  <c r="R397" i="11"/>
  <c r="T397" i="11"/>
  <c r="M398" i="11"/>
  <c r="N398" i="11"/>
  <c r="U398" i="11"/>
  <c r="R398" i="11"/>
  <c r="T398" i="11"/>
  <c r="M399" i="11"/>
  <c r="N399" i="11"/>
  <c r="U399" i="11"/>
  <c r="R399" i="11"/>
  <c r="T399" i="11"/>
  <c r="M400" i="11"/>
  <c r="N400" i="11"/>
  <c r="U400" i="11"/>
  <c r="R400" i="11"/>
  <c r="T400" i="11"/>
  <c r="M401" i="11"/>
  <c r="N401" i="11"/>
  <c r="U401" i="11"/>
  <c r="R401" i="11"/>
  <c r="T401" i="11"/>
  <c r="M402" i="11"/>
  <c r="N402" i="11"/>
  <c r="U402" i="11"/>
  <c r="R402" i="11"/>
  <c r="T402" i="11"/>
  <c r="M403" i="11"/>
  <c r="N403" i="11"/>
  <c r="U403" i="11"/>
  <c r="R403" i="11"/>
  <c r="T403" i="11"/>
  <c r="M404" i="11"/>
  <c r="K404" i="11" s="1"/>
  <c r="M405" i="11"/>
  <c r="N405" i="11"/>
  <c r="U405" i="11"/>
  <c r="R405" i="11"/>
  <c r="T405" i="11"/>
  <c r="M406" i="11"/>
  <c r="N406" i="11"/>
  <c r="U406" i="11"/>
  <c r="R406" i="11"/>
  <c r="T406" i="11"/>
  <c r="M407" i="11"/>
  <c r="U407" i="11"/>
  <c r="R407" i="11"/>
  <c r="T407" i="11"/>
  <c r="M408" i="11"/>
  <c r="U408" i="11"/>
  <c r="R408" i="11"/>
  <c r="T408" i="11"/>
  <c r="M409" i="11"/>
  <c r="U409" i="11"/>
  <c r="R409" i="11"/>
  <c r="T409" i="11"/>
  <c r="M410" i="11"/>
  <c r="U410" i="11"/>
  <c r="R410" i="11"/>
  <c r="T410" i="11"/>
  <c r="M411" i="11"/>
  <c r="N411" i="11"/>
  <c r="U411" i="11"/>
  <c r="R411" i="11"/>
  <c r="T411" i="11"/>
  <c r="M412" i="11"/>
  <c r="N412" i="11"/>
  <c r="U412" i="11"/>
  <c r="R412" i="11"/>
  <c r="T412" i="11"/>
  <c r="M413" i="11"/>
  <c r="U413" i="11"/>
  <c r="R413" i="11"/>
  <c r="T413" i="11"/>
  <c r="M414" i="11"/>
  <c r="N414" i="11"/>
  <c r="U414" i="11"/>
  <c r="R414" i="11"/>
  <c r="T414" i="11"/>
  <c r="M415" i="11"/>
  <c r="N415" i="11"/>
  <c r="U415" i="11"/>
  <c r="R415" i="11"/>
  <c r="T415" i="11"/>
  <c r="M416" i="11"/>
  <c r="N416" i="11"/>
  <c r="U416" i="11"/>
  <c r="R416" i="11"/>
  <c r="T416" i="11"/>
  <c r="M417" i="11"/>
  <c r="N417" i="11"/>
  <c r="U417" i="11"/>
  <c r="R417" i="11"/>
  <c r="T417" i="11"/>
  <c r="M418" i="11"/>
  <c r="N418" i="11"/>
  <c r="U418" i="11"/>
  <c r="R418" i="11"/>
  <c r="T418" i="11"/>
  <c r="N419" i="11"/>
  <c r="U419" i="11"/>
  <c r="R419" i="11"/>
  <c r="T419" i="11"/>
  <c r="M420" i="11"/>
  <c r="N420" i="11"/>
  <c r="U420" i="11"/>
  <c r="R420" i="11"/>
  <c r="T420" i="11"/>
  <c r="M421" i="11"/>
  <c r="N421" i="11"/>
  <c r="U421" i="11"/>
  <c r="R421" i="11"/>
  <c r="T421" i="11"/>
  <c r="M422" i="11"/>
  <c r="N422" i="11"/>
  <c r="U422" i="11"/>
  <c r="R422" i="11"/>
  <c r="T422" i="11"/>
  <c r="M423" i="11"/>
  <c r="N423" i="11"/>
  <c r="U423" i="11"/>
  <c r="R423" i="11"/>
  <c r="T423" i="11"/>
  <c r="M424" i="11"/>
  <c r="N424" i="11"/>
  <c r="U424" i="11"/>
  <c r="R424" i="11"/>
  <c r="T424" i="11"/>
  <c r="M425" i="11"/>
  <c r="N425" i="11"/>
  <c r="U425" i="11"/>
  <c r="R425" i="11"/>
  <c r="T425" i="11"/>
  <c r="M426" i="11"/>
  <c r="N426" i="11"/>
  <c r="U426" i="11"/>
  <c r="R426" i="11"/>
  <c r="T426" i="11"/>
  <c r="M427" i="11"/>
  <c r="N427" i="11"/>
  <c r="U427" i="11"/>
  <c r="R427" i="11"/>
  <c r="T427" i="11"/>
  <c r="M428" i="11"/>
  <c r="N428" i="11"/>
  <c r="U428" i="11"/>
  <c r="R428" i="11"/>
  <c r="T428" i="11"/>
  <c r="M429" i="11"/>
  <c r="N429" i="11"/>
  <c r="U429" i="11"/>
  <c r="R429" i="11"/>
  <c r="T429" i="11"/>
  <c r="M430" i="11"/>
  <c r="U430" i="11"/>
  <c r="R430" i="11"/>
  <c r="T430" i="11"/>
  <c r="M432" i="11"/>
  <c r="N432" i="11"/>
  <c r="U432" i="11"/>
  <c r="R432" i="11"/>
  <c r="T432" i="11"/>
  <c r="M433" i="11"/>
  <c r="N433" i="11"/>
  <c r="U433" i="11"/>
  <c r="R433" i="11"/>
  <c r="T433" i="11"/>
  <c r="M434" i="11"/>
  <c r="U434" i="11"/>
  <c r="R434" i="11"/>
  <c r="T434" i="11"/>
  <c r="M435" i="11"/>
  <c r="U435" i="11"/>
  <c r="R435" i="11"/>
  <c r="T435" i="11"/>
  <c r="M436" i="11"/>
  <c r="N436" i="11"/>
  <c r="U436" i="11"/>
  <c r="R436" i="11"/>
  <c r="T436" i="11"/>
  <c r="M437" i="11"/>
  <c r="U437" i="11"/>
  <c r="R437" i="11"/>
  <c r="T437" i="11"/>
  <c r="M438" i="11"/>
  <c r="N438" i="11"/>
  <c r="U438" i="11"/>
  <c r="R438" i="11"/>
  <c r="T438" i="11"/>
  <c r="M439" i="11"/>
  <c r="N439" i="11"/>
  <c r="U439" i="11"/>
  <c r="R439" i="11"/>
  <c r="T439" i="11"/>
  <c r="M440" i="11"/>
  <c r="N440" i="11"/>
  <c r="U440" i="11"/>
  <c r="R440" i="11"/>
  <c r="T440" i="11"/>
  <c r="M441" i="11"/>
  <c r="N441" i="11"/>
  <c r="U441" i="11"/>
  <c r="R441" i="11"/>
  <c r="T441" i="11"/>
  <c r="M442" i="11"/>
  <c r="N442" i="11"/>
  <c r="U442" i="11"/>
  <c r="R442" i="11"/>
  <c r="T442" i="11"/>
  <c r="M443" i="11"/>
  <c r="U443" i="11"/>
  <c r="R443" i="11"/>
  <c r="T443" i="11"/>
  <c r="M444" i="11"/>
  <c r="U444" i="11"/>
  <c r="R444" i="11"/>
  <c r="T444" i="11"/>
  <c r="M445" i="11"/>
  <c r="U445" i="11"/>
  <c r="R445" i="11"/>
  <c r="T445" i="11"/>
  <c r="M446" i="11"/>
  <c r="U446" i="11"/>
  <c r="R446" i="11"/>
  <c r="T446" i="11"/>
  <c r="M447" i="11"/>
  <c r="U447" i="11"/>
  <c r="R447" i="11"/>
  <c r="T447" i="11"/>
  <c r="M448" i="11"/>
  <c r="U448" i="11"/>
  <c r="R448" i="11"/>
  <c r="T448" i="11"/>
  <c r="M458" i="11"/>
  <c r="U458" i="11"/>
  <c r="T458" i="11"/>
  <c r="M459" i="11"/>
  <c r="N459" i="11"/>
  <c r="U459" i="11"/>
  <c r="R459" i="11"/>
  <c r="T459" i="11"/>
  <c r="M460" i="11"/>
  <c r="N460" i="11"/>
  <c r="U460" i="11"/>
  <c r="R460" i="11"/>
  <c r="T460" i="11"/>
  <c r="M461" i="11"/>
  <c r="U461" i="11"/>
  <c r="R461" i="11"/>
  <c r="T461" i="11"/>
  <c r="M462" i="11"/>
  <c r="N462" i="11"/>
  <c r="U462" i="11"/>
  <c r="R462" i="11"/>
  <c r="T462" i="11"/>
  <c r="M463" i="11"/>
  <c r="N463" i="11"/>
  <c r="U463" i="11"/>
  <c r="R463" i="11"/>
  <c r="T463" i="11"/>
  <c r="M464" i="11"/>
  <c r="N464" i="11"/>
  <c r="U464" i="11"/>
  <c r="R464" i="11"/>
  <c r="T464" i="11"/>
  <c r="M465" i="11"/>
  <c r="N465" i="11"/>
  <c r="U465" i="11"/>
  <c r="R465" i="11"/>
  <c r="T465" i="11"/>
  <c r="M466" i="11"/>
  <c r="N466" i="11"/>
  <c r="U466" i="11"/>
  <c r="R466" i="11"/>
  <c r="T466" i="11"/>
  <c r="M467" i="11"/>
  <c r="U467" i="11"/>
  <c r="T467" i="11"/>
  <c r="M468" i="11"/>
  <c r="U468" i="11"/>
  <c r="T468" i="11"/>
  <c r="M470" i="11"/>
  <c r="U470" i="11"/>
  <c r="R470" i="11"/>
  <c r="T470" i="11"/>
  <c r="M471" i="11"/>
  <c r="N471" i="11"/>
  <c r="U471" i="11"/>
  <c r="R471" i="11"/>
  <c r="T471" i="11"/>
  <c r="M472" i="11"/>
  <c r="N472" i="11"/>
  <c r="U472" i="11"/>
  <c r="R472" i="11"/>
  <c r="T472" i="11"/>
  <c r="M473" i="11"/>
  <c r="N473" i="11"/>
  <c r="U473" i="11"/>
  <c r="R473" i="11"/>
  <c r="T473" i="11"/>
  <c r="M474" i="11"/>
  <c r="N474" i="11"/>
  <c r="U474" i="11"/>
  <c r="R474" i="11"/>
  <c r="T474" i="11"/>
  <c r="M475" i="11"/>
  <c r="N475" i="11"/>
  <c r="U475" i="11"/>
  <c r="T475" i="11"/>
  <c r="M476" i="11"/>
  <c r="N476" i="11"/>
  <c r="U476" i="11"/>
  <c r="R476" i="11"/>
  <c r="T476" i="11"/>
  <c r="M477" i="11"/>
  <c r="N477" i="11"/>
  <c r="U477" i="11"/>
  <c r="R477" i="11"/>
  <c r="T477" i="11"/>
  <c r="M478" i="11"/>
  <c r="N478" i="11"/>
  <c r="U478" i="11"/>
  <c r="R478" i="11"/>
  <c r="T478" i="11"/>
  <c r="M479" i="11"/>
  <c r="U479" i="11"/>
  <c r="R479" i="11"/>
  <c r="T479" i="11"/>
  <c r="M480" i="11"/>
  <c r="U480" i="11"/>
  <c r="R480" i="11"/>
  <c r="T480" i="11"/>
  <c r="M481" i="11"/>
  <c r="U481" i="11"/>
  <c r="R481" i="11"/>
  <c r="T481" i="11"/>
  <c r="M482" i="11"/>
  <c r="U482" i="11"/>
  <c r="R482" i="11"/>
  <c r="T482" i="11"/>
  <c r="M486" i="11"/>
  <c r="R486" i="11"/>
  <c r="T486" i="11"/>
  <c r="M487" i="11"/>
  <c r="N487" i="11"/>
  <c r="U487" i="11"/>
  <c r="R487" i="11"/>
  <c r="T487" i="11"/>
  <c r="M490" i="11"/>
  <c r="N490" i="11"/>
  <c r="U490" i="11"/>
  <c r="R490" i="11"/>
  <c r="T490" i="11"/>
  <c r="M111" i="11"/>
  <c r="N111" i="11"/>
  <c r="U111" i="11"/>
  <c r="R111" i="11"/>
  <c r="M112" i="11"/>
  <c r="U112" i="11"/>
  <c r="R112" i="11"/>
  <c r="N124" i="11"/>
  <c r="N125" i="11"/>
  <c r="U121" i="11"/>
  <c r="R124" i="11"/>
  <c r="U124" i="11"/>
  <c r="R125" i="11"/>
  <c r="U125" i="11"/>
  <c r="M128" i="11"/>
  <c r="N128" i="11"/>
  <c r="U128" i="11"/>
  <c r="R128" i="11"/>
  <c r="M129" i="11"/>
  <c r="U129" i="11"/>
  <c r="R129" i="11"/>
  <c r="M130" i="11"/>
  <c r="N130" i="11"/>
  <c r="U130" i="11"/>
  <c r="R130" i="11"/>
  <c r="M133" i="11"/>
  <c r="N133" i="11"/>
  <c r="U133" i="11"/>
  <c r="R133" i="11"/>
  <c r="M134" i="11"/>
  <c r="U134" i="11"/>
  <c r="R134" i="11"/>
  <c r="M135" i="11"/>
  <c r="N135" i="11"/>
  <c r="U135" i="11"/>
  <c r="R135" i="11"/>
  <c r="M137" i="11"/>
  <c r="N137" i="11"/>
  <c r="U137" i="11"/>
  <c r="R137" i="11"/>
  <c r="M138" i="11"/>
  <c r="N138" i="11"/>
  <c r="U138" i="11"/>
  <c r="R138" i="11"/>
  <c r="M139" i="11"/>
  <c r="U139" i="11"/>
  <c r="R139" i="11"/>
  <c r="M140" i="11"/>
  <c r="N140" i="11"/>
  <c r="U140" i="11"/>
  <c r="R140" i="11"/>
  <c r="M141" i="11"/>
  <c r="U141" i="11"/>
  <c r="R141" i="11"/>
  <c r="M142" i="11"/>
  <c r="N142" i="11"/>
  <c r="U142" i="11"/>
  <c r="R142" i="11"/>
  <c r="M143" i="11"/>
  <c r="N143" i="11"/>
  <c r="U143" i="11"/>
  <c r="R143" i="11"/>
  <c r="M144" i="11"/>
  <c r="N144" i="11"/>
  <c r="U144" i="11"/>
  <c r="R144" i="11"/>
  <c r="M145" i="11"/>
  <c r="U145" i="11"/>
  <c r="R145" i="11"/>
  <c r="M146" i="11"/>
  <c r="U146" i="11"/>
  <c r="R146" i="11"/>
  <c r="M147" i="11"/>
  <c r="N147" i="11"/>
  <c r="U147" i="11"/>
  <c r="R147" i="11"/>
  <c r="M148" i="11"/>
  <c r="N148" i="11"/>
  <c r="U148" i="11"/>
  <c r="R148" i="11"/>
  <c r="M149" i="11"/>
  <c r="N149" i="11"/>
  <c r="U149" i="11"/>
  <c r="R149" i="11"/>
  <c r="M150" i="11"/>
  <c r="N150" i="11"/>
  <c r="U150" i="11"/>
  <c r="R150" i="11"/>
  <c r="M151" i="11"/>
  <c r="N151" i="11"/>
  <c r="U151" i="11"/>
  <c r="R151" i="11"/>
  <c r="M153" i="11"/>
  <c r="N153" i="11"/>
  <c r="U153" i="11"/>
  <c r="R153" i="11"/>
  <c r="M154" i="11"/>
  <c r="N154" i="11"/>
  <c r="U154" i="11"/>
  <c r="R154" i="11"/>
  <c r="M155" i="11"/>
  <c r="N155" i="11"/>
  <c r="U155" i="11"/>
  <c r="R155" i="11"/>
  <c r="M156" i="11"/>
  <c r="N156" i="11"/>
  <c r="U156" i="11"/>
  <c r="R156" i="11"/>
  <c r="M157" i="11"/>
  <c r="N157" i="11"/>
  <c r="M158" i="11"/>
  <c r="N158" i="11"/>
  <c r="U158" i="11"/>
  <c r="R158" i="11"/>
  <c r="M159" i="11"/>
  <c r="N159" i="11"/>
  <c r="U159" i="11"/>
  <c r="R159" i="11"/>
  <c r="M160" i="11"/>
  <c r="U160" i="11"/>
  <c r="R160" i="11"/>
  <c r="M161" i="11"/>
  <c r="U161" i="11"/>
  <c r="R161" i="11"/>
  <c r="M162" i="11"/>
  <c r="U162" i="11"/>
  <c r="R162" i="11"/>
  <c r="M163" i="11"/>
  <c r="U163" i="11"/>
  <c r="R163" i="11"/>
  <c r="M164" i="11"/>
  <c r="N164" i="11"/>
  <c r="U164" i="11"/>
  <c r="R164" i="11"/>
  <c r="M165" i="11"/>
  <c r="U165" i="11"/>
  <c r="R165" i="11"/>
  <c r="M166" i="11"/>
  <c r="N166" i="11"/>
  <c r="U166" i="11"/>
  <c r="R166" i="11"/>
  <c r="M167" i="11"/>
  <c r="N167" i="11"/>
  <c r="U167" i="11"/>
  <c r="R167" i="11"/>
  <c r="M168" i="11"/>
  <c r="N168" i="11"/>
  <c r="U168" i="11"/>
  <c r="R168" i="11"/>
  <c r="M169" i="11"/>
  <c r="N169" i="11"/>
  <c r="U169" i="11"/>
  <c r="R169" i="11"/>
  <c r="M170" i="11"/>
  <c r="N170" i="11"/>
  <c r="U170" i="11"/>
  <c r="R170" i="11"/>
  <c r="M171" i="11"/>
  <c r="N171" i="11"/>
  <c r="U171" i="11"/>
  <c r="M172" i="11"/>
  <c r="U172" i="11"/>
  <c r="M173" i="11"/>
  <c r="U173" i="11"/>
  <c r="M174" i="11"/>
  <c r="U174" i="11"/>
  <c r="M175" i="11"/>
  <c r="U175" i="11"/>
  <c r="M176" i="11"/>
  <c r="U176" i="11"/>
  <c r="M177" i="11"/>
  <c r="U177" i="11"/>
  <c r="M178" i="11"/>
  <c r="U178" i="11"/>
  <c r="M179" i="11"/>
  <c r="U179" i="11"/>
  <c r="R179" i="11"/>
  <c r="M181" i="11"/>
  <c r="U181" i="11"/>
  <c r="R181" i="11"/>
  <c r="M182" i="11"/>
  <c r="U182" i="11"/>
  <c r="R182" i="11"/>
  <c r="M183" i="11"/>
  <c r="U183" i="11"/>
  <c r="R183" i="11"/>
  <c r="M184" i="11"/>
  <c r="U184" i="11"/>
  <c r="R184" i="11"/>
  <c r="M185" i="11"/>
  <c r="U185" i="11"/>
  <c r="R185" i="11"/>
  <c r="M186" i="11"/>
  <c r="N186" i="11"/>
  <c r="U186" i="11"/>
  <c r="R186" i="11"/>
  <c r="M187" i="11"/>
  <c r="N187" i="11"/>
  <c r="U187" i="11"/>
  <c r="R187" i="11"/>
  <c r="M188" i="11"/>
  <c r="N188" i="11"/>
  <c r="U188" i="11"/>
  <c r="R188" i="11"/>
  <c r="M189" i="11"/>
  <c r="N189" i="11"/>
  <c r="U189" i="11"/>
  <c r="R189" i="11"/>
  <c r="M190" i="11"/>
  <c r="N190" i="11"/>
  <c r="U190" i="11"/>
  <c r="R190" i="11"/>
  <c r="M191" i="11"/>
  <c r="N191" i="11"/>
  <c r="U191" i="11"/>
  <c r="R191" i="11"/>
  <c r="M192" i="11"/>
  <c r="N192" i="11"/>
  <c r="U192" i="11"/>
  <c r="R192" i="11"/>
  <c r="M193" i="11"/>
  <c r="U193" i="11"/>
  <c r="R193" i="11"/>
  <c r="M194" i="11"/>
  <c r="U194" i="11"/>
  <c r="R194" i="11"/>
  <c r="M195" i="11"/>
  <c r="U195" i="11"/>
  <c r="R195" i="11"/>
  <c r="M196" i="11"/>
  <c r="U196" i="11"/>
  <c r="R196" i="11"/>
  <c r="M197" i="11"/>
  <c r="U197" i="11"/>
  <c r="R197" i="11"/>
  <c r="M198" i="11"/>
  <c r="M199" i="11"/>
  <c r="U199" i="11"/>
  <c r="R199" i="11"/>
  <c r="M200" i="11"/>
  <c r="U200" i="11"/>
  <c r="R200" i="11"/>
  <c r="M202" i="11"/>
  <c r="U202" i="11"/>
  <c r="R202" i="11"/>
  <c r="M203" i="11"/>
  <c r="U203" i="11"/>
  <c r="R203" i="11"/>
  <c r="M204" i="11"/>
  <c r="U204" i="11"/>
  <c r="M205" i="11"/>
  <c r="U205" i="11"/>
  <c r="R205" i="11"/>
  <c r="M207" i="11"/>
  <c r="U207" i="11"/>
  <c r="R207" i="11"/>
  <c r="M208" i="11"/>
  <c r="U208" i="11"/>
  <c r="R208" i="11"/>
  <c r="M209" i="11"/>
  <c r="U209" i="11"/>
  <c r="M210" i="11"/>
  <c r="U210" i="11"/>
  <c r="R210" i="11"/>
  <c r="M211" i="11"/>
  <c r="U211" i="11"/>
  <c r="R211" i="11"/>
  <c r="M212" i="11"/>
  <c r="U212" i="11"/>
  <c r="R212" i="11"/>
  <c r="M213" i="11"/>
  <c r="U213" i="11"/>
  <c r="M214" i="11"/>
  <c r="U214" i="11"/>
  <c r="M215" i="11"/>
  <c r="U215" i="11"/>
  <c r="M216" i="11"/>
  <c r="U216" i="11"/>
  <c r="M217" i="11"/>
  <c r="U217" i="11"/>
  <c r="M218" i="11"/>
  <c r="U218" i="11"/>
  <c r="M219" i="11"/>
  <c r="U219" i="11"/>
  <c r="M264" i="11"/>
  <c r="N264" i="11"/>
  <c r="U264" i="11"/>
  <c r="R264" i="11"/>
  <c r="T264" i="11"/>
  <c r="M265" i="11"/>
  <c r="N265" i="11"/>
  <c r="U265" i="11"/>
  <c r="R265" i="11"/>
  <c r="T265" i="11"/>
  <c r="M266" i="11"/>
  <c r="N266" i="11"/>
  <c r="U266" i="11"/>
  <c r="R266" i="11"/>
  <c r="T266" i="11"/>
  <c r="M267" i="11"/>
  <c r="N267" i="11"/>
  <c r="U267" i="11"/>
  <c r="R267" i="11"/>
  <c r="T267" i="11"/>
  <c r="M268" i="11"/>
  <c r="N268" i="11"/>
  <c r="U268" i="11"/>
  <c r="R268" i="11"/>
  <c r="T268" i="11"/>
  <c r="M269" i="11"/>
  <c r="U269" i="11"/>
  <c r="R269" i="11"/>
  <c r="T269" i="11"/>
  <c r="M271" i="11"/>
  <c r="N271" i="11"/>
  <c r="U271" i="11"/>
  <c r="R271" i="11"/>
  <c r="T271" i="11"/>
  <c r="M272" i="11"/>
  <c r="N272" i="11"/>
  <c r="U272" i="11"/>
  <c r="R272" i="11"/>
  <c r="T272" i="11"/>
  <c r="M273" i="11"/>
  <c r="N273" i="11"/>
  <c r="U273" i="11"/>
  <c r="T273" i="11"/>
  <c r="M274" i="11"/>
  <c r="N274" i="11"/>
  <c r="U274" i="11"/>
  <c r="R274" i="11"/>
  <c r="T274" i="11"/>
  <c r="M275" i="11"/>
  <c r="N275" i="11"/>
  <c r="U275" i="11"/>
  <c r="R275" i="11"/>
  <c r="T275" i="11"/>
  <c r="M276" i="11"/>
  <c r="N276" i="11"/>
  <c r="U276" i="11"/>
  <c r="R276" i="11"/>
  <c r="T276" i="11"/>
  <c r="M277" i="11"/>
  <c r="N277" i="11"/>
  <c r="U277" i="11"/>
  <c r="R277" i="11"/>
  <c r="T277" i="11"/>
  <c r="M278" i="11"/>
  <c r="N278" i="11"/>
  <c r="U278" i="11"/>
  <c r="R278" i="11"/>
  <c r="T278" i="11"/>
  <c r="M280" i="11"/>
  <c r="U280" i="11"/>
  <c r="R280" i="11"/>
  <c r="T280" i="11"/>
  <c r="M282" i="11"/>
  <c r="N282" i="11"/>
  <c r="U282" i="11"/>
  <c r="R282" i="11"/>
  <c r="T282" i="11"/>
  <c r="M283" i="11"/>
  <c r="N283" i="11"/>
  <c r="U283" i="11"/>
  <c r="R283" i="11"/>
  <c r="T283" i="11"/>
  <c r="M284" i="11"/>
  <c r="N284" i="11"/>
  <c r="U284" i="11"/>
  <c r="R284" i="11"/>
  <c r="T284" i="11"/>
  <c r="M285" i="11"/>
  <c r="N285" i="11"/>
  <c r="U285" i="11"/>
  <c r="R285" i="11"/>
  <c r="T285" i="11"/>
  <c r="M286" i="11"/>
  <c r="N286" i="11"/>
  <c r="U286" i="11"/>
  <c r="R286" i="11"/>
  <c r="T286" i="11"/>
  <c r="M287" i="11"/>
  <c r="U287" i="11"/>
  <c r="R287" i="11"/>
  <c r="T287" i="11"/>
  <c r="M288" i="11"/>
  <c r="U288" i="11"/>
  <c r="R288" i="11"/>
  <c r="T288" i="11"/>
  <c r="M289" i="11"/>
  <c r="N289" i="11"/>
  <c r="U289" i="11"/>
  <c r="R289" i="11"/>
  <c r="T289" i="11"/>
  <c r="M290" i="11"/>
  <c r="N290" i="11"/>
  <c r="U290" i="11"/>
  <c r="R290" i="11"/>
  <c r="T290" i="11"/>
  <c r="M291" i="11"/>
  <c r="N291" i="11"/>
  <c r="U291" i="11"/>
  <c r="R291" i="11"/>
  <c r="T291" i="11"/>
  <c r="R292" i="11"/>
  <c r="T292" i="11"/>
  <c r="U292" i="11"/>
  <c r="R293" i="11"/>
  <c r="T293" i="11"/>
  <c r="U293" i="11"/>
  <c r="R294" i="11"/>
  <c r="T294" i="11"/>
  <c r="U294" i="11"/>
  <c r="R295" i="11"/>
  <c r="T295" i="11"/>
  <c r="U295" i="11"/>
  <c r="M292" i="11"/>
  <c r="N292" i="11"/>
  <c r="N293" i="11"/>
  <c r="N294" i="11"/>
  <c r="N295" i="11"/>
  <c r="M296" i="11"/>
  <c r="N296" i="11"/>
  <c r="U296" i="11"/>
  <c r="R296" i="11"/>
  <c r="T296" i="11"/>
  <c r="M297" i="11"/>
  <c r="N297" i="11"/>
  <c r="U297" i="11"/>
  <c r="R297" i="11"/>
  <c r="T297" i="11"/>
  <c r="M298" i="11"/>
  <c r="N298" i="11"/>
  <c r="U298" i="11"/>
  <c r="R298" i="11"/>
  <c r="T298" i="11"/>
  <c r="M299" i="11"/>
  <c r="N299" i="11"/>
  <c r="U299" i="11"/>
  <c r="R299" i="11"/>
  <c r="T299" i="11"/>
  <c r="M300" i="11"/>
  <c r="N300" i="11"/>
  <c r="U300" i="11"/>
  <c r="R300" i="11"/>
  <c r="T300" i="11"/>
  <c r="M301" i="11"/>
  <c r="N301" i="11"/>
  <c r="U301" i="11"/>
  <c r="R301" i="11"/>
  <c r="T301" i="11"/>
  <c r="M302" i="11"/>
  <c r="N302" i="11"/>
  <c r="U302" i="11"/>
  <c r="R302" i="11"/>
  <c r="T302" i="11"/>
  <c r="M303" i="11"/>
  <c r="N303" i="11"/>
  <c r="U303" i="11"/>
  <c r="R303" i="11"/>
  <c r="T303" i="11"/>
  <c r="M304" i="11"/>
  <c r="U304" i="11"/>
  <c r="T304" i="11"/>
  <c r="M305" i="11"/>
  <c r="N305" i="11"/>
  <c r="U305" i="11"/>
  <c r="R305" i="11"/>
  <c r="T305" i="11"/>
  <c r="M306" i="11"/>
  <c r="N306" i="11"/>
  <c r="U306" i="11"/>
  <c r="T306" i="11"/>
  <c r="M307" i="11"/>
  <c r="U307" i="11"/>
  <c r="R307" i="11"/>
  <c r="T307" i="11"/>
  <c r="M309" i="11"/>
  <c r="U309" i="11"/>
  <c r="R309" i="11"/>
  <c r="T309" i="11"/>
  <c r="M310" i="11"/>
  <c r="U310" i="11"/>
  <c r="R310" i="11"/>
  <c r="T310" i="11"/>
  <c r="M311" i="11"/>
  <c r="U311" i="11"/>
  <c r="R311" i="11"/>
  <c r="T311" i="11"/>
  <c r="M315" i="11"/>
  <c r="U315" i="11"/>
  <c r="R315" i="11"/>
  <c r="T315" i="11"/>
  <c r="R317" i="11"/>
  <c r="T317" i="11"/>
  <c r="U317" i="11"/>
  <c r="R318" i="11"/>
  <c r="T318" i="11"/>
  <c r="U318" i="11"/>
  <c r="M317" i="11"/>
  <c r="N317" i="11"/>
  <c r="N318" i="11"/>
  <c r="M319" i="11"/>
  <c r="N319" i="11"/>
  <c r="U319" i="11"/>
  <c r="R319" i="11"/>
  <c r="T319" i="11"/>
  <c r="M320" i="11"/>
  <c r="N320" i="11"/>
  <c r="U320" i="11"/>
  <c r="R320" i="11"/>
  <c r="T320" i="11"/>
  <c r="M321" i="11"/>
  <c r="N321" i="11"/>
  <c r="U321" i="11"/>
  <c r="R321" i="11"/>
  <c r="T321" i="11"/>
  <c r="M322" i="11"/>
  <c r="N322" i="11"/>
  <c r="U322" i="11"/>
  <c r="R322" i="11"/>
  <c r="T322" i="11"/>
  <c r="M323" i="11"/>
  <c r="N323" i="11"/>
  <c r="U323" i="11"/>
  <c r="R323" i="11"/>
  <c r="T323" i="11"/>
  <c r="M324" i="11"/>
  <c r="N324" i="11"/>
  <c r="U324" i="11"/>
  <c r="R324" i="11"/>
  <c r="T324" i="11"/>
  <c r="M325" i="11"/>
  <c r="N325" i="11"/>
  <c r="U325" i="11"/>
  <c r="R325" i="11"/>
  <c r="T325" i="11"/>
  <c r="M326" i="11"/>
  <c r="N326" i="11"/>
  <c r="U326" i="11"/>
  <c r="R326" i="11"/>
  <c r="T326" i="11"/>
  <c r="M327" i="11"/>
  <c r="N327" i="11"/>
  <c r="U327" i="11"/>
  <c r="R327" i="11"/>
  <c r="T327" i="11"/>
  <c r="M328" i="11"/>
  <c r="N328" i="11"/>
  <c r="U328" i="11"/>
  <c r="R328" i="11"/>
  <c r="T328" i="11"/>
  <c r="M329" i="11"/>
  <c r="N329" i="11"/>
  <c r="U329" i="11"/>
  <c r="R329" i="11"/>
  <c r="T329" i="11"/>
  <c r="M330" i="11"/>
  <c r="U330" i="11"/>
  <c r="R330" i="11"/>
  <c r="T330" i="11"/>
  <c r="M331" i="11"/>
  <c r="N331" i="11"/>
  <c r="U331" i="11"/>
  <c r="R331" i="11"/>
  <c r="T331" i="11"/>
  <c r="M332" i="11"/>
  <c r="N332" i="11"/>
  <c r="U332" i="11"/>
  <c r="R332" i="11"/>
  <c r="T332" i="11"/>
  <c r="M333" i="11"/>
  <c r="N333" i="11"/>
  <c r="U333" i="11"/>
  <c r="R333" i="11"/>
  <c r="T333" i="11"/>
  <c r="M334" i="11"/>
  <c r="U334" i="11"/>
  <c r="R334" i="11"/>
  <c r="T334" i="11"/>
  <c r="M335" i="11"/>
  <c r="N335" i="11"/>
  <c r="U335" i="11"/>
  <c r="R335" i="11"/>
  <c r="T335" i="11"/>
  <c r="M336" i="11"/>
  <c r="U336" i="11"/>
  <c r="R336" i="11"/>
  <c r="T336" i="11"/>
  <c r="M337" i="11"/>
  <c r="U337" i="11"/>
  <c r="R337" i="11"/>
  <c r="T337" i="11"/>
  <c r="M338" i="11"/>
  <c r="U338" i="11"/>
  <c r="R338" i="11"/>
  <c r="T338" i="11"/>
  <c r="M339" i="11"/>
  <c r="U339" i="11"/>
  <c r="R339" i="11"/>
  <c r="T339" i="11"/>
  <c r="M345" i="11"/>
  <c r="U345" i="11"/>
  <c r="T345" i="11"/>
  <c r="M347" i="11"/>
  <c r="N347" i="11"/>
  <c r="U347" i="11"/>
  <c r="R347" i="11"/>
  <c r="T347" i="11"/>
  <c r="M350" i="11"/>
  <c r="N350" i="11"/>
  <c r="U350" i="11"/>
  <c r="T350" i="11"/>
  <c r="M352" i="11"/>
  <c r="U352" i="11"/>
  <c r="T352" i="11"/>
  <c r="M353" i="11"/>
  <c r="N353" i="11"/>
  <c r="U353" i="11"/>
  <c r="T353" i="11"/>
  <c r="M354" i="11"/>
  <c r="N354" i="11"/>
  <c r="U354" i="11"/>
  <c r="R354" i="11"/>
  <c r="T354" i="11"/>
  <c r="M355" i="11"/>
  <c r="N355" i="11"/>
  <c r="U355" i="11"/>
  <c r="T355" i="11"/>
  <c r="M356" i="11"/>
  <c r="N356" i="11"/>
  <c r="U356" i="11"/>
  <c r="T356" i="11"/>
  <c r="M357" i="11"/>
  <c r="N357" i="11"/>
  <c r="U357" i="11"/>
  <c r="T357" i="11"/>
  <c r="M358" i="11"/>
  <c r="N358" i="11"/>
  <c r="U358" i="11"/>
  <c r="T358" i="11"/>
  <c r="M359" i="11"/>
  <c r="N359" i="11"/>
  <c r="U359" i="11"/>
  <c r="R359" i="11"/>
  <c r="T359" i="11"/>
  <c r="M360" i="11"/>
  <c r="N360" i="11"/>
  <c r="U360" i="11"/>
  <c r="R360" i="11"/>
  <c r="T360" i="11"/>
  <c r="M361" i="11"/>
  <c r="N361" i="11"/>
  <c r="U361" i="11"/>
  <c r="R361" i="11"/>
  <c r="T361" i="11"/>
  <c r="M362" i="11"/>
  <c r="N362" i="11"/>
  <c r="U362" i="11"/>
  <c r="T362" i="11"/>
  <c r="M363" i="11"/>
  <c r="U363" i="11"/>
  <c r="R363" i="11"/>
  <c r="T363" i="11"/>
  <c r="M364" i="11"/>
  <c r="N364" i="11"/>
  <c r="U364" i="11"/>
  <c r="R364" i="11"/>
  <c r="T364" i="11"/>
  <c r="M365" i="11"/>
  <c r="N365" i="11"/>
  <c r="U365" i="11"/>
  <c r="T365" i="11"/>
  <c r="M366" i="11"/>
  <c r="N366" i="11"/>
  <c r="U366" i="11"/>
  <c r="T366" i="11"/>
  <c r="M367" i="11"/>
  <c r="N367" i="11"/>
  <c r="U367" i="11"/>
  <c r="T367" i="11"/>
  <c r="M368" i="11"/>
  <c r="N368" i="11"/>
  <c r="U368" i="11"/>
  <c r="T368" i="11"/>
  <c r="M369" i="11"/>
  <c r="N369" i="11"/>
  <c r="U369" i="11"/>
  <c r="T369" i="11"/>
  <c r="M370" i="11"/>
  <c r="N370" i="11"/>
  <c r="U370" i="11"/>
  <c r="T370" i="11"/>
  <c r="M371" i="11"/>
  <c r="N371" i="11"/>
  <c r="U371" i="11"/>
  <c r="M372" i="11"/>
  <c r="N372" i="11"/>
  <c r="U372" i="11"/>
  <c r="T372" i="11"/>
  <c r="M373" i="11"/>
  <c r="N373" i="11"/>
  <c r="U373" i="11"/>
  <c r="T373" i="11"/>
  <c r="M374" i="11"/>
  <c r="U374" i="11"/>
  <c r="T374" i="11"/>
  <c r="M375" i="11"/>
  <c r="N375" i="11"/>
  <c r="U375" i="11"/>
  <c r="T375" i="11"/>
  <c r="M376" i="11"/>
  <c r="N376" i="11"/>
  <c r="U376" i="11"/>
  <c r="T376" i="11"/>
  <c r="M377" i="11"/>
  <c r="N377" i="11"/>
  <c r="U377" i="11"/>
  <c r="T377" i="11"/>
  <c r="M378" i="11"/>
  <c r="N378" i="11"/>
  <c r="U378" i="11"/>
  <c r="T378" i="11"/>
  <c r="M379" i="11"/>
  <c r="U379" i="11"/>
  <c r="T379" i="11"/>
  <c r="M380" i="11"/>
  <c r="U380" i="11"/>
  <c r="T380" i="11"/>
  <c r="M381" i="11"/>
  <c r="U381" i="11"/>
  <c r="T381" i="11"/>
  <c r="M385" i="11"/>
  <c r="U385" i="11"/>
  <c r="T385" i="11"/>
  <c r="M387" i="11"/>
  <c r="U387" i="11"/>
  <c r="R387" i="11"/>
  <c r="T387" i="11"/>
  <c r="M388" i="11"/>
  <c r="U388" i="11"/>
  <c r="T388" i="11"/>
  <c r="M389" i="11"/>
  <c r="U389" i="11"/>
  <c r="T389" i="11"/>
  <c r="M30" i="11"/>
  <c r="U30" i="11"/>
  <c r="R30" i="11"/>
  <c r="T30" i="11"/>
  <c r="M36" i="11"/>
  <c r="U36" i="11"/>
  <c r="R36" i="11"/>
  <c r="T36" i="11"/>
  <c r="N38" i="11"/>
  <c r="U38" i="11"/>
  <c r="R38" i="11"/>
  <c r="T38" i="11"/>
  <c r="M39" i="11"/>
  <c r="N39" i="11"/>
  <c r="U39" i="11"/>
  <c r="R39" i="11"/>
  <c r="T39" i="11"/>
  <c r="M40" i="11"/>
  <c r="N40" i="11"/>
  <c r="U40" i="11"/>
  <c r="R40" i="11"/>
  <c r="T40" i="11"/>
  <c r="M41" i="11"/>
  <c r="U41" i="11"/>
  <c r="T41" i="11"/>
  <c r="M43" i="11"/>
  <c r="M42" i="11" s="1"/>
  <c r="B18" i="17" s="1"/>
  <c r="B18" i="22" s="1"/>
  <c r="U43" i="11"/>
  <c r="R43" i="11"/>
  <c r="T43" i="11"/>
  <c r="M45" i="11"/>
  <c r="M44" i="11" s="1"/>
  <c r="B19" i="17" s="1"/>
  <c r="B19" i="22" s="1"/>
  <c r="U45" i="11"/>
  <c r="R45" i="11"/>
  <c r="T45" i="11"/>
  <c r="M47" i="11"/>
  <c r="N47" i="11"/>
  <c r="U47" i="11"/>
  <c r="R47" i="11"/>
  <c r="T47" i="11"/>
  <c r="M48" i="11"/>
  <c r="N48" i="11"/>
  <c r="U48" i="11"/>
  <c r="T48" i="11"/>
  <c r="M50" i="11"/>
  <c r="M49" i="11" s="1"/>
  <c r="B20" i="17" s="1"/>
  <c r="B20" i="22" s="1"/>
  <c r="U50" i="11"/>
  <c r="U49" i="11" s="1"/>
  <c r="L20" i="17" s="1"/>
  <c r="L20" i="22" s="1"/>
  <c r="T50" i="11"/>
  <c r="M52" i="11"/>
  <c r="U52" i="11"/>
  <c r="R52" i="11"/>
  <c r="T52" i="11"/>
  <c r="M54" i="11"/>
  <c r="N54" i="11"/>
  <c r="U54" i="11"/>
  <c r="R54" i="11"/>
  <c r="T54" i="11"/>
  <c r="U56" i="11"/>
  <c r="U55" i="11" s="1"/>
  <c r="L16" i="17" s="1"/>
  <c r="L16" i="22" s="1"/>
  <c r="R56" i="11"/>
  <c r="T56" i="11"/>
  <c r="U59" i="11"/>
  <c r="T59" i="11"/>
  <c r="M61" i="11"/>
  <c r="N61" i="11"/>
  <c r="U61" i="11"/>
  <c r="R61" i="11"/>
  <c r="T61" i="11"/>
  <c r="M62" i="11"/>
  <c r="N62" i="11"/>
  <c r="U62" i="11"/>
  <c r="R62" i="11"/>
  <c r="T62" i="11"/>
  <c r="M63" i="11"/>
  <c r="U63" i="11"/>
  <c r="R63" i="11"/>
  <c r="T63" i="11"/>
  <c r="M66" i="11"/>
  <c r="N66" i="11"/>
  <c r="U66" i="11"/>
  <c r="R66" i="11"/>
  <c r="T66" i="11"/>
  <c r="M67" i="11"/>
  <c r="N67" i="11"/>
  <c r="U67" i="11"/>
  <c r="R67" i="11"/>
  <c r="T67" i="11"/>
  <c r="M68" i="11"/>
  <c r="U68" i="11"/>
  <c r="R68" i="11"/>
  <c r="T68" i="11"/>
  <c r="N69" i="11"/>
  <c r="U69" i="11"/>
  <c r="R69" i="11"/>
  <c r="T69" i="11"/>
  <c r="M70" i="11"/>
  <c r="N70" i="11"/>
  <c r="U70" i="11"/>
  <c r="R70" i="11"/>
  <c r="T70" i="11"/>
  <c r="N71" i="11"/>
  <c r="U71" i="11"/>
  <c r="R71" i="11"/>
  <c r="T71" i="11"/>
  <c r="M72" i="11"/>
  <c r="N72" i="11"/>
  <c r="U72" i="11"/>
  <c r="R72" i="11"/>
  <c r="T72" i="11"/>
  <c r="M75" i="11"/>
  <c r="N75" i="11"/>
  <c r="U75" i="11"/>
  <c r="T75" i="11"/>
  <c r="U86" i="11"/>
  <c r="T86" i="11"/>
  <c r="M88" i="11"/>
  <c r="M87" i="11" s="1"/>
  <c r="B26" i="17" s="1"/>
  <c r="B26" i="22" s="1"/>
  <c r="U87" i="11"/>
  <c r="L26" i="17" s="1"/>
  <c r="L26" i="22" s="1"/>
  <c r="T96" i="11"/>
  <c r="AS197" i="11"/>
  <c r="AS185" i="11"/>
  <c r="AS170" i="11"/>
  <c r="AS161" i="11"/>
  <c r="AS143" i="11"/>
  <c r="AS156" i="11"/>
  <c r="L156" i="11"/>
  <c r="AS164" i="11"/>
  <c r="AS163" i="11"/>
  <c r="AS149" i="11"/>
  <c r="AS151" i="11"/>
  <c r="X195" i="11"/>
  <c r="X202" i="11"/>
  <c r="AS135" i="11"/>
  <c r="AS194" i="11"/>
  <c r="AS199" i="11"/>
  <c r="AS177" i="11"/>
  <c r="AS176" i="11"/>
  <c r="AS192" i="11"/>
  <c r="L192" i="11"/>
  <c r="AS191" i="11"/>
  <c r="L191" i="11"/>
  <c r="AS142" i="11"/>
  <c r="AS158" i="11"/>
  <c r="AS141" i="11"/>
  <c r="AS200" i="11"/>
  <c r="AS174" i="11"/>
  <c r="AS315" i="11"/>
  <c r="AS205" i="11"/>
  <c r="AS146" i="11"/>
  <c r="AS289" i="11"/>
  <c r="AS317" i="11"/>
  <c r="AS374" i="11"/>
  <c r="AS337" i="11"/>
  <c r="AS332" i="11"/>
  <c r="AS333" i="11"/>
  <c r="AS334" i="11"/>
  <c r="AS339" i="11"/>
  <c r="AS338" i="11"/>
  <c r="AS336" i="11"/>
  <c r="AS324" i="11"/>
  <c r="AS331" i="11"/>
  <c r="AS288" i="11"/>
  <c r="AS297" i="11"/>
  <c r="AS302" i="11"/>
  <c r="AS358" i="11"/>
  <c r="AS356" i="11"/>
  <c r="AS296" i="11"/>
  <c r="AS366" i="11"/>
  <c r="AS133" i="11"/>
  <c r="AS287" i="11"/>
  <c r="AS435" i="11"/>
  <c r="AS468" i="11"/>
  <c r="AS45" i="11"/>
  <c r="AS44" i="11" s="1"/>
  <c r="AS68" i="11"/>
  <c r="AS59" i="11"/>
  <c r="AR55" i="11"/>
  <c r="AR51" i="11"/>
  <c r="AR49" i="11"/>
  <c r="AS327" i="11"/>
  <c r="AS321" i="11"/>
  <c r="AS402" i="11"/>
  <c r="AS400" i="11"/>
  <c r="AR263" i="11"/>
  <c r="I27" i="22"/>
  <c r="N86" i="11"/>
  <c r="X86" i="11" s="1"/>
  <c r="AS306" i="11"/>
  <c r="AS112" i="11"/>
  <c r="AS219" i="11"/>
  <c r="R219" i="11"/>
  <c r="X219" i="11"/>
  <c r="L219" i="11"/>
  <c r="X209" i="11"/>
  <c r="R209" i="11"/>
  <c r="AS218" i="11"/>
  <c r="AC218" i="11"/>
  <c r="X218" i="11"/>
  <c r="N218" i="11" s="1"/>
  <c r="L218" i="11"/>
  <c r="AC306" i="11"/>
  <c r="X345" i="11"/>
  <c r="AC475" i="11"/>
  <c r="AS273" i="11"/>
  <c r="L273" i="11"/>
  <c r="R217" i="11"/>
  <c r="R216" i="11"/>
  <c r="AC215" i="11"/>
  <c r="AC214" i="11"/>
  <c r="AS62" i="11"/>
  <c r="AS63" i="11"/>
  <c r="AS66" i="11"/>
  <c r="AS67" i="11"/>
  <c r="AS70" i="11"/>
  <c r="AS71" i="11"/>
  <c r="AS72" i="11"/>
  <c r="AS75" i="11"/>
  <c r="AQ58" i="11"/>
  <c r="AJ58" i="11"/>
  <c r="AF58" i="11"/>
  <c r="AD58" i="11"/>
  <c r="AA72" i="11"/>
  <c r="Z58" i="11"/>
  <c r="Y59" i="11"/>
  <c r="Y68" i="11"/>
  <c r="X59" i="11"/>
  <c r="O59" i="11" s="1"/>
  <c r="X63" i="11"/>
  <c r="O63" i="11" s="1"/>
  <c r="X68" i="11"/>
  <c r="W59" i="11"/>
  <c r="M59" i="11" s="1"/>
  <c r="W69" i="11"/>
  <c r="M69" i="11" s="1"/>
  <c r="W71" i="11"/>
  <c r="M71" i="11" s="1"/>
  <c r="V68" i="11"/>
  <c r="V58" i="11" s="1"/>
  <c r="L59" i="11"/>
  <c r="L61" i="11"/>
  <c r="L62" i="11"/>
  <c r="L63" i="11"/>
  <c r="L66" i="11"/>
  <c r="L67" i="11"/>
  <c r="L69" i="11"/>
  <c r="L70" i="11"/>
  <c r="L71" i="11"/>
  <c r="L72" i="11"/>
  <c r="L75" i="11"/>
  <c r="AS52" i="11"/>
  <c r="AS54" i="11"/>
  <c r="AQ51" i="11"/>
  <c r="AJ51" i="11"/>
  <c r="AF51" i="11"/>
  <c r="AD51" i="11"/>
  <c r="AC51" i="11"/>
  <c r="AA52" i="11"/>
  <c r="AA51" i="11" s="1"/>
  <c r="Z51" i="11"/>
  <c r="Y51" i="11"/>
  <c r="X52" i="11"/>
  <c r="X51" i="11" s="1"/>
  <c r="W51" i="11"/>
  <c r="C15" i="17" s="1"/>
  <c r="C15" i="22" s="1"/>
  <c r="V51" i="11"/>
  <c r="L54" i="11"/>
  <c r="L52" i="11"/>
  <c r="L56" i="11"/>
  <c r="W56" i="11"/>
  <c r="M56" i="11" s="1"/>
  <c r="X56" i="11"/>
  <c r="O56" i="11" s="1"/>
  <c r="V55" i="11"/>
  <c r="Y55" i="11"/>
  <c r="Z55" i="11"/>
  <c r="AA55" i="11"/>
  <c r="AC55" i="11"/>
  <c r="AD55" i="11"/>
  <c r="AF55" i="11"/>
  <c r="AJ55" i="11"/>
  <c r="AQ55" i="11"/>
  <c r="AR126" i="11"/>
  <c r="AS126" i="11" s="1"/>
  <c r="AR127" i="11"/>
  <c r="AS127" i="11" s="1"/>
  <c r="AS134" i="11"/>
  <c r="AS307" i="11"/>
  <c r="AS310" i="11"/>
  <c r="AS354" i="11"/>
  <c r="AS357" i="11"/>
  <c r="AS359" i="11"/>
  <c r="AS360" i="11"/>
  <c r="AS362" i="11"/>
  <c r="AS372" i="11"/>
  <c r="AS377" i="11"/>
  <c r="AS378" i="11"/>
  <c r="AR389" i="11"/>
  <c r="AR386" i="11" s="1"/>
  <c r="AR437" i="11"/>
  <c r="AS437" i="11" s="1"/>
  <c r="AS461" i="11"/>
  <c r="AS474" i="11"/>
  <c r="AS475" i="11"/>
  <c r="AS217" i="11"/>
  <c r="X217" i="11"/>
  <c r="N217" i="11" s="1"/>
  <c r="L217" i="11"/>
  <c r="AS216" i="11"/>
  <c r="X216" i="11"/>
  <c r="O216" i="11" s="1"/>
  <c r="L216" i="11"/>
  <c r="AS215" i="11"/>
  <c r="X215" i="11"/>
  <c r="O215" i="11" s="1"/>
  <c r="L215" i="11"/>
  <c r="AS214" i="11"/>
  <c r="X214" i="11"/>
  <c r="O214" i="11" s="1"/>
  <c r="L214" i="11"/>
  <c r="X213" i="11"/>
  <c r="O213" i="11" s="1"/>
  <c r="AS213" i="11"/>
  <c r="L213" i="11"/>
  <c r="AS212" i="11"/>
  <c r="X212" i="11"/>
  <c r="N212" i="11" s="1"/>
  <c r="L212" i="11"/>
  <c r="R204" i="11"/>
  <c r="X204" i="11"/>
  <c r="AS203" i="11"/>
  <c r="X203" i="11"/>
  <c r="N203" i="11" s="1"/>
  <c r="L203" i="11"/>
  <c r="L211" i="11"/>
  <c r="AS470" i="11"/>
  <c r="O470" i="11"/>
  <c r="L470" i="11"/>
  <c r="AC304" i="11"/>
  <c r="X339" i="11"/>
  <c r="O339" i="11" s="1"/>
  <c r="L339" i="11"/>
  <c r="L474" i="11"/>
  <c r="AS210" i="11"/>
  <c r="N210" i="11"/>
  <c r="L210" i="11"/>
  <c r="X338" i="11"/>
  <c r="O338" i="11" s="1"/>
  <c r="L338" i="11"/>
  <c r="AS209" i="11"/>
  <c r="L209" i="11"/>
  <c r="AS208" i="11"/>
  <c r="X208" i="11"/>
  <c r="N208" i="11" s="1"/>
  <c r="L208" i="11"/>
  <c r="AS207" i="11"/>
  <c r="X207" i="11"/>
  <c r="N207" i="11" s="1"/>
  <c r="L207" i="11"/>
  <c r="X45" i="11"/>
  <c r="O45" i="11" s="1"/>
  <c r="X385" i="11"/>
  <c r="AS381" i="11"/>
  <c r="AC381" i="11"/>
  <c r="X381" i="11"/>
  <c r="O381" i="11" s="1"/>
  <c r="L381" i="11"/>
  <c r="AS447" i="11"/>
  <c r="AS482" i="11"/>
  <c r="AC388" i="11"/>
  <c r="AC41" i="11"/>
  <c r="X458" i="11"/>
  <c r="O458" i="11" s="1"/>
  <c r="AS448" i="11"/>
  <c r="AA448" i="11"/>
  <c r="Z448" i="11"/>
  <c r="X448" i="11"/>
  <c r="L448" i="11"/>
  <c r="AC389" i="11"/>
  <c r="X389" i="11"/>
  <c r="N389" i="11" s="1"/>
  <c r="X41" i="11"/>
  <c r="O41" i="11" s="1"/>
  <c r="X388" i="11"/>
  <c r="O388" i="11" s="1"/>
  <c r="AS388" i="11"/>
  <c r="Y388" i="11"/>
  <c r="L388" i="11"/>
  <c r="X486" i="11"/>
  <c r="O486" i="11" s="1"/>
  <c r="X482" i="11"/>
  <c r="N482" i="11" s="1"/>
  <c r="X112" i="11"/>
  <c r="O112" i="11" s="1"/>
  <c r="AS165" i="11"/>
  <c r="AS160" i="11"/>
  <c r="AS350" i="11"/>
  <c r="AS183" i="11"/>
  <c r="AS196" i="11"/>
  <c r="AS361" i="11"/>
  <c r="AS446" i="11"/>
  <c r="R94" i="11"/>
  <c r="X96" i="11"/>
  <c r="X201" i="11"/>
  <c r="X205" i="11"/>
  <c r="O205" i="11" s="1"/>
  <c r="L205" i="11"/>
  <c r="X199" i="11"/>
  <c r="O199" i="11" s="1"/>
  <c r="X163" i="11"/>
  <c r="O163" i="11" s="1"/>
  <c r="X481" i="11"/>
  <c r="N481" i="11" s="1"/>
  <c r="L481" i="11"/>
  <c r="AA447" i="11"/>
  <c r="Z447" i="11"/>
  <c r="X447" i="11"/>
  <c r="O447" i="11" s="1"/>
  <c r="L447" i="11"/>
  <c r="AA446" i="11"/>
  <c r="Z446" i="11"/>
  <c r="X446" i="11"/>
  <c r="L446" i="11"/>
  <c r="AA445" i="11"/>
  <c r="Z445" i="11"/>
  <c r="X445" i="11"/>
  <c r="L445" i="11"/>
  <c r="L436" i="11"/>
  <c r="L429" i="11"/>
  <c r="X337" i="11"/>
  <c r="O337" i="11" s="1"/>
  <c r="L337" i="11"/>
  <c r="X311" i="11"/>
  <c r="L311" i="11"/>
  <c r="X310" i="11"/>
  <c r="N310" i="11" s="1"/>
  <c r="L310" i="11"/>
  <c r="X309" i="11"/>
  <c r="L309" i="11"/>
  <c r="X308" i="11"/>
  <c r="X307" i="11"/>
  <c r="N307" i="11" s="1"/>
  <c r="L307" i="11"/>
  <c r="L306" i="11"/>
  <c r="L204" i="11"/>
  <c r="L202" i="11"/>
  <c r="X200" i="11"/>
  <c r="O200" i="11" s="1"/>
  <c r="L200" i="11"/>
  <c r="L199" i="11"/>
  <c r="L198" i="11"/>
  <c r="X198" i="11"/>
  <c r="O198" i="11" s="1"/>
  <c r="W10" i="11"/>
  <c r="AS264" i="11"/>
  <c r="AS265" i="11"/>
  <c r="AS266" i="11"/>
  <c r="AS267" i="11"/>
  <c r="AS269" i="11"/>
  <c r="AS271" i="11"/>
  <c r="AS272" i="11"/>
  <c r="AS274" i="11"/>
  <c r="AS275" i="11"/>
  <c r="AS276" i="11"/>
  <c r="AS277" i="11"/>
  <c r="AS278" i="11"/>
  <c r="AS280" i="11"/>
  <c r="AS319" i="11"/>
  <c r="AS320" i="11"/>
  <c r="AS322" i="11"/>
  <c r="AS323" i="11"/>
  <c r="AS325" i="11"/>
  <c r="AS328" i="11"/>
  <c r="AS329" i="11"/>
  <c r="AS330" i="11"/>
  <c r="AS335" i="11"/>
  <c r="AS347" i="11"/>
  <c r="AS387" i="11"/>
  <c r="AS391" i="11"/>
  <c r="AS392" i="11"/>
  <c r="AS393" i="11"/>
  <c r="AS394" i="11"/>
  <c r="AS395" i="11"/>
  <c r="AS396" i="11"/>
  <c r="AS397" i="11"/>
  <c r="AS398" i="11"/>
  <c r="AS399" i="11"/>
  <c r="AS401" i="11"/>
  <c r="AS403" i="11"/>
  <c r="AS404" i="11"/>
  <c r="AS405" i="11"/>
  <c r="AS406" i="11"/>
  <c r="AS407" i="11"/>
  <c r="AS408" i="11"/>
  <c r="AS409" i="11"/>
  <c r="AS410" i="11"/>
  <c r="AS411" i="11"/>
  <c r="AS412" i="11"/>
  <c r="AS413" i="11"/>
  <c r="AS414" i="11"/>
  <c r="AS415" i="11"/>
  <c r="AS416" i="11"/>
  <c r="AS417" i="11"/>
  <c r="AS418" i="11"/>
  <c r="AS419" i="11"/>
  <c r="AS420" i="11"/>
  <c r="AS421" i="11"/>
  <c r="AS422" i="11"/>
  <c r="AS423" i="11"/>
  <c r="AS424" i="11"/>
  <c r="AS425" i="11"/>
  <c r="AS426" i="11"/>
  <c r="AS427" i="11"/>
  <c r="AS428" i="11"/>
  <c r="AS429" i="11"/>
  <c r="AS430" i="11"/>
  <c r="AS432" i="11"/>
  <c r="AS433" i="11"/>
  <c r="AS434" i="11"/>
  <c r="AS436" i="11"/>
  <c r="AS438" i="11"/>
  <c r="AS439" i="11"/>
  <c r="AS440" i="11"/>
  <c r="AS441" i="11"/>
  <c r="AS442" i="11"/>
  <c r="AS443" i="11"/>
  <c r="AS444" i="11"/>
  <c r="AS445" i="11"/>
  <c r="AS459" i="11"/>
  <c r="AS460" i="11"/>
  <c r="AS462" i="11"/>
  <c r="AS463" i="11"/>
  <c r="AS464" i="11"/>
  <c r="AS465" i="11"/>
  <c r="AS466" i="11"/>
  <c r="AS467" i="11"/>
  <c r="AS471" i="11"/>
  <c r="AS472" i="11"/>
  <c r="AS473" i="11"/>
  <c r="AS476" i="11"/>
  <c r="AS477" i="11"/>
  <c r="AS478" i="11"/>
  <c r="AS479" i="11"/>
  <c r="AS480" i="11"/>
  <c r="AS481" i="11"/>
  <c r="AS486" i="11"/>
  <c r="AS487" i="11"/>
  <c r="AS490" i="11"/>
  <c r="AS352" i="11"/>
  <c r="AS353" i="11"/>
  <c r="AS355" i="11"/>
  <c r="AS363" i="11"/>
  <c r="AS364" i="11"/>
  <c r="AS365" i="11"/>
  <c r="AS367" i="11"/>
  <c r="AS368" i="11"/>
  <c r="AS369" i="11"/>
  <c r="AS370" i="11"/>
  <c r="AS373" i="11"/>
  <c r="AS375" i="11"/>
  <c r="AS376" i="11"/>
  <c r="AS379" i="11"/>
  <c r="AS380" i="11"/>
  <c r="AS282" i="11"/>
  <c r="AS283" i="11"/>
  <c r="AS284" i="11"/>
  <c r="AS286" i="11"/>
  <c r="AS290" i="11"/>
  <c r="AS291" i="11"/>
  <c r="AS292" i="11"/>
  <c r="AS293" i="11"/>
  <c r="AS294" i="11"/>
  <c r="AS295" i="11"/>
  <c r="AS298" i="11"/>
  <c r="AS299" i="11"/>
  <c r="AS300" i="11"/>
  <c r="AS301" i="11"/>
  <c r="AS303" i="11"/>
  <c r="AS304" i="11"/>
  <c r="AS305" i="11"/>
  <c r="AS309" i="11"/>
  <c r="AS111" i="11"/>
  <c r="AS114" i="11"/>
  <c r="AS115" i="11"/>
  <c r="AS116" i="11"/>
  <c r="AS117" i="11"/>
  <c r="AS118" i="11"/>
  <c r="AS119" i="11"/>
  <c r="AS120" i="11"/>
  <c r="AS123" i="11"/>
  <c r="AS124" i="11"/>
  <c r="AS125" i="11"/>
  <c r="AS128" i="11"/>
  <c r="AS129" i="11"/>
  <c r="AS130" i="11"/>
  <c r="AS132" i="11"/>
  <c r="AS137" i="11"/>
  <c r="AS138" i="11"/>
  <c r="AS139" i="11"/>
  <c r="AS140" i="11"/>
  <c r="AS144" i="11"/>
  <c r="AS145" i="11"/>
  <c r="AS147" i="11"/>
  <c r="AS148" i="11"/>
  <c r="AS150" i="11"/>
  <c r="AS153" i="11"/>
  <c r="AS154" i="11"/>
  <c r="AS155" i="11"/>
  <c r="AS159" i="11"/>
  <c r="AS162" i="11"/>
  <c r="AS166" i="11"/>
  <c r="AS167" i="11"/>
  <c r="AS168" i="11"/>
  <c r="AS169" i="11"/>
  <c r="AS171" i="11"/>
  <c r="AS172" i="11"/>
  <c r="AS173" i="11"/>
  <c r="AS175" i="11"/>
  <c r="AS178" i="11"/>
  <c r="AS179" i="11"/>
  <c r="AS181" i="11"/>
  <c r="AS182" i="11"/>
  <c r="AS184" i="11"/>
  <c r="AS186" i="11"/>
  <c r="AS187" i="11"/>
  <c r="AS188" i="11"/>
  <c r="AS189" i="11"/>
  <c r="AS190" i="11"/>
  <c r="AS193" i="11"/>
  <c r="AS195" i="11"/>
  <c r="AS202" i="11"/>
  <c r="AS492" i="11"/>
  <c r="AS498" i="11"/>
  <c r="AS499" i="11"/>
  <c r="AS494" i="11"/>
  <c r="AS20" i="11"/>
  <c r="J11" i="17" s="1"/>
  <c r="AS22" i="11"/>
  <c r="AS24" i="11"/>
  <c r="AS26" i="11"/>
  <c r="AS30" i="11"/>
  <c r="AS36" i="11"/>
  <c r="AS38" i="11"/>
  <c r="AS39" i="11"/>
  <c r="AS40" i="11"/>
  <c r="AS41" i="11"/>
  <c r="AS43" i="11"/>
  <c r="AS42" i="11" s="1"/>
  <c r="AS47" i="11"/>
  <c r="AS77" i="11"/>
  <c r="AS79" i="11"/>
  <c r="AS81" i="11"/>
  <c r="AS83" i="11"/>
  <c r="AS85" i="11"/>
  <c r="AS87" i="11"/>
  <c r="X50" i="11"/>
  <c r="AC50" i="11"/>
  <c r="Y10" i="11"/>
  <c r="Y11" i="11"/>
  <c r="Y12" i="11"/>
  <c r="Y13" i="11"/>
  <c r="Y14" i="11"/>
  <c r="Y15" i="11"/>
  <c r="Y16" i="11"/>
  <c r="Y17" i="11"/>
  <c r="Y19" i="11"/>
  <c r="Y407" i="11"/>
  <c r="Y408" i="11"/>
  <c r="Y461" i="11"/>
  <c r="Y468" i="11"/>
  <c r="X43" i="11"/>
  <c r="X42" i="11" s="1"/>
  <c r="X36" i="11"/>
  <c r="N36" i="11" s="1"/>
  <c r="X269" i="11"/>
  <c r="X280" i="11"/>
  <c r="N280" i="11" s="1"/>
  <c r="X352" i="11"/>
  <c r="O352" i="11" s="1"/>
  <c r="X363" i="11"/>
  <c r="N363" i="11" s="1"/>
  <c r="X374" i="11"/>
  <c r="O374" i="11" s="1"/>
  <c r="X379" i="11"/>
  <c r="O379" i="11" s="1"/>
  <c r="X380" i="11"/>
  <c r="X330" i="11"/>
  <c r="O330" i="11" s="1"/>
  <c r="X334" i="11"/>
  <c r="O334" i="11" s="1"/>
  <c r="X336" i="11"/>
  <c r="O336" i="11" s="1"/>
  <c r="X287" i="11"/>
  <c r="X288" i="11"/>
  <c r="N288" i="11" s="1"/>
  <c r="X304" i="11"/>
  <c r="O304" i="11" s="1"/>
  <c r="X315" i="11"/>
  <c r="O315" i="11" s="1"/>
  <c r="X129" i="11"/>
  <c r="O129" i="11" s="1"/>
  <c r="X134" i="11"/>
  <c r="X139" i="11"/>
  <c r="X141" i="11"/>
  <c r="X145" i="11"/>
  <c r="N145" i="11" s="1"/>
  <c r="X146" i="11"/>
  <c r="X160" i="11"/>
  <c r="O160" i="11" s="1"/>
  <c r="X161" i="11"/>
  <c r="O161" i="11" s="1"/>
  <c r="X162" i="11"/>
  <c r="N162" i="11" s="1"/>
  <c r="X165" i="11"/>
  <c r="N165" i="11" s="1"/>
  <c r="X172" i="11"/>
  <c r="X173" i="11"/>
  <c r="N173" i="11" s="1"/>
  <c r="X174" i="11"/>
  <c r="O174" i="11" s="1"/>
  <c r="X175" i="11"/>
  <c r="X176" i="11"/>
  <c r="X177" i="11"/>
  <c r="X178" i="11"/>
  <c r="N178" i="11" s="1"/>
  <c r="X179" i="11"/>
  <c r="N179" i="11" s="1"/>
  <c r="X181" i="11"/>
  <c r="X182" i="11"/>
  <c r="X183" i="11"/>
  <c r="O183" i="11" s="1"/>
  <c r="X184" i="11"/>
  <c r="O184" i="11" s="1"/>
  <c r="X185" i="11"/>
  <c r="O185" i="11" s="1"/>
  <c r="X193" i="11"/>
  <c r="O193" i="11" s="1"/>
  <c r="X194" i="11"/>
  <c r="N194" i="11" s="1"/>
  <c r="X196" i="11"/>
  <c r="X197" i="11"/>
  <c r="N132" i="11"/>
  <c r="X387" i="11"/>
  <c r="X407" i="11"/>
  <c r="X408" i="11"/>
  <c r="X409" i="11"/>
  <c r="N409" i="11" s="1"/>
  <c r="X410" i="11"/>
  <c r="N410" i="11" s="1"/>
  <c r="X413" i="11"/>
  <c r="O413" i="11" s="1"/>
  <c r="X430" i="11"/>
  <c r="X434" i="11"/>
  <c r="O434" i="11" s="1"/>
  <c r="X435" i="11"/>
  <c r="O435" i="11" s="1"/>
  <c r="X437" i="11"/>
  <c r="O437" i="11" s="1"/>
  <c r="X443" i="11"/>
  <c r="X444" i="11"/>
  <c r="O444" i="11" s="1"/>
  <c r="X461" i="11"/>
  <c r="X467" i="11"/>
  <c r="O467" i="11" s="1"/>
  <c r="X468" i="11"/>
  <c r="X479" i="11"/>
  <c r="X480" i="11"/>
  <c r="O480" i="11" s="1"/>
  <c r="N492" i="11"/>
  <c r="N494" i="11"/>
  <c r="N497" i="11"/>
  <c r="N77" i="11"/>
  <c r="N79" i="11"/>
  <c r="N82" i="11"/>
  <c r="X82" i="11" s="1"/>
  <c r="N83" i="11"/>
  <c r="N87" i="11"/>
  <c r="N90" i="11"/>
  <c r="X90" i="11" s="1"/>
  <c r="N91" i="11"/>
  <c r="X91" i="11" s="1"/>
  <c r="N9" i="11"/>
  <c r="N20" i="11"/>
  <c r="N22" i="11"/>
  <c r="N24" i="11"/>
  <c r="N26" i="11"/>
  <c r="L282" i="11"/>
  <c r="L283" i="11"/>
  <c r="L284" i="11"/>
  <c r="L285" i="11"/>
  <c r="L286" i="11"/>
  <c r="L287" i="11"/>
  <c r="L288" i="11"/>
  <c r="L289" i="11"/>
  <c r="L290" i="11"/>
  <c r="L291" i="11"/>
  <c r="V292" i="11"/>
  <c r="L293" i="11"/>
  <c r="L294" i="11"/>
  <c r="L295" i="11"/>
  <c r="L296" i="11"/>
  <c r="L297" i="11"/>
  <c r="L298" i="11"/>
  <c r="L299" i="11"/>
  <c r="L300" i="11"/>
  <c r="L301" i="11"/>
  <c r="L302" i="11"/>
  <c r="L303" i="11"/>
  <c r="L304" i="11"/>
  <c r="L305" i="11"/>
  <c r="L315" i="11"/>
  <c r="L264" i="11"/>
  <c r="L265" i="11"/>
  <c r="L266" i="11"/>
  <c r="L267" i="11"/>
  <c r="L268" i="11"/>
  <c r="L269" i="11"/>
  <c r="L271" i="11"/>
  <c r="L272" i="11"/>
  <c r="L274" i="11"/>
  <c r="L275" i="11"/>
  <c r="L276" i="11"/>
  <c r="L277" i="11"/>
  <c r="L278" i="11"/>
  <c r="L280" i="11"/>
  <c r="AA437" i="11"/>
  <c r="AQ390" i="11"/>
  <c r="AQ386" i="11"/>
  <c r="AF386" i="11"/>
  <c r="AD386" i="11"/>
  <c r="AA386" i="11"/>
  <c r="Z386" i="11"/>
  <c r="W386" i="11"/>
  <c r="C31" i="17" s="1"/>
  <c r="C31" i="22" s="1"/>
  <c r="V386" i="11"/>
  <c r="AA351" i="11"/>
  <c r="Z351" i="11"/>
  <c r="W351" i="11"/>
  <c r="C35" i="17" s="1"/>
  <c r="C35" i="22" s="1"/>
  <c r="V351" i="11"/>
  <c r="AQ346" i="11"/>
  <c r="AF346" i="11"/>
  <c r="AD346" i="11"/>
  <c r="AA346" i="11"/>
  <c r="Z346" i="11"/>
  <c r="Y346" i="11"/>
  <c r="X346" i="11"/>
  <c r="W346" i="11"/>
  <c r="C32" i="17" s="1"/>
  <c r="C32" i="22" s="1"/>
  <c r="V346" i="11"/>
  <c r="AQ316" i="11"/>
  <c r="AD316" i="11"/>
  <c r="AA316" i="11"/>
  <c r="Z316" i="11"/>
  <c r="Y316" i="11"/>
  <c r="W316" i="11"/>
  <c r="C33" i="17" s="1"/>
  <c r="C33" i="22" s="1"/>
  <c r="V316" i="11"/>
  <c r="AQ281" i="11"/>
  <c r="AA281" i="11"/>
  <c r="Z281" i="11"/>
  <c r="Y281" i="11"/>
  <c r="W281" i="11"/>
  <c r="C34" i="17" s="1"/>
  <c r="C34" i="22" s="1"/>
  <c r="AD263" i="11"/>
  <c r="AC263" i="11"/>
  <c r="AA263" i="11"/>
  <c r="Z263" i="11"/>
  <c r="Y263" i="11"/>
  <c r="W263" i="11"/>
  <c r="C30" i="17" s="1"/>
  <c r="C30" i="22" s="1"/>
  <c r="V263" i="11"/>
  <c r="AQ107" i="11"/>
  <c r="AQ497" i="11"/>
  <c r="W497" i="11"/>
  <c r="V497" i="11"/>
  <c r="U497" i="11"/>
  <c r="T497" i="11"/>
  <c r="R497" i="11"/>
  <c r="O497" i="11"/>
  <c r="M497" i="11"/>
  <c r="L497" i="11"/>
  <c r="AQ494" i="11"/>
  <c r="AD494" i="11"/>
  <c r="AC494" i="11"/>
  <c r="AA494" i="11"/>
  <c r="Z494" i="11"/>
  <c r="Y494" i="11"/>
  <c r="X494" i="11"/>
  <c r="W494" i="11"/>
  <c r="C38" i="17" s="1"/>
  <c r="C38" i="22" s="1"/>
  <c r="V494" i="11"/>
  <c r="U494" i="11"/>
  <c r="L38" i="17" s="1"/>
  <c r="L38" i="22" s="1"/>
  <c r="T494" i="11"/>
  <c r="R494" i="11"/>
  <c r="O494" i="11"/>
  <c r="M494" i="11"/>
  <c r="L494" i="11"/>
  <c r="AQ492" i="11"/>
  <c r="AF492" i="11"/>
  <c r="AD492" i="11"/>
  <c r="AC492" i="11"/>
  <c r="AA492" i="11"/>
  <c r="Z492" i="11"/>
  <c r="Y492" i="11"/>
  <c r="X492" i="11"/>
  <c r="W492" i="11"/>
  <c r="C37" i="17" s="1"/>
  <c r="C37" i="22" s="1"/>
  <c r="V492" i="11"/>
  <c r="U492" i="11"/>
  <c r="L37" i="17" s="1"/>
  <c r="L37" i="22" s="1"/>
  <c r="T492" i="11"/>
  <c r="R492" i="11"/>
  <c r="O492" i="11"/>
  <c r="M492" i="11"/>
  <c r="L492" i="11"/>
  <c r="C27" i="17"/>
  <c r="C27" i="22" s="1"/>
  <c r="B27" i="17"/>
  <c r="B27" i="22" s="1"/>
  <c r="AQ89" i="11"/>
  <c r="AJ89" i="11"/>
  <c r="AF89" i="11"/>
  <c r="AD89" i="11"/>
  <c r="AC89" i="11"/>
  <c r="AA89" i="11"/>
  <c r="Z89" i="11"/>
  <c r="Y89" i="11"/>
  <c r="V89" i="11"/>
  <c r="AF87" i="11"/>
  <c r="AD87" i="11"/>
  <c r="AC87" i="11"/>
  <c r="AA87" i="11"/>
  <c r="Z87" i="11"/>
  <c r="Y87" i="11"/>
  <c r="X87" i="11"/>
  <c r="W87" i="11"/>
  <c r="C26" i="17" s="1"/>
  <c r="C26" i="22" s="1"/>
  <c r="V87" i="11"/>
  <c r="R87" i="11"/>
  <c r="O87" i="11"/>
  <c r="L87" i="11"/>
  <c r="AQ85" i="11"/>
  <c r="AJ85" i="11"/>
  <c r="AF85" i="11"/>
  <c r="AD85" i="11"/>
  <c r="AC85" i="11"/>
  <c r="AA85" i="11"/>
  <c r="Z85" i="11"/>
  <c r="Y85" i="11"/>
  <c r="V85" i="11"/>
  <c r="O85" i="11"/>
  <c r="M85" i="11"/>
  <c r="L85" i="11"/>
  <c r="AQ83" i="11"/>
  <c r="AJ83" i="11"/>
  <c r="AF83" i="11"/>
  <c r="AD83" i="11"/>
  <c r="AC83" i="11"/>
  <c r="AA83" i="11"/>
  <c r="Z83" i="11"/>
  <c r="Y83" i="11"/>
  <c r="X83" i="11"/>
  <c r="W83" i="11"/>
  <c r="C25" i="17" s="1"/>
  <c r="C25" i="22" s="1"/>
  <c r="V83" i="11"/>
  <c r="U83" i="11"/>
  <c r="L25" i="17" s="1"/>
  <c r="L25" i="22" s="1"/>
  <c r="T83" i="11"/>
  <c r="R83" i="11"/>
  <c r="M83" i="11"/>
  <c r="B25" i="17" s="1"/>
  <c r="B25" i="22" s="1"/>
  <c r="L83" i="11"/>
  <c r="AQ81" i="11"/>
  <c r="AJ81" i="11"/>
  <c r="AF81" i="11"/>
  <c r="AD81" i="11"/>
  <c r="AC81" i="11"/>
  <c r="Y81" i="11"/>
  <c r="V81" i="11"/>
  <c r="U81" i="11"/>
  <c r="L23" i="17" s="1"/>
  <c r="L23" i="22" s="1"/>
  <c r="T81" i="11"/>
  <c r="R81" i="11"/>
  <c r="O81" i="11"/>
  <c r="M81" i="11"/>
  <c r="B23" i="17" s="1"/>
  <c r="B23" i="22" s="1"/>
  <c r="L81" i="11"/>
  <c r="AQ79" i="11"/>
  <c r="AJ79" i="11"/>
  <c r="AF79" i="11"/>
  <c r="AD79" i="11"/>
  <c r="Y79" i="11"/>
  <c r="V79" i="11"/>
  <c r="U79" i="11"/>
  <c r="L22" i="17" s="1"/>
  <c r="L22" i="22" s="1"/>
  <c r="T79" i="11"/>
  <c r="R79" i="11"/>
  <c r="O79" i="11"/>
  <c r="M79" i="11"/>
  <c r="B22" i="17" s="1"/>
  <c r="B22" i="22" s="1"/>
  <c r="L79" i="11"/>
  <c r="X78" i="11"/>
  <c r="AQ77" i="11"/>
  <c r="AJ77" i="11"/>
  <c r="AF77" i="11"/>
  <c r="AD77" i="11"/>
  <c r="Y77" i="11"/>
  <c r="V77" i="11"/>
  <c r="U77" i="11"/>
  <c r="L24" i="17" s="1"/>
  <c r="L24" i="22" s="1"/>
  <c r="T77" i="11"/>
  <c r="R77" i="11"/>
  <c r="O77" i="11"/>
  <c r="M77" i="11"/>
  <c r="L77" i="11"/>
  <c r="AQ49" i="11"/>
  <c r="AJ49" i="11"/>
  <c r="AF49" i="11"/>
  <c r="AD49" i="11"/>
  <c r="AA49" i="11"/>
  <c r="Z49" i="11"/>
  <c r="Y49" i="11"/>
  <c r="W49" i="11"/>
  <c r="C20" i="17" s="1"/>
  <c r="C20" i="22" s="1"/>
  <c r="V49" i="11"/>
  <c r="AQ46" i="11"/>
  <c r="AJ46" i="11"/>
  <c r="AD46" i="11"/>
  <c r="Z46" i="11"/>
  <c r="Y46" i="11"/>
  <c r="W46" i="11"/>
  <c r="C17" i="17" s="1"/>
  <c r="C17" i="22" s="1"/>
  <c r="V46" i="11"/>
  <c r="AQ44" i="11"/>
  <c r="AJ44" i="11"/>
  <c r="AF44" i="11"/>
  <c r="AD44" i="11"/>
  <c r="AC44" i="11"/>
  <c r="AA44" i="11"/>
  <c r="Z44" i="11"/>
  <c r="Y44" i="11"/>
  <c r="W44" i="11"/>
  <c r="C19" i="17" s="1"/>
  <c r="C19" i="22" s="1"/>
  <c r="V44" i="11"/>
  <c r="AQ42" i="11"/>
  <c r="AJ42" i="11"/>
  <c r="AF42" i="11"/>
  <c r="AD42" i="11"/>
  <c r="AC42" i="11"/>
  <c r="AA42" i="11"/>
  <c r="Z42" i="11"/>
  <c r="Y42" i="11"/>
  <c r="W42" i="11"/>
  <c r="C18" i="17" s="1"/>
  <c r="C18" i="22" s="1"/>
  <c r="V42" i="11"/>
  <c r="AQ37" i="11"/>
  <c r="AJ37" i="11"/>
  <c r="AF37" i="11"/>
  <c r="AD37" i="11"/>
  <c r="AA37" i="11"/>
  <c r="Y37" i="11"/>
  <c r="AQ29" i="11"/>
  <c r="AJ29" i="11"/>
  <c r="AF29" i="11"/>
  <c r="AD29" i="11"/>
  <c r="AC29" i="11"/>
  <c r="AA29" i="11"/>
  <c r="W29" i="11"/>
  <c r="C13" i="17" s="1"/>
  <c r="C13" i="22" s="1"/>
  <c r="O91" i="11"/>
  <c r="AQ26" i="11"/>
  <c r="AJ26" i="11"/>
  <c r="AF26" i="11"/>
  <c r="AD26" i="11"/>
  <c r="AC26" i="11"/>
  <c r="AA26" i="11"/>
  <c r="Z26" i="11"/>
  <c r="Y26" i="11"/>
  <c r="X26" i="11"/>
  <c r="W26" i="11"/>
  <c r="V26" i="11"/>
  <c r="U26" i="11"/>
  <c r="R26" i="11"/>
  <c r="O26" i="11"/>
  <c r="M26" i="11"/>
  <c r="L26" i="11"/>
  <c r="AQ24" i="11"/>
  <c r="AJ24" i="11"/>
  <c r="AF24" i="11"/>
  <c r="AD24" i="11"/>
  <c r="AC24" i="11"/>
  <c r="AA24" i="11"/>
  <c r="Z24" i="11"/>
  <c r="Y24" i="11"/>
  <c r="X24" i="11"/>
  <c r="W24" i="11"/>
  <c r="V24" i="11"/>
  <c r="U24" i="11"/>
  <c r="T24" i="11"/>
  <c r="R24" i="11"/>
  <c r="O24" i="11"/>
  <c r="M24" i="11"/>
  <c r="L24" i="11"/>
  <c r="AQ22" i="11"/>
  <c r="AJ22" i="11"/>
  <c r="AF22" i="11"/>
  <c r="AD22" i="11"/>
  <c r="AC22" i="11"/>
  <c r="AA22" i="11"/>
  <c r="Z22" i="11"/>
  <c r="Y22" i="11"/>
  <c r="X22" i="11"/>
  <c r="W22" i="11"/>
  <c r="C10" i="17" s="1"/>
  <c r="C10" i="22" s="1"/>
  <c r="V22" i="11"/>
  <c r="U22" i="11"/>
  <c r="L10" i="17" s="1"/>
  <c r="L10" i="22" s="1"/>
  <c r="T22" i="11"/>
  <c r="R22" i="11"/>
  <c r="O22" i="11"/>
  <c r="M22" i="11"/>
  <c r="B10" i="17" s="1"/>
  <c r="B10" i="22" s="1"/>
  <c r="L22" i="11"/>
  <c r="AQ20" i="11"/>
  <c r="AJ20" i="11"/>
  <c r="AF20" i="11"/>
  <c r="AD20" i="11"/>
  <c r="AA20" i="11"/>
  <c r="Z20" i="11"/>
  <c r="Y20" i="11"/>
  <c r="X20" i="11"/>
  <c r="W20" i="11"/>
  <c r="C11" i="17" s="1"/>
  <c r="C11" i="22" s="1"/>
  <c r="V20" i="11"/>
  <c r="U20" i="11"/>
  <c r="L11" i="17" s="1"/>
  <c r="L11" i="22" s="1"/>
  <c r="T20" i="11"/>
  <c r="R20" i="11"/>
  <c r="O20" i="11"/>
  <c r="M20" i="11"/>
  <c r="B11" i="17" s="1"/>
  <c r="B11" i="22" s="1"/>
  <c r="L20" i="11"/>
  <c r="AQ9" i="11"/>
  <c r="U9" i="11"/>
  <c r="L9" i="17" s="1"/>
  <c r="L9" i="22" s="1"/>
  <c r="T9" i="11"/>
  <c r="O9" i="11"/>
  <c r="M9" i="11"/>
  <c r="B9" i="17" s="1"/>
  <c r="B9" i="22" s="1"/>
  <c r="L9" i="11"/>
  <c r="L197" i="11"/>
  <c r="L196" i="11"/>
  <c r="L195" i="11"/>
  <c r="L194" i="11"/>
  <c r="L50" i="11"/>
  <c r="L193" i="11"/>
  <c r="Y389" i="11"/>
  <c r="Y387" i="11"/>
  <c r="L387" i="11"/>
  <c r="AA444" i="11"/>
  <c r="Z444" i="11"/>
  <c r="L444" i="11"/>
  <c r="L45" i="11"/>
  <c r="L190" i="11"/>
  <c r="L480" i="11"/>
  <c r="Y352" i="11"/>
  <c r="Y351" i="11" s="1"/>
  <c r="L487" i="11"/>
  <c r="L479" i="11"/>
  <c r="AF178" i="11"/>
  <c r="AC178" i="11"/>
  <c r="L402" i="11"/>
  <c r="L186" i="11"/>
  <c r="L187" i="11"/>
  <c r="L188" i="11"/>
  <c r="L189" i="11"/>
  <c r="X17" i="11"/>
  <c r="AJ14" i="11"/>
  <c r="AJ11" i="11"/>
  <c r="AJ10" i="11"/>
  <c r="AF14" i="11"/>
  <c r="AF12" i="11"/>
  <c r="AF11" i="11"/>
  <c r="AF10" i="11"/>
  <c r="AC14" i="11"/>
  <c r="AC12" i="11"/>
  <c r="AC11" i="11"/>
  <c r="AC10" i="11"/>
  <c r="X14" i="11"/>
  <c r="X11" i="11"/>
  <c r="X10" i="11"/>
  <c r="W14" i="11"/>
  <c r="W12" i="11"/>
  <c r="W11" i="11"/>
  <c r="AD500" i="11"/>
  <c r="AD497" i="11" s="1"/>
  <c r="AD468" i="11"/>
  <c r="AD304" i="11"/>
  <c r="AD174" i="11"/>
  <c r="AD173" i="11"/>
  <c r="AD172" i="11"/>
  <c r="AD171" i="11"/>
  <c r="AD19" i="11"/>
  <c r="AD16" i="11"/>
  <c r="AD15" i="11"/>
  <c r="AD14" i="11"/>
  <c r="AD13" i="11"/>
  <c r="AD12" i="11"/>
  <c r="AD11" i="11"/>
  <c r="AD10" i="11"/>
  <c r="AA48" i="11"/>
  <c r="Z95" i="11"/>
  <c r="Z94" i="11" s="1"/>
  <c r="Z82" i="11"/>
  <c r="Z80" i="11"/>
  <c r="Z79" i="11" s="1"/>
  <c r="Z78" i="11"/>
  <c r="Z77" i="11" s="1"/>
  <c r="AA78" i="11"/>
  <c r="Z500" i="11"/>
  <c r="Z458" i="11"/>
  <c r="Z435" i="11"/>
  <c r="Z434" i="11"/>
  <c r="Z40" i="11"/>
  <c r="Z36" i="11"/>
  <c r="Z29" i="11" s="1"/>
  <c r="Z19" i="11"/>
  <c r="Z17" i="11"/>
  <c r="Z16" i="11"/>
  <c r="Z15" i="11"/>
  <c r="Z14" i="11"/>
  <c r="Z13" i="11"/>
  <c r="Z12" i="11"/>
  <c r="Z11" i="11"/>
  <c r="Z10" i="11"/>
  <c r="L336" i="11"/>
  <c r="AC372" i="11"/>
  <c r="L385" i="11"/>
  <c r="AC356" i="11"/>
  <c r="AC358" i="11"/>
  <c r="AC380" i="11"/>
  <c r="L380" i="11"/>
  <c r="AC378" i="11"/>
  <c r="AC379" i="11"/>
  <c r="L379" i="11"/>
  <c r="AC362" i="11"/>
  <c r="AC355" i="11"/>
  <c r="AC353" i="11"/>
  <c r="L378" i="11"/>
  <c r="AC377" i="11"/>
  <c r="L377" i="11"/>
  <c r="AC376" i="11"/>
  <c r="L376" i="11"/>
  <c r="AC375" i="11"/>
  <c r="L375" i="11"/>
  <c r="AC374" i="11"/>
  <c r="L374" i="11"/>
  <c r="AC373" i="11"/>
  <c r="L373" i="11"/>
  <c r="L372" i="11"/>
  <c r="L371" i="11"/>
  <c r="L370" i="11"/>
  <c r="AA458" i="11"/>
  <c r="L443" i="11"/>
  <c r="AA434" i="11"/>
  <c r="AA435" i="11"/>
  <c r="L435" i="11"/>
  <c r="L185" i="11"/>
  <c r="AC369" i="11"/>
  <c r="L369" i="11"/>
  <c r="AC368" i="11"/>
  <c r="L368" i="11"/>
  <c r="L184" i="11"/>
  <c r="L401" i="11"/>
  <c r="AC365" i="11"/>
  <c r="AC367" i="11"/>
  <c r="AC366" i="11"/>
  <c r="L367" i="11"/>
  <c r="L366" i="11"/>
  <c r="L183" i="11"/>
  <c r="L182" i="11"/>
  <c r="L181" i="11"/>
  <c r="L365" i="11"/>
  <c r="L478" i="11"/>
  <c r="L345" i="11"/>
  <c r="L335" i="11"/>
  <c r="L179" i="11"/>
  <c r="L364" i="11"/>
  <c r="L412" i="11"/>
  <c r="AC357" i="11"/>
  <c r="L178" i="11"/>
  <c r="X121" i="11"/>
  <c r="AF175" i="11"/>
  <c r="AC175" i="11"/>
  <c r="L177" i="11"/>
  <c r="AC177" i="11"/>
  <c r="AF177" i="11"/>
  <c r="AA95" i="11"/>
  <c r="AA82" i="11"/>
  <c r="AA81" i="11" s="1"/>
  <c r="AA80" i="11"/>
  <c r="X80" i="11"/>
  <c r="X79" i="11" s="1"/>
  <c r="O90" i="11"/>
  <c r="O84" i="11"/>
  <c r="O83" i="11" s="1"/>
  <c r="AF500" i="11"/>
  <c r="AF176" i="11"/>
  <c r="AF174" i="11"/>
  <c r="AF173" i="11"/>
  <c r="AF172" i="11"/>
  <c r="AF171" i="11"/>
  <c r="AF16" i="11"/>
  <c r="AF15" i="11"/>
  <c r="AA500" i="11"/>
  <c r="O132" i="11"/>
  <c r="AJ19" i="11"/>
  <c r="AJ16" i="11"/>
  <c r="AJ15" i="11"/>
  <c r="AC176" i="11"/>
  <c r="L176" i="11"/>
  <c r="L175" i="11"/>
  <c r="AC174" i="11"/>
  <c r="L174" i="11"/>
  <c r="AC171" i="11"/>
  <c r="AC468" i="11"/>
  <c r="AC173" i="11"/>
  <c r="L173" i="11"/>
  <c r="L468" i="11"/>
  <c r="AC172" i="11"/>
  <c r="L172" i="11"/>
  <c r="L334" i="11"/>
  <c r="L442" i="11"/>
  <c r="L171" i="11"/>
  <c r="L333" i="11"/>
  <c r="L363" i="11"/>
  <c r="L362" i="11"/>
  <c r="L361" i="11"/>
  <c r="L360" i="11"/>
  <c r="L359" i="11"/>
  <c r="L358" i="11"/>
  <c r="L357" i="11"/>
  <c r="L477" i="11"/>
  <c r="L332" i="11"/>
  <c r="L356" i="11"/>
  <c r="L331" i="11"/>
  <c r="L350" i="11"/>
  <c r="L170" i="11"/>
  <c r="L355" i="11"/>
  <c r="L428" i="11"/>
  <c r="L430" i="11"/>
  <c r="L427" i="11"/>
  <c r="L330" i="11"/>
  <c r="L411" i="11"/>
  <c r="L426" i="11"/>
  <c r="L354" i="11"/>
  <c r="X132" i="11"/>
  <c r="L476" i="11"/>
  <c r="L353" i="11"/>
  <c r="L434" i="11"/>
  <c r="L169" i="11"/>
  <c r="L168" i="11"/>
  <c r="V121" i="11"/>
  <c r="L121" i="11" s="1"/>
  <c r="L110" i="11"/>
  <c r="L47" i="11"/>
  <c r="L48" i="11"/>
  <c r="L30" i="11"/>
  <c r="L40" i="11"/>
  <c r="L43" i="11"/>
  <c r="L41" i="11"/>
  <c r="L90" i="11"/>
  <c r="L91" i="11"/>
  <c r="L108" i="11"/>
  <c r="L109" i="11"/>
  <c r="L111" i="11"/>
  <c r="L112" i="11"/>
  <c r="L114" i="11"/>
  <c r="L115" i="11"/>
  <c r="L116" i="11"/>
  <c r="L117" i="11"/>
  <c r="L118" i="11"/>
  <c r="L119" i="11"/>
  <c r="L120" i="11"/>
  <c r="L123" i="11"/>
  <c r="L124" i="11"/>
  <c r="L125"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7" i="11"/>
  <c r="L158" i="11"/>
  <c r="L159" i="11"/>
  <c r="L160" i="11"/>
  <c r="L161" i="11"/>
  <c r="L162" i="11"/>
  <c r="L163" i="11"/>
  <c r="L164" i="11"/>
  <c r="L165" i="11"/>
  <c r="L166" i="11"/>
  <c r="L167" i="11"/>
  <c r="L391" i="11"/>
  <c r="L392" i="11"/>
  <c r="L393" i="11"/>
  <c r="L394" i="11"/>
  <c r="L395" i="11"/>
  <c r="L396" i="11"/>
  <c r="L397" i="11"/>
  <c r="L398" i="11"/>
  <c r="L399" i="11"/>
  <c r="L400" i="11"/>
  <c r="L403" i="11"/>
  <c r="L347" i="11"/>
  <c r="L405" i="11"/>
  <c r="L406" i="11"/>
  <c r="L407" i="11"/>
  <c r="L408" i="11"/>
  <c r="L409" i="11"/>
  <c r="L410" i="11"/>
  <c r="L413" i="11"/>
  <c r="L414" i="11"/>
  <c r="L415" i="11"/>
  <c r="L416" i="11"/>
  <c r="L417" i="11"/>
  <c r="L420" i="11"/>
  <c r="L421" i="11"/>
  <c r="L422" i="11"/>
  <c r="L423" i="11"/>
  <c r="L424" i="11"/>
  <c r="L425" i="11"/>
  <c r="L432" i="11"/>
  <c r="L433" i="11"/>
  <c r="L437" i="11"/>
  <c r="L438" i="11"/>
  <c r="L439" i="11"/>
  <c r="L440" i="11"/>
  <c r="L441" i="11"/>
  <c r="L458" i="11"/>
  <c r="L317" i="11"/>
  <c r="L318" i="11"/>
  <c r="L319" i="11"/>
  <c r="L320" i="11"/>
  <c r="L321" i="11"/>
  <c r="L322" i="11"/>
  <c r="L323" i="11"/>
  <c r="L324" i="11"/>
  <c r="L325" i="11"/>
  <c r="L326" i="11"/>
  <c r="L327" i="11"/>
  <c r="L328" i="11"/>
  <c r="L329" i="11"/>
  <c r="L461" i="11"/>
  <c r="L462" i="11"/>
  <c r="L463" i="11"/>
  <c r="L464" i="11"/>
  <c r="L465" i="11"/>
  <c r="L467" i="11"/>
  <c r="L471" i="11"/>
  <c r="L389" i="11"/>
  <c r="L472" i="11"/>
  <c r="L473" i="11"/>
  <c r="L352" i="11"/>
  <c r="L475" i="11"/>
  <c r="L486" i="11"/>
  <c r="AD75" i="10"/>
  <c r="AD74" i="10"/>
  <c r="AD73" i="10"/>
  <c r="AD76" i="10"/>
  <c r="AD234" i="10"/>
  <c r="AD233" i="10"/>
  <c r="AD232" i="10"/>
  <c r="AD231" i="10"/>
  <c r="AD230" i="10"/>
  <c r="AD229" i="10"/>
  <c r="AD228" i="10"/>
  <c r="AD227" i="10"/>
  <c r="AD226" i="10"/>
  <c r="AD225" i="10"/>
  <c r="AD224" i="10"/>
  <c r="AD223" i="10"/>
  <c r="AD222" i="10"/>
  <c r="AD221" i="10"/>
  <c r="AD220" i="10"/>
  <c r="AD218" i="10"/>
  <c r="AD217" i="10"/>
  <c r="AD216" i="10"/>
  <c r="AD215" i="10"/>
  <c r="AD214" i="10"/>
  <c r="AC213" i="10"/>
  <c r="AD213" i="10" s="1"/>
  <c r="AD212" i="10"/>
  <c r="AC211" i="10"/>
  <c r="AD211" i="10" s="1"/>
  <c r="AD210" i="10"/>
  <c r="AD209" i="10"/>
  <c r="AD208" i="10"/>
  <c r="AD207" i="10"/>
  <c r="AC206" i="10"/>
  <c r="AD206" i="10"/>
  <c r="AD205" i="10"/>
  <c r="AD204" i="10"/>
  <c r="AD202" i="10"/>
  <c r="AD201" i="10"/>
  <c r="AD200" i="10"/>
  <c r="AD199" i="10"/>
  <c r="AD198" i="10"/>
  <c r="AD197" i="10"/>
  <c r="AD196" i="10"/>
  <c r="AD195" i="10"/>
  <c r="AD194" i="10"/>
  <c r="AD193" i="10"/>
  <c r="AD192" i="10"/>
  <c r="AD191" i="10"/>
  <c r="AD190" i="10"/>
  <c r="AD189" i="10"/>
  <c r="AD188" i="10"/>
  <c r="AD187" i="10"/>
  <c r="AD186" i="10"/>
  <c r="AD185" i="10"/>
  <c r="AD184" i="10"/>
  <c r="AD183" i="10"/>
  <c r="AD182" i="10"/>
  <c r="AD181" i="10"/>
  <c r="AD180" i="10"/>
  <c r="AD179" i="10"/>
  <c r="AD178" i="10"/>
  <c r="AD177" i="10"/>
  <c r="AD176" i="10"/>
  <c r="AD175" i="10"/>
  <c r="AD174" i="10"/>
  <c r="AD173" i="10"/>
  <c r="AD172" i="10"/>
  <c r="AD171" i="10"/>
  <c r="AC170" i="10"/>
  <c r="AD170" i="10" s="1"/>
  <c r="AD169" i="10"/>
  <c r="AD168" i="10"/>
  <c r="AD167" i="10"/>
  <c r="AD166" i="10"/>
  <c r="AD165" i="10"/>
  <c r="AD164" i="10"/>
  <c r="AD163" i="10"/>
  <c r="AD162" i="10"/>
  <c r="AD161" i="10"/>
  <c r="AD160" i="10"/>
  <c r="AC159" i="10"/>
  <c r="AD159" i="10" s="1"/>
  <c r="AD158" i="10"/>
  <c r="AD157" i="10"/>
  <c r="AD156" i="10"/>
  <c r="AD155" i="10"/>
  <c r="AD154" i="10"/>
  <c r="AD153" i="10"/>
  <c r="AD152" i="10"/>
  <c r="AD151" i="10"/>
  <c r="AD150" i="10"/>
  <c r="AD149" i="10"/>
  <c r="AD148" i="10"/>
  <c r="AD147" i="10"/>
  <c r="AD146" i="10"/>
  <c r="AD145" i="10"/>
  <c r="AD144" i="10"/>
  <c r="AD143" i="10"/>
  <c r="AD142" i="10"/>
  <c r="AD141" i="10"/>
  <c r="AC140" i="10"/>
  <c r="AD140" i="10" s="1"/>
  <c r="AC139" i="10"/>
  <c r="AD139" i="10" s="1"/>
  <c r="AC138" i="10"/>
  <c r="AD138" i="10"/>
  <c r="AD137" i="10"/>
  <c r="AC136" i="10"/>
  <c r="AD136" i="10"/>
  <c r="AD135" i="10"/>
  <c r="AD134" i="10"/>
  <c r="AD133" i="10"/>
  <c r="AD132" i="10"/>
  <c r="AD131" i="10"/>
  <c r="AD130" i="10"/>
  <c r="AD129" i="10"/>
  <c r="AD128" i="10"/>
  <c r="AD127" i="10"/>
  <c r="AD126" i="10"/>
  <c r="AD125" i="10"/>
  <c r="AC124" i="10"/>
  <c r="AD124" i="10"/>
  <c r="AD123" i="10"/>
  <c r="AD122" i="10"/>
  <c r="AD121" i="10"/>
  <c r="AD120" i="10"/>
  <c r="AD119" i="10"/>
  <c r="AC118" i="10"/>
  <c r="AD118" i="10" s="1"/>
  <c r="AD117" i="10"/>
  <c r="AD116" i="10"/>
  <c r="AD115" i="10"/>
  <c r="AD114" i="10"/>
  <c r="AD113" i="10"/>
  <c r="AD112" i="10"/>
  <c r="AC111" i="10"/>
  <c r="AD111" i="10" s="1"/>
  <c r="AD110" i="10"/>
  <c r="AD109" i="10"/>
  <c r="AD108" i="10"/>
  <c r="AD107" i="10"/>
  <c r="AD106" i="10"/>
  <c r="AD105" i="10"/>
  <c r="AD104" i="10"/>
  <c r="AC103" i="10"/>
  <c r="AD103" i="10" s="1"/>
  <c r="AC102" i="10"/>
  <c r="AD102" i="10" s="1"/>
  <c r="AD101" i="10"/>
  <c r="AD100" i="10"/>
  <c r="AD99" i="10"/>
  <c r="AD98" i="10"/>
  <c r="AD97" i="10"/>
  <c r="AD96" i="10"/>
  <c r="AC95" i="10"/>
  <c r="AD95" i="10" s="1"/>
  <c r="AD94" i="10"/>
  <c r="AD93" i="10"/>
  <c r="AD92" i="10"/>
  <c r="AD91" i="10"/>
  <c r="AD90" i="10"/>
  <c r="AD89" i="10"/>
  <c r="AC87" i="10"/>
  <c r="AD87" i="10" s="1"/>
  <c r="AD86" i="10"/>
  <c r="AD85" i="10"/>
  <c r="AD84" i="10"/>
  <c r="AD83" i="10"/>
  <c r="AD82" i="10"/>
  <c r="AD81" i="10"/>
  <c r="AD80" i="10"/>
  <c r="AC78" i="10"/>
  <c r="AD78" i="10" s="1"/>
  <c r="AD77" i="10"/>
  <c r="AD72" i="10"/>
  <c r="AD71" i="10"/>
  <c r="AD70" i="10"/>
  <c r="AD69" i="10"/>
  <c r="V161" i="10"/>
  <c r="U161" i="10"/>
  <c r="T161" i="10"/>
  <c r="S161" i="10"/>
  <c r="R161" i="10"/>
  <c r="Q161" i="10"/>
  <c r="N161" i="10"/>
  <c r="I161" i="10"/>
  <c r="M161" i="10"/>
  <c r="H161" i="10" s="1"/>
  <c r="L161" i="10"/>
  <c r="G161" i="10" s="1"/>
  <c r="K161" i="10"/>
  <c r="F161" i="10" s="1"/>
  <c r="V160" i="10"/>
  <c r="U160" i="10"/>
  <c r="T160" i="10"/>
  <c r="S160" i="10"/>
  <c r="R160" i="10"/>
  <c r="Q160" i="10"/>
  <c r="N160" i="10"/>
  <c r="I160" i="10" s="1"/>
  <c r="M160" i="10"/>
  <c r="H160" i="10" s="1"/>
  <c r="L160" i="10"/>
  <c r="G160" i="10" s="1"/>
  <c r="K160" i="10"/>
  <c r="F160" i="10" s="1"/>
  <c r="Y159" i="10"/>
  <c r="M159" i="10" s="1"/>
  <c r="H159" i="10" s="1"/>
  <c r="V159" i="10"/>
  <c r="U159" i="10"/>
  <c r="T159" i="10"/>
  <c r="R159" i="10"/>
  <c r="Q159" i="10"/>
  <c r="N159" i="10"/>
  <c r="I159" i="10"/>
  <c r="L159" i="10"/>
  <c r="G159" i="10"/>
  <c r="K159" i="10"/>
  <c r="F159" i="10" s="1"/>
  <c r="V132" i="10"/>
  <c r="U132" i="10"/>
  <c r="T132" i="10"/>
  <c r="S132" i="10"/>
  <c r="R132" i="10"/>
  <c r="Q132" i="10"/>
  <c r="N132" i="10"/>
  <c r="I132" i="10" s="1"/>
  <c r="M132" i="10"/>
  <c r="H132" i="10" s="1"/>
  <c r="L132" i="10"/>
  <c r="G132" i="10" s="1"/>
  <c r="K132" i="10"/>
  <c r="F132" i="10" s="1"/>
  <c r="V131" i="10"/>
  <c r="U131" i="10"/>
  <c r="T131" i="10"/>
  <c r="S131" i="10"/>
  <c r="R131" i="10"/>
  <c r="Q131" i="10"/>
  <c r="N131" i="10"/>
  <c r="I131" i="10" s="1"/>
  <c r="M131" i="10"/>
  <c r="H131" i="10"/>
  <c r="L131" i="10"/>
  <c r="K131" i="10"/>
  <c r="Y107" i="10"/>
  <c r="S107" i="10" s="1"/>
  <c r="AD241" i="10"/>
  <c r="AD238" i="10"/>
  <c r="AD235" i="10" s="1"/>
  <c r="AD236" i="10"/>
  <c r="AD67" i="10"/>
  <c r="AC66" i="10"/>
  <c r="AC65" i="10"/>
  <c r="AC64" i="10"/>
  <c r="AD63" i="10"/>
  <c r="AD62" i="10"/>
  <c r="AD61" i="10"/>
  <c r="AD57" i="10" s="1"/>
  <c r="AC60" i="10"/>
  <c r="AC59" i="10"/>
  <c r="AC58" i="10"/>
  <c r="AD56" i="10"/>
  <c r="AD55" i="10"/>
  <c r="AC53" i="10"/>
  <c r="AD53" i="10" s="1"/>
  <c r="AD52" i="10"/>
  <c r="AD51" i="10"/>
  <c r="AD50" i="10"/>
  <c r="AD49" i="10"/>
  <c r="AD48" i="10"/>
  <c r="AC45" i="10"/>
  <c r="AD45" i="10"/>
  <c r="AC44" i="10"/>
  <c r="AD44" i="10" s="1"/>
  <c r="AD43" i="10"/>
  <c r="AD42" i="10"/>
  <c r="AD39" i="10"/>
  <c r="AD38" i="10"/>
  <c r="AD37" i="10"/>
  <c r="AD36" i="10"/>
  <c r="AD30" i="10"/>
  <c r="AC28" i="10"/>
  <c r="AD28" i="10"/>
  <c r="AC27" i="10"/>
  <c r="AD27" i="10" s="1"/>
  <c r="AD26" i="10"/>
  <c r="AC24" i="10"/>
  <c r="AC15" i="10"/>
  <c r="AC9" i="10" s="1"/>
  <c r="AD10" i="10"/>
  <c r="AD9" i="10" s="1"/>
  <c r="Z241" i="10"/>
  <c r="T241" i="10" s="1"/>
  <c r="V241" i="10"/>
  <c r="U241" i="10"/>
  <c r="S241" i="10"/>
  <c r="R241" i="10"/>
  <c r="Q241" i="10"/>
  <c r="J241" i="10"/>
  <c r="I241" i="10"/>
  <c r="H241" i="10"/>
  <c r="G241" i="10"/>
  <c r="F241" i="10"/>
  <c r="V240" i="10"/>
  <c r="U240" i="10"/>
  <c r="T240" i="10"/>
  <c r="S240" i="10"/>
  <c r="R240" i="10"/>
  <c r="Q240" i="10"/>
  <c r="F240" i="10"/>
  <c r="V239" i="10"/>
  <c r="U239" i="10"/>
  <c r="T239" i="10"/>
  <c r="S239" i="10"/>
  <c r="R239" i="10"/>
  <c r="Q239" i="10"/>
  <c r="J239" i="10"/>
  <c r="I239" i="10"/>
  <c r="H239" i="10"/>
  <c r="G239" i="10"/>
  <c r="F239" i="10"/>
  <c r="V238" i="10"/>
  <c r="U238" i="10"/>
  <c r="T238" i="10"/>
  <c r="S238" i="10"/>
  <c r="R238" i="10"/>
  <c r="Q238" i="10"/>
  <c r="J238" i="10"/>
  <c r="I238" i="10"/>
  <c r="H238" i="10"/>
  <c r="G238" i="10"/>
  <c r="F238" i="10"/>
  <c r="V237" i="10"/>
  <c r="U237" i="10"/>
  <c r="U235" i="10" s="1"/>
  <c r="T237" i="10"/>
  <c r="S237" i="10"/>
  <c r="R237" i="10"/>
  <c r="Q237" i="10"/>
  <c r="J237" i="10"/>
  <c r="I237" i="10"/>
  <c r="H237" i="10"/>
  <c r="G237" i="10"/>
  <c r="G235" i="10" s="1"/>
  <c r="F237" i="10"/>
  <c r="V236" i="10"/>
  <c r="U236" i="10"/>
  <c r="T236" i="10"/>
  <c r="S236" i="10"/>
  <c r="R236" i="10"/>
  <c r="Q236" i="10"/>
  <c r="J236" i="10"/>
  <c r="J235" i="10" s="1"/>
  <c r="I236" i="10"/>
  <c r="H236" i="10"/>
  <c r="G236" i="10"/>
  <c r="F236" i="10"/>
  <c r="AC235" i="10"/>
  <c r="AB235" i="10"/>
  <c r="AA235" i="10"/>
  <c r="Y235" i="10"/>
  <c r="X235" i="10"/>
  <c r="W235" i="10"/>
  <c r="N235" i="10"/>
  <c r="I235" i="10" s="1"/>
  <c r="M235" i="10"/>
  <c r="L235" i="10"/>
  <c r="K235" i="10"/>
  <c r="V234" i="10"/>
  <c r="U234" i="10"/>
  <c r="T234" i="10"/>
  <c r="S234" i="10"/>
  <c r="R234" i="10"/>
  <c r="Q234" i="10"/>
  <c r="N234" i="10"/>
  <c r="I234" i="10" s="1"/>
  <c r="M234" i="10"/>
  <c r="H234" i="10" s="1"/>
  <c r="L234" i="10"/>
  <c r="G234" i="10" s="1"/>
  <c r="K234" i="10"/>
  <c r="V233" i="10"/>
  <c r="U233" i="10"/>
  <c r="T233" i="10"/>
  <c r="S233" i="10"/>
  <c r="R233" i="10"/>
  <c r="Q233" i="10"/>
  <c r="N233" i="10"/>
  <c r="I233" i="10" s="1"/>
  <c r="M233" i="10"/>
  <c r="H233" i="10" s="1"/>
  <c r="L233" i="10"/>
  <c r="G233" i="10" s="1"/>
  <c r="K233" i="10"/>
  <c r="F233" i="10" s="1"/>
  <c r="V232" i="10"/>
  <c r="U232" i="10"/>
  <c r="T232" i="10"/>
  <c r="S232" i="10"/>
  <c r="R232" i="10"/>
  <c r="Q232" i="10"/>
  <c r="N232" i="10"/>
  <c r="I232" i="10" s="1"/>
  <c r="M232" i="10"/>
  <c r="H232" i="10" s="1"/>
  <c r="L232" i="10"/>
  <c r="G232" i="10" s="1"/>
  <c r="K232" i="10"/>
  <c r="F232" i="10" s="1"/>
  <c r="V231" i="10"/>
  <c r="U231" i="10"/>
  <c r="T231" i="10"/>
  <c r="S231" i="10"/>
  <c r="R231" i="10"/>
  <c r="Q231" i="10"/>
  <c r="N231" i="10"/>
  <c r="I231" i="10" s="1"/>
  <c r="M231" i="10"/>
  <c r="H231" i="10" s="1"/>
  <c r="L231" i="10"/>
  <c r="G231" i="10" s="1"/>
  <c r="K231" i="10"/>
  <c r="F231" i="10" s="1"/>
  <c r="AA230" i="10"/>
  <c r="N230" i="10" s="1"/>
  <c r="I230" i="10" s="1"/>
  <c r="Z230" i="10"/>
  <c r="T230" i="10" s="1"/>
  <c r="Y230" i="10"/>
  <c r="M230" i="10" s="1"/>
  <c r="J230" i="10" s="1"/>
  <c r="V230" i="10"/>
  <c r="R230" i="10"/>
  <c r="Q230" i="10"/>
  <c r="L230" i="10"/>
  <c r="G230" i="10" s="1"/>
  <c r="K230" i="10"/>
  <c r="F230" i="10" s="1"/>
  <c r="V229" i="10"/>
  <c r="U229" i="10"/>
  <c r="T229" i="10"/>
  <c r="S229" i="10"/>
  <c r="R229" i="10"/>
  <c r="Q229" i="10"/>
  <c r="N229" i="10"/>
  <c r="I229" i="10" s="1"/>
  <c r="M229" i="10"/>
  <c r="H229" i="10"/>
  <c r="L229" i="10"/>
  <c r="G229" i="10" s="1"/>
  <c r="K229" i="10"/>
  <c r="F229" i="10" s="1"/>
  <c r="V228" i="10"/>
  <c r="U228" i="10"/>
  <c r="T228" i="10"/>
  <c r="S228" i="10"/>
  <c r="R228" i="10"/>
  <c r="Q228" i="10"/>
  <c r="N228" i="10"/>
  <c r="I228" i="10" s="1"/>
  <c r="M228" i="10"/>
  <c r="H228" i="10" s="1"/>
  <c r="L228" i="10"/>
  <c r="G228" i="10" s="1"/>
  <c r="K228" i="10"/>
  <c r="F228" i="10" s="1"/>
  <c r="Z227" i="10"/>
  <c r="T227" i="10" s="1"/>
  <c r="Y227" i="10"/>
  <c r="V227" i="10"/>
  <c r="U227" i="10"/>
  <c r="R227" i="10"/>
  <c r="Q227" i="10"/>
  <c r="N227" i="10"/>
  <c r="I227" i="10" s="1"/>
  <c r="L227" i="10"/>
  <c r="G227" i="10" s="1"/>
  <c r="K227" i="10"/>
  <c r="F227" i="10" s="1"/>
  <c r="V226" i="10"/>
  <c r="U226" i="10"/>
  <c r="T226" i="10"/>
  <c r="S226" i="10"/>
  <c r="R226" i="10"/>
  <c r="Q226" i="10"/>
  <c r="N226" i="10"/>
  <c r="I226" i="10" s="1"/>
  <c r="M226" i="10"/>
  <c r="H226" i="10" s="1"/>
  <c r="L226" i="10"/>
  <c r="J226" i="10" s="1"/>
  <c r="G226" i="10"/>
  <c r="K226" i="10"/>
  <c r="F226" i="10"/>
  <c r="V225" i="10"/>
  <c r="U225" i="10"/>
  <c r="T225" i="10"/>
  <c r="S225" i="10"/>
  <c r="R225" i="10"/>
  <c r="Q225" i="10"/>
  <c r="N225" i="10"/>
  <c r="I225" i="10" s="1"/>
  <c r="M225" i="10"/>
  <c r="H225" i="10" s="1"/>
  <c r="L225" i="10"/>
  <c r="J225" i="10" s="1"/>
  <c r="K225" i="10"/>
  <c r="F225" i="10" s="1"/>
  <c r="V224" i="10"/>
  <c r="U224" i="10"/>
  <c r="T224" i="10"/>
  <c r="S224" i="10"/>
  <c r="R224" i="10"/>
  <c r="Q224" i="10"/>
  <c r="N224" i="10"/>
  <c r="I224" i="10" s="1"/>
  <c r="M224" i="10"/>
  <c r="H224" i="10" s="1"/>
  <c r="L224" i="10"/>
  <c r="K224" i="10"/>
  <c r="F224" i="10" s="1"/>
  <c r="V223" i="10"/>
  <c r="U223" i="10"/>
  <c r="T223" i="10"/>
  <c r="S223" i="10"/>
  <c r="R223" i="10"/>
  <c r="Q223" i="10"/>
  <c r="N223" i="10"/>
  <c r="I223" i="10" s="1"/>
  <c r="M223" i="10"/>
  <c r="H223" i="10"/>
  <c r="L223" i="10"/>
  <c r="G223" i="10" s="1"/>
  <c r="K223" i="10"/>
  <c r="F223" i="10" s="1"/>
  <c r="V222" i="10"/>
  <c r="U222" i="10"/>
  <c r="T222" i="10"/>
  <c r="S222" i="10"/>
  <c r="R222" i="10"/>
  <c r="Q222" i="10"/>
  <c r="N222" i="10"/>
  <c r="I222" i="10" s="1"/>
  <c r="M222" i="10"/>
  <c r="H222" i="10" s="1"/>
  <c r="L222" i="10"/>
  <c r="J222" i="10" s="1"/>
  <c r="K222" i="10"/>
  <c r="F222" i="10" s="1"/>
  <c r="V221" i="10"/>
  <c r="U221" i="10"/>
  <c r="T221" i="10"/>
  <c r="S221" i="10"/>
  <c r="R221" i="10"/>
  <c r="Q221" i="10"/>
  <c r="N221" i="10"/>
  <c r="I221" i="10" s="1"/>
  <c r="M221" i="10"/>
  <c r="H221" i="10" s="1"/>
  <c r="L221" i="10"/>
  <c r="K221" i="10"/>
  <c r="F221" i="10" s="1"/>
  <c r="V220" i="10"/>
  <c r="U220" i="10"/>
  <c r="T220" i="10"/>
  <c r="S220" i="10"/>
  <c r="R220" i="10"/>
  <c r="Q220" i="10"/>
  <c r="N220" i="10"/>
  <c r="I220" i="10" s="1"/>
  <c r="M220" i="10"/>
  <c r="H220" i="10" s="1"/>
  <c r="L220" i="10"/>
  <c r="G220" i="10" s="1"/>
  <c r="K220" i="10"/>
  <c r="F220" i="10"/>
  <c r="V219" i="10"/>
  <c r="U219" i="10"/>
  <c r="T219" i="10"/>
  <c r="S219" i="10"/>
  <c r="R219" i="10"/>
  <c r="Q219" i="10"/>
  <c r="N219" i="10"/>
  <c r="I219" i="10"/>
  <c r="M219" i="10"/>
  <c r="H219" i="10" s="1"/>
  <c r="L219" i="10"/>
  <c r="G219" i="10" s="1"/>
  <c r="K219" i="10"/>
  <c r="F219" i="10" s="1"/>
  <c r="Z218" i="10"/>
  <c r="T218" i="10" s="1"/>
  <c r="Y218" i="10"/>
  <c r="S218" i="10" s="1"/>
  <c r="V218" i="10"/>
  <c r="U218" i="10"/>
  <c r="R218" i="10"/>
  <c r="Q218" i="10"/>
  <c r="N218" i="10"/>
  <c r="I218" i="10" s="1"/>
  <c r="L218" i="10"/>
  <c r="G218" i="10" s="1"/>
  <c r="K218" i="10"/>
  <c r="F218" i="10"/>
  <c r="V217" i="10"/>
  <c r="U217" i="10"/>
  <c r="T217" i="10"/>
  <c r="S217" i="10"/>
  <c r="R217" i="10"/>
  <c r="Q217" i="10"/>
  <c r="N217" i="10"/>
  <c r="I217" i="10"/>
  <c r="M217" i="10"/>
  <c r="H217" i="10" s="1"/>
  <c r="L217" i="10"/>
  <c r="K217" i="10"/>
  <c r="F217" i="10" s="1"/>
  <c r="V216" i="10"/>
  <c r="U216" i="10"/>
  <c r="T216" i="10"/>
  <c r="S216" i="10"/>
  <c r="R216" i="10"/>
  <c r="Q216" i="10"/>
  <c r="N216" i="10"/>
  <c r="I216" i="10" s="1"/>
  <c r="M216" i="10"/>
  <c r="H216" i="10" s="1"/>
  <c r="L216" i="10"/>
  <c r="G216" i="10" s="1"/>
  <c r="K216" i="10"/>
  <c r="F216" i="10" s="1"/>
  <c r="V215" i="10"/>
  <c r="U215" i="10"/>
  <c r="T215" i="10"/>
  <c r="S215" i="10"/>
  <c r="R215" i="10"/>
  <c r="Q215" i="10"/>
  <c r="N215" i="10"/>
  <c r="I215" i="10" s="1"/>
  <c r="M215" i="10"/>
  <c r="H215" i="10" s="1"/>
  <c r="L215" i="10"/>
  <c r="G215" i="10" s="1"/>
  <c r="K215" i="10"/>
  <c r="V214" i="10"/>
  <c r="U214" i="10"/>
  <c r="T214" i="10"/>
  <c r="S214" i="10"/>
  <c r="R214" i="10"/>
  <c r="Q214" i="10"/>
  <c r="N214" i="10"/>
  <c r="I214" i="10" s="1"/>
  <c r="M214" i="10"/>
  <c r="H214" i="10" s="1"/>
  <c r="L214" i="10"/>
  <c r="G214" i="10" s="1"/>
  <c r="K214" i="10"/>
  <c r="V213" i="10"/>
  <c r="U213" i="10"/>
  <c r="T213" i="10"/>
  <c r="S213" i="10"/>
  <c r="R213" i="10"/>
  <c r="Q213" i="10"/>
  <c r="N213" i="10"/>
  <c r="I213" i="10" s="1"/>
  <c r="M213" i="10"/>
  <c r="H213" i="10" s="1"/>
  <c r="L213" i="10"/>
  <c r="G213" i="10" s="1"/>
  <c r="K213" i="10"/>
  <c r="F213" i="10" s="1"/>
  <c r="V212" i="10"/>
  <c r="U212" i="10"/>
  <c r="T212" i="10"/>
  <c r="S212" i="10"/>
  <c r="R212" i="10"/>
  <c r="Q212" i="10"/>
  <c r="N212" i="10"/>
  <c r="I212" i="10" s="1"/>
  <c r="M212" i="10"/>
  <c r="H212" i="10" s="1"/>
  <c r="L212" i="10"/>
  <c r="G212" i="10" s="1"/>
  <c r="K212" i="10"/>
  <c r="F212" i="10" s="1"/>
  <c r="V211" i="10"/>
  <c r="U211" i="10"/>
  <c r="T211" i="10"/>
  <c r="S211" i="10"/>
  <c r="R211" i="10"/>
  <c r="Q211" i="10"/>
  <c r="N211" i="10"/>
  <c r="I211" i="10" s="1"/>
  <c r="M211" i="10"/>
  <c r="H211" i="10" s="1"/>
  <c r="L211" i="10"/>
  <c r="K211" i="10"/>
  <c r="F211" i="10" s="1"/>
  <c r="V210" i="10"/>
  <c r="U210" i="10"/>
  <c r="T210" i="10"/>
  <c r="S210" i="10"/>
  <c r="R210" i="10"/>
  <c r="Q210" i="10"/>
  <c r="N210" i="10"/>
  <c r="I210" i="10"/>
  <c r="M210" i="10"/>
  <c r="H210" i="10" s="1"/>
  <c r="L210" i="10"/>
  <c r="G210" i="10" s="1"/>
  <c r="K210" i="10"/>
  <c r="F210" i="10"/>
  <c r="V209" i="10"/>
  <c r="U209" i="10"/>
  <c r="T209" i="10"/>
  <c r="S209" i="10"/>
  <c r="R209" i="10"/>
  <c r="Q209" i="10"/>
  <c r="N209" i="10"/>
  <c r="I209" i="10"/>
  <c r="M209" i="10"/>
  <c r="H209" i="10" s="1"/>
  <c r="L209" i="10"/>
  <c r="G209" i="10" s="1"/>
  <c r="K209" i="10"/>
  <c r="F209" i="10"/>
  <c r="V208" i="10"/>
  <c r="U208" i="10"/>
  <c r="T208" i="10"/>
  <c r="S208" i="10"/>
  <c r="R208" i="10"/>
  <c r="Q208" i="10"/>
  <c r="N208" i="10"/>
  <c r="I208" i="10"/>
  <c r="M208" i="10"/>
  <c r="H208" i="10" s="1"/>
  <c r="L208" i="10"/>
  <c r="G208" i="10" s="1"/>
  <c r="K208" i="10"/>
  <c r="F208" i="10" s="1"/>
  <c r="V207" i="10"/>
  <c r="U207" i="10"/>
  <c r="T207" i="10"/>
  <c r="S207" i="10"/>
  <c r="R207" i="10"/>
  <c r="Q207" i="10"/>
  <c r="N207" i="10"/>
  <c r="I207" i="10" s="1"/>
  <c r="M207" i="10"/>
  <c r="H207" i="10"/>
  <c r="L207" i="10"/>
  <c r="G207" i="10" s="1"/>
  <c r="K207" i="10"/>
  <c r="F207" i="10" s="1"/>
  <c r="V206" i="10"/>
  <c r="U206" i="10"/>
  <c r="T206" i="10"/>
  <c r="S206" i="10"/>
  <c r="R206" i="10"/>
  <c r="Q206" i="10"/>
  <c r="N206" i="10"/>
  <c r="I206" i="10" s="1"/>
  <c r="M206" i="10"/>
  <c r="H206" i="10" s="1"/>
  <c r="L206" i="10"/>
  <c r="G206" i="10" s="1"/>
  <c r="K206" i="10"/>
  <c r="F206" i="10" s="1"/>
  <c r="V205" i="10"/>
  <c r="U205" i="10"/>
  <c r="T205" i="10"/>
  <c r="S205" i="10"/>
  <c r="R205" i="10"/>
  <c r="Q205" i="10"/>
  <c r="N205" i="10"/>
  <c r="I205" i="10" s="1"/>
  <c r="M205" i="10"/>
  <c r="H205" i="10" s="1"/>
  <c r="L205" i="10"/>
  <c r="K205" i="10"/>
  <c r="F205" i="10" s="1"/>
  <c r="V204" i="10"/>
  <c r="U204" i="10"/>
  <c r="T204" i="10"/>
  <c r="S204" i="10"/>
  <c r="R204" i="10"/>
  <c r="Q204" i="10"/>
  <c r="N204" i="10"/>
  <c r="I204" i="10" s="1"/>
  <c r="M204" i="10"/>
  <c r="H204" i="10" s="1"/>
  <c r="L204" i="10"/>
  <c r="G204" i="10" s="1"/>
  <c r="K204" i="10"/>
  <c r="F204" i="10" s="1"/>
  <c r="V203" i="10"/>
  <c r="U203" i="10"/>
  <c r="T203" i="10"/>
  <c r="S203" i="10"/>
  <c r="Q203" i="10"/>
  <c r="N203" i="10"/>
  <c r="I203" i="10" s="1"/>
  <c r="M203" i="10"/>
  <c r="H203" i="10" s="1"/>
  <c r="K203" i="10"/>
  <c r="F203" i="10" s="1"/>
  <c r="G203" i="10"/>
  <c r="V202" i="10"/>
  <c r="U202" i="10"/>
  <c r="T202" i="10"/>
  <c r="S202" i="10"/>
  <c r="R202" i="10"/>
  <c r="Q202" i="10"/>
  <c r="N202" i="10"/>
  <c r="I202" i="10" s="1"/>
  <c r="M202" i="10"/>
  <c r="H202" i="10" s="1"/>
  <c r="L202" i="10"/>
  <c r="G202" i="10" s="1"/>
  <c r="K202" i="10"/>
  <c r="F202" i="10" s="1"/>
  <c r="V201" i="10"/>
  <c r="U201" i="10"/>
  <c r="T201" i="10"/>
  <c r="S201" i="10"/>
  <c r="R201" i="10"/>
  <c r="Q201" i="10"/>
  <c r="N201" i="10"/>
  <c r="I201" i="10" s="1"/>
  <c r="M201" i="10"/>
  <c r="H201" i="10" s="1"/>
  <c r="L201" i="10"/>
  <c r="G201" i="10" s="1"/>
  <c r="K201" i="10"/>
  <c r="V200" i="10"/>
  <c r="U200" i="10"/>
  <c r="T200" i="10"/>
  <c r="S200" i="10"/>
  <c r="R200" i="10"/>
  <c r="Q200" i="10"/>
  <c r="N200" i="10"/>
  <c r="I200" i="10" s="1"/>
  <c r="M200" i="10"/>
  <c r="H200" i="10" s="1"/>
  <c r="L200" i="10"/>
  <c r="G200" i="10" s="1"/>
  <c r="K200" i="10"/>
  <c r="F200" i="10" s="1"/>
  <c r="V199" i="10"/>
  <c r="U199" i="10"/>
  <c r="T199" i="10"/>
  <c r="S199" i="10"/>
  <c r="R199" i="10"/>
  <c r="Q199" i="10"/>
  <c r="N199" i="10"/>
  <c r="I199" i="10" s="1"/>
  <c r="M199" i="10"/>
  <c r="H199" i="10" s="1"/>
  <c r="L199" i="10"/>
  <c r="G199" i="10" s="1"/>
  <c r="K199" i="10"/>
  <c r="F199" i="10" s="1"/>
  <c r="V198" i="10"/>
  <c r="U198" i="10"/>
  <c r="T198" i="10"/>
  <c r="S198" i="10"/>
  <c r="R198" i="10"/>
  <c r="Q198" i="10"/>
  <c r="N198" i="10"/>
  <c r="I198" i="10" s="1"/>
  <c r="M198" i="10"/>
  <c r="H198" i="10" s="1"/>
  <c r="L198" i="10"/>
  <c r="G198" i="10" s="1"/>
  <c r="K198" i="10"/>
  <c r="F198" i="10" s="1"/>
  <c r="V197" i="10"/>
  <c r="U197" i="10"/>
  <c r="T197" i="10"/>
  <c r="S197" i="10"/>
  <c r="R197" i="10"/>
  <c r="Q197" i="10"/>
  <c r="N197" i="10"/>
  <c r="I197" i="10" s="1"/>
  <c r="M197" i="10"/>
  <c r="H197" i="10" s="1"/>
  <c r="L197" i="10"/>
  <c r="G197" i="10" s="1"/>
  <c r="K197" i="10"/>
  <c r="F197" i="10" s="1"/>
  <c r="V196" i="10"/>
  <c r="U196" i="10"/>
  <c r="R196" i="10"/>
  <c r="Q196" i="10"/>
  <c r="N196" i="10"/>
  <c r="I196" i="10" s="1"/>
  <c r="M196" i="10"/>
  <c r="H196" i="10" s="1"/>
  <c r="L196" i="10"/>
  <c r="K196" i="10"/>
  <c r="F196" i="10" s="1"/>
  <c r="V195" i="10"/>
  <c r="U195" i="10"/>
  <c r="T195" i="10"/>
  <c r="S195" i="10"/>
  <c r="R195" i="10"/>
  <c r="Q195" i="10"/>
  <c r="N195" i="10"/>
  <c r="I195" i="10" s="1"/>
  <c r="M195" i="10"/>
  <c r="H195" i="10" s="1"/>
  <c r="L195" i="10"/>
  <c r="G195" i="10" s="1"/>
  <c r="K195" i="10"/>
  <c r="V194" i="10"/>
  <c r="U194" i="10"/>
  <c r="T194" i="10"/>
  <c r="S194" i="10"/>
  <c r="R194" i="10"/>
  <c r="Q194" i="10"/>
  <c r="N194" i="10"/>
  <c r="I194" i="10" s="1"/>
  <c r="M194" i="10"/>
  <c r="H194" i="10" s="1"/>
  <c r="L194" i="10"/>
  <c r="G194" i="10" s="1"/>
  <c r="K194" i="10"/>
  <c r="F194" i="10" s="1"/>
  <c r="V193" i="10"/>
  <c r="U193" i="10"/>
  <c r="T193" i="10"/>
  <c r="S193" i="10"/>
  <c r="R193" i="10"/>
  <c r="Q193" i="10"/>
  <c r="N193" i="10"/>
  <c r="I193" i="10" s="1"/>
  <c r="M193" i="10"/>
  <c r="H193" i="10" s="1"/>
  <c r="L193" i="10"/>
  <c r="G193" i="10" s="1"/>
  <c r="K193" i="10"/>
  <c r="F193" i="10" s="1"/>
  <c r="V192" i="10"/>
  <c r="U192" i="10"/>
  <c r="T192" i="10"/>
  <c r="S192" i="10"/>
  <c r="R192" i="10"/>
  <c r="Q192" i="10"/>
  <c r="N192" i="10"/>
  <c r="I192" i="10" s="1"/>
  <c r="M192" i="10"/>
  <c r="H192" i="10" s="1"/>
  <c r="L192" i="10"/>
  <c r="G192" i="10" s="1"/>
  <c r="K192" i="10"/>
  <c r="F192" i="10" s="1"/>
  <c r="V191" i="10"/>
  <c r="U191" i="10"/>
  <c r="T191" i="10"/>
  <c r="S191" i="10"/>
  <c r="R191" i="10"/>
  <c r="Q191" i="10"/>
  <c r="N191" i="10"/>
  <c r="I191" i="10" s="1"/>
  <c r="M191" i="10"/>
  <c r="H191" i="10" s="1"/>
  <c r="L191" i="10"/>
  <c r="G191" i="10"/>
  <c r="K191" i="10"/>
  <c r="F191" i="10" s="1"/>
  <c r="V190" i="10"/>
  <c r="U190" i="10"/>
  <c r="T190" i="10"/>
  <c r="S190" i="10"/>
  <c r="R190" i="10"/>
  <c r="Q190" i="10"/>
  <c r="N190" i="10"/>
  <c r="I190" i="10" s="1"/>
  <c r="M190" i="10"/>
  <c r="H190" i="10" s="1"/>
  <c r="L190" i="10"/>
  <c r="K190" i="10"/>
  <c r="F190" i="10" s="1"/>
  <c r="V189" i="10"/>
  <c r="U189" i="10"/>
  <c r="T189" i="10"/>
  <c r="S189" i="10"/>
  <c r="R189" i="10"/>
  <c r="Q189" i="10"/>
  <c r="N189" i="10"/>
  <c r="I189" i="10" s="1"/>
  <c r="M189" i="10"/>
  <c r="H189" i="10" s="1"/>
  <c r="L189" i="10"/>
  <c r="G189" i="10"/>
  <c r="K189" i="10"/>
  <c r="F189" i="10" s="1"/>
  <c r="V188" i="10"/>
  <c r="U188" i="10"/>
  <c r="T188" i="10"/>
  <c r="S188" i="10"/>
  <c r="R188" i="10"/>
  <c r="Q188" i="10"/>
  <c r="N188" i="10"/>
  <c r="I188" i="10" s="1"/>
  <c r="M188" i="10"/>
  <c r="H188" i="10" s="1"/>
  <c r="L188" i="10"/>
  <c r="K188" i="10"/>
  <c r="F188" i="10" s="1"/>
  <c r="V187" i="10"/>
  <c r="U187" i="10"/>
  <c r="T187" i="10"/>
  <c r="S187" i="10"/>
  <c r="R187" i="10"/>
  <c r="Q187" i="10"/>
  <c r="N187" i="10"/>
  <c r="I187" i="10" s="1"/>
  <c r="M187" i="10"/>
  <c r="H187" i="10" s="1"/>
  <c r="L187" i="10"/>
  <c r="G187" i="10" s="1"/>
  <c r="K187" i="10"/>
  <c r="V186" i="10"/>
  <c r="U186" i="10"/>
  <c r="T186" i="10"/>
  <c r="S186" i="10"/>
  <c r="R186" i="10"/>
  <c r="Q186" i="10"/>
  <c r="N186" i="10"/>
  <c r="I186" i="10" s="1"/>
  <c r="M186" i="10"/>
  <c r="L186" i="10"/>
  <c r="G186" i="10" s="1"/>
  <c r="K186" i="10"/>
  <c r="F186" i="10" s="1"/>
  <c r="V185" i="10"/>
  <c r="U185" i="10"/>
  <c r="T185" i="10"/>
  <c r="S185" i="10"/>
  <c r="R185" i="10"/>
  <c r="Q185" i="10"/>
  <c r="N185" i="10"/>
  <c r="I185" i="10" s="1"/>
  <c r="M185" i="10"/>
  <c r="H185" i="10" s="1"/>
  <c r="L185" i="10"/>
  <c r="K185" i="10"/>
  <c r="F185" i="10" s="1"/>
  <c r="V184" i="10"/>
  <c r="U184" i="10"/>
  <c r="T184" i="10"/>
  <c r="S184" i="10"/>
  <c r="R184" i="10"/>
  <c r="Q184" i="10"/>
  <c r="N184" i="10"/>
  <c r="I184" i="10" s="1"/>
  <c r="M184" i="10"/>
  <c r="H184" i="10" s="1"/>
  <c r="L184" i="10"/>
  <c r="K184" i="10"/>
  <c r="F184" i="10" s="1"/>
  <c r="V183" i="10"/>
  <c r="U183" i="10"/>
  <c r="T183" i="10"/>
  <c r="S183" i="10"/>
  <c r="R183" i="10"/>
  <c r="Q183" i="10"/>
  <c r="N183" i="10"/>
  <c r="I183" i="10" s="1"/>
  <c r="M183" i="10"/>
  <c r="H183" i="10" s="1"/>
  <c r="L183" i="10"/>
  <c r="K183" i="10"/>
  <c r="F183" i="10" s="1"/>
  <c r="V182" i="10"/>
  <c r="U182" i="10"/>
  <c r="T182" i="10"/>
  <c r="S182" i="10"/>
  <c r="R182" i="10"/>
  <c r="Q182" i="10"/>
  <c r="N182" i="10"/>
  <c r="I182" i="10" s="1"/>
  <c r="M182" i="10"/>
  <c r="H182" i="10" s="1"/>
  <c r="L182" i="10"/>
  <c r="K182" i="10"/>
  <c r="F182" i="10" s="1"/>
  <c r="V181" i="10"/>
  <c r="U181" i="10"/>
  <c r="T181" i="10"/>
  <c r="S181" i="10"/>
  <c r="R181" i="10"/>
  <c r="Q181" i="10"/>
  <c r="N181" i="10"/>
  <c r="I181" i="10" s="1"/>
  <c r="M181" i="10"/>
  <c r="H181" i="10" s="1"/>
  <c r="L181" i="10"/>
  <c r="G181" i="10" s="1"/>
  <c r="K181" i="10"/>
  <c r="F181" i="10" s="1"/>
  <c r="X180" i="10"/>
  <c r="L180" i="10" s="1"/>
  <c r="V180" i="10"/>
  <c r="U180" i="10"/>
  <c r="T180" i="10"/>
  <c r="S180" i="10"/>
  <c r="Q180" i="10"/>
  <c r="N180" i="10"/>
  <c r="I180" i="10" s="1"/>
  <c r="M180" i="10"/>
  <c r="H180" i="10" s="1"/>
  <c r="K180" i="10"/>
  <c r="F180" i="10" s="1"/>
  <c r="V179" i="10"/>
  <c r="U179" i="10"/>
  <c r="T179" i="10"/>
  <c r="S179" i="10"/>
  <c r="R179" i="10"/>
  <c r="Q179" i="10"/>
  <c r="N179" i="10"/>
  <c r="I179" i="10" s="1"/>
  <c r="M179" i="10"/>
  <c r="H179" i="10" s="1"/>
  <c r="L179" i="10"/>
  <c r="G179" i="10" s="1"/>
  <c r="K179" i="10"/>
  <c r="F179" i="10" s="1"/>
  <c r="V178" i="10"/>
  <c r="U178" i="10"/>
  <c r="T178" i="10"/>
  <c r="S178" i="10"/>
  <c r="R178" i="10"/>
  <c r="Q178" i="10"/>
  <c r="N178" i="10"/>
  <c r="I178" i="10" s="1"/>
  <c r="M178" i="10"/>
  <c r="H178" i="10" s="1"/>
  <c r="L178" i="10"/>
  <c r="K178" i="10"/>
  <c r="F178" i="10" s="1"/>
  <c r="V177" i="10"/>
  <c r="U177" i="10"/>
  <c r="T177" i="10"/>
  <c r="S177" i="10"/>
  <c r="R177" i="10"/>
  <c r="Q177" i="10"/>
  <c r="N177" i="10"/>
  <c r="I177" i="10" s="1"/>
  <c r="M177" i="10"/>
  <c r="H177" i="10" s="1"/>
  <c r="L177" i="10"/>
  <c r="G177" i="10" s="1"/>
  <c r="K177" i="10"/>
  <c r="F177" i="10" s="1"/>
  <c r="V176" i="10"/>
  <c r="U176" i="10"/>
  <c r="T176" i="10"/>
  <c r="S176" i="10"/>
  <c r="R176" i="10"/>
  <c r="Q176" i="10"/>
  <c r="N176" i="10"/>
  <c r="I176" i="10" s="1"/>
  <c r="M176" i="10"/>
  <c r="H176" i="10" s="1"/>
  <c r="L176" i="10"/>
  <c r="G176" i="10" s="1"/>
  <c r="K176" i="10"/>
  <c r="F176" i="10" s="1"/>
  <c r="V175" i="10"/>
  <c r="U175" i="10"/>
  <c r="T175" i="10"/>
  <c r="S175" i="10"/>
  <c r="R175" i="10"/>
  <c r="Q175" i="10"/>
  <c r="N175" i="10"/>
  <c r="I175" i="10" s="1"/>
  <c r="M175" i="10"/>
  <c r="H175" i="10" s="1"/>
  <c r="L175" i="10"/>
  <c r="G175" i="10" s="1"/>
  <c r="K175" i="10"/>
  <c r="F175" i="10" s="1"/>
  <c r="V174" i="10"/>
  <c r="U174" i="10"/>
  <c r="T174" i="10"/>
  <c r="S174" i="10"/>
  <c r="Q174" i="10"/>
  <c r="N174" i="10"/>
  <c r="I174" i="10" s="1"/>
  <c r="M174" i="10"/>
  <c r="H174" i="10" s="1"/>
  <c r="L174" i="10"/>
  <c r="K174" i="10"/>
  <c r="F174" i="10" s="1"/>
  <c r="V173" i="10"/>
  <c r="U173" i="10"/>
  <c r="T173" i="10"/>
  <c r="S173" i="10"/>
  <c r="Q173" i="10"/>
  <c r="N173" i="10"/>
  <c r="I173" i="10" s="1"/>
  <c r="M173" i="10"/>
  <c r="H173" i="10" s="1"/>
  <c r="L173" i="10"/>
  <c r="K173" i="10"/>
  <c r="F173" i="10" s="1"/>
  <c r="V172" i="10"/>
  <c r="U172" i="10"/>
  <c r="T172" i="10"/>
  <c r="S172" i="10"/>
  <c r="R172" i="10"/>
  <c r="Q172" i="10"/>
  <c r="N172" i="10"/>
  <c r="I172" i="10" s="1"/>
  <c r="M172" i="10"/>
  <c r="H172" i="10"/>
  <c r="L172" i="10"/>
  <c r="G172" i="10" s="1"/>
  <c r="K172" i="10"/>
  <c r="F172" i="10"/>
  <c r="V171" i="10"/>
  <c r="U171" i="10"/>
  <c r="T171" i="10"/>
  <c r="S171" i="10"/>
  <c r="R171" i="10"/>
  <c r="Q171" i="10"/>
  <c r="N171" i="10"/>
  <c r="I171" i="10"/>
  <c r="M171" i="10"/>
  <c r="H171" i="10" s="1"/>
  <c r="L171" i="10"/>
  <c r="K171" i="10"/>
  <c r="F171" i="10" s="1"/>
  <c r="V170" i="10"/>
  <c r="U170" i="10"/>
  <c r="T170" i="10"/>
  <c r="S170" i="10"/>
  <c r="R170" i="10"/>
  <c r="Q170" i="10"/>
  <c r="N170" i="10"/>
  <c r="I170" i="10" s="1"/>
  <c r="M170" i="10"/>
  <c r="H170" i="10" s="1"/>
  <c r="L170" i="10"/>
  <c r="K170" i="10"/>
  <c r="F170" i="10"/>
  <c r="V169" i="10"/>
  <c r="U169" i="10"/>
  <c r="T169" i="10"/>
  <c r="S169" i="10"/>
  <c r="Q169" i="10"/>
  <c r="N169" i="10"/>
  <c r="I169" i="10" s="1"/>
  <c r="M169" i="10"/>
  <c r="H169" i="10" s="1"/>
  <c r="K169" i="10"/>
  <c r="F169" i="10" s="1"/>
  <c r="G169" i="10"/>
  <c r="V168" i="10"/>
  <c r="U168" i="10"/>
  <c r="T168" i="10"/>
  <c r="S168" i="10"/>
  <c r="Q168" i="10"/>
  <c r="N168" i="10"/>
  <c r="I168" i="10" s="1"/>
  <c r="M168" i="10"/>
  <c r="H168" i="10" s="1"/>
  <c r="K168" i="10"/>
  <c r="F168" i="10" s="1"/>
  <c r="G168" i="10"/>
  <c r="V167" i="10"/>
  <c r="U167" i="10"/>
  <c r="T167" i="10"/>
  <c r="S167" i="10"/>
  <c r="Q167" i="10"/>
  <c r="N167" i="10"/>
  <c r="I167" i="10" s="1"/>
  <c r="M167" i="10"/>
  <c r="H167" i="10" s="1"/>
  <c r="K167" i="10"/>
  <c r="F167" i="10" s="1"/>
  <c r="G167" i="10"/>
  <c r="W166" i="10"/>
  <c r="W68" i="10" s="1"/>
  <c r="V166" i="10"/>
  <c r="U166" i="10"/>
  <c r="T166" i="10"/>
  <c r="S166" i="10"/>
  <c r="R166" i="10"/>
  <c r="N166" i="10"/>
  <c r="M166" i="10"/>
  <c r="H166" i="10" s="1"/>
  <c r="L166" i="10"/>
  <c r="G166" i="10" s="1"/>
  <c r="V165" i="10"/>
  <c r="U165" i="10"/>
  <c r="T165" i="10"/>
  <c r="S165" i="10"/>
  <c r="R165" i="10"/>
  <c r="Q165" i="10"/>
  <c r="N165" i="10"/>
  <c r="I165" i="10" s="1"/>
  <c r="M165" i="10"/>
  <c r="H165" i="10" s="1"/>
  <c r="L165" i="10"/>
  <c r="G165" i="10" s="1"/>
  <c r="K165" i="10"/>
  <c r="F165" i="10" s="1"/>
  <c r="V164" i="10"/>
  <c r="U164" i="10"/>
  <c r="T164" i="10"/>
  <c r="S164" i="10"/>
  <c r="Q164" i="10"/>
  <c r="N164" i="10"/>
  <c r="I164" i="10" s="1"/>
  <c r="M164" i="10"/>
  <c r="H164" i="10" s="1"/>
  <c r="L164" i="10"/>
  <c r="G164" i="10" s="1"/>
  <c r="K164" i="10"/>
  <c r="F164" i="10" s="1"/>
  <c r="V163" i="10"/>
  <c r="U163" i="10"/>
  <c r="T163" i="10"/>
  <c r="S163" i="10"/>
  <c r="Q163" i="10"/>
  <c r="N163" i="10"/>
  <c r="I163" i="10" s="1"/>
  <c r="M163" i="10"/>
  <c r="H163" i="10" s="1"/>
  <c r="L163" i="10"/>
  <c r="G163" i="10" s="1"/>
  <c r="K163" i="10"/>
  <c r="F163" i="10" s="1"/>
  <c r="V162" i="10"/>
  <c r="U162" i="10"/>
  <c r="T162" i="10"/>
  <c r="S162" i="10"/>
  <c r="R162" i="10"/>
  <c r="Q162" i="10"/>
  <c r="N162" i="10"/>
  <c r="I162" i="10" s="1"/>
  <c r="M162" i="10"/>
  <c r="H162" i="10" s="1"/>
  <c r="L162" i="10"/>
  <c r="G162" i="10" s="1"/>
  <c r="K162" i="10"/>
  <c r="F162" i="10" s="1"/>
  <c r="Z158" i="10"/>
  <c r="T158" i="10" s="1"/>
  <c r="Y158" i="10"/>
  <c r="S158" i="10" s="1"/>
  <c r="V158" i="10"/>
  <c r="U158" i="10"/>
  <c r="R158" i="10"/>
  <c r="Q158" i="10"/>
  <c r="N158" i="10"/>
  <c r="I158" i="10" s="1"/>
  <c r="L158" i="10"/>
  <c r="G158" i="10" s="1"/>
  <c r="K158" i="10"/>
  <c r="F158" i="10" s="1"/>
  <c r="Z157" i="10"/>
  <c r="T157" i="10" s="1"/>
  <c r="Y157" i="10"/>
  <c r="S157" i="10" s="1"/>
  <c r="V157" i="10"/>
  <c r="U157" i="10"/>
  <c r="R157" i="10"/>
  <c r="Q157" i="10"/>
  <c r="N157" i="10"/>
  <c r="I157" i="10" s="1"/>
  <c r="L157" i="10"/>
  <c r="G157" i="10" s="1"/>
  <c r="K157" i="10"/>
  <c r="F157" i="10" s="1"/>
  <c r="V156" i="10"/>
  <c r="U156" i="10"/>
  <c r="T156" i="10"/>
  <c r="S156" i="10"/>
  <c r="R156" i="10"/>
  <c r="Q156" i="10"/>
  <c r="N156" i="10"/>
  <c r="I156" i="10" s="1"/>
  <c r="M156" i="10"/>
  <c r="H156" i="10" s="1"/>
  <c r="L156" i="10"/>
  <c r="K156" i="10"/>
  <c r="F156" i="10" s="1"/>
  <c r="V155" i="10"/>
  <c r="U155" i="10"/>
  <c r="T155" i="10"/>
  <c r="S155" i="10"/>
  <c r="R155" i="10"/>
  <c r="Q155" i="10"/>
  <c r="N155" i="10"/>
  <c r="I155" i="10"/>
  <c r="M155" i="10"/>
  <c r="H155" i="10" s="1"/>
  <c r="L155" i="10"/>
  <c r="G155" i="10" s="1"/>
  <c r="K155" i="10"/>
  <c r="F155" i="10" s="1"/>
  <c r="V154" i="10"/>
  <c r="U154" i="10"/>
  <c r="T154" i="10"/>
  <c r="S154" i="10"/>
  <c r="R154" i="10"/>
  <c r="Q154" i="10"/>
  <c r="N154" i="10"/>
  <c r="I154" i="10" s="1"/>
  <c r="M154" i="10"/>
  <c r="H154" i="10" s="1"/>
  <c r="L154" i="10"/>
  <c r="G154" i="10" s="1"/>
  <c r="K154" i="10"/>
  <c r="F154" i="10" s="1"/>
  <c r="V153" i="10"/>
  <c r="U153" i="10"/>
  <c r="T153" i="10"/>
  <c r="S153" i="10"/>
  <c r="R153" i="10"/>
  <c r="Q153" i="10"/>
  <c r="N153" i="10"/>
  <c r="I153" i="10" s="1"/>
  <c r="M153" i="10"/>
  <c r="H153" i="10" s="1"/>
  <c r="L153" i="10"/>
  <c r="G153" i="10" s="1"/>
  <c r="K153" i="10"/>
  <c r="F153" i="10" s="1"/>
  <c r="V152" i="10"/>
  <c r="U152" i="10"/>
  <c r="T152" i="10"/>
  <c r="S152" i="10"/>
  <c r="R152" i="10"/>
  <c r="Q152" i="10"/>
  <c r="L152" i="10"/>
  <c r="J152" i="10" s="1"/>
  <c r="I152" i="10"/>
  <c r="H152" i="10"/>
  <c r="F152" i="10"/>
  <c r="V151" i="10"/>
  <c r="U151" i="10"/>
  <c r="T151" i="10"/>
  <c r="S151" i="10"/>
  <c r="R151" i="10"/>
  <c r="Q151" i="10"/>
  <c r="N151" i="10"/>
  <c r="I151" i="10" s="1"/>
  <c r="M151" i="10"/>
  <c r="H151" i="10" s="1"/>
  <c r="L151" i="10"/>
  <c r="G151" i="10" s="1"/>
  <c r="K151" i="10"/>
  <c r="F151" i="10" s="1"/>
  <c r="V150" i="10"/>
  <c r="U150" i="10"/>
  <c r="T150" i="10"/>
  <c r="S150" i="10"/>
  <c r="R150" i="10"/>
  <c r="Q150" i="10"/>
  <c r="N150" i="10"/>
  <c r="I150" i="10" s="1"/>
  <c r="M150" i="10"/>
  <c r="H150" i="10" s="1"/>
  <c r="L150" i="10"/>
  <c r="K150" i="10"/>
  <c r="F150" i="10" s="1"/>
  <c r="V149" i="10"/>
  <c r="U149" i="10"/>
  <c r="T149" i="10"/>
  <c r="S149" i="10"/>
  <c r="R149" i="10"/>
  <c r="Q149" i="10"/>
  <c r="N149" i="10"/>
  <c r="I149" i="10" s="1"/>
  <c r="M149" i="10"/>
  <c r="H149" i="10" s="1"/>
  <c r="L149" i="10"/>
  <c r="K149" i="10"/>
  <c r="F149" i="10"/>
  <c r="V148" i="10"/>
  <c r="U148" i="10"/>
  <c r="T148" i="10"/>
  <c r="S148" i="10"/>
  <c r="R148" i="10"/>
  <c r="Q148" i="10"/>
  <c r="N148" i="10"/>
  <c r="I148" i="10"/>
  <c r="M148" i="10"/>
  <c r="H148" i="10"/>
  <c r="L148" i="10"/>
  <c r="G148" i="10" s="1"/>
  <c r="K148" i="10"/>
  <c r="F148" i="10" s="1"/>
  <c r="V147" i="10"/>
  <c r="U147" i="10"/>
  <c r="T147" i="10"/>
  <c r="S147" i="10"/>
  <c r="R147" i="10"/>
  <c r="Q147" i="10"/>
  <c r="N147" i="10"/>
  <c r="I147" i="10" s="1"/>
  <c r="M147" i="10"/>
  <c r="H147" i="10" s="1"/>
  <c r="L147" i="10"/>
  <c r="K147" i="10"/>
  <c r="F147" i="10" s="1"/>
  <c r="V146" i="10"/>
  <c r="U146" i="10"/>
  <c r="T146" i="10"/>
  <c r="S146" i="10"/>
  <c r="R146" i="10"/>
  <c r="Q146" i="10"/>
  <c r="N146" i="10"/>
  <c r="I146" i="10" s="1"/>
  <c r="M146" i="10"/>
  <c r="H146" i="10" s="1"/>
  <c r="L146" i="10"/>
  <c r="K146" i="10"/>
  <c r="F146" i="10" s="1"/>
  <c r="V145" i="10"/>
  <c r="U145" i="10"/>
  <c r="T145" i="10"/>
  <c r="S145" i="10"/>
  <c r="R145" i="10"/>
  <c r="Q145" i="10"/>
  <c r="N145" i="10"/>
  <c r="I145" i="10" s="1"/>
  <c r="M145" i="10"/>
  <c r="H145" i="10" s="1"/>
  <c r="L145" i="10"/>
  <c r="G145" i="10" s="1"/>
  <c r="K145" i="10"/>
  <c r="F145" i="10" s="1"/>
  <c r="V144" i="10"/>
  <c r="U144" i="10"/>
  <c r="T144" i="10"/>
  <c r="S144" i="10"/>
  <c r="R144" i="10"/>
  <c r="Q144" i="10"/>
  <c r="N144" i="10"/>
  <c r="M144" i="10"/>
  <c r="H144" i="10" s="1"/>
  <c r="L144" i="10"/>
  <c r="K144" i="10"/>
  <c r="F144" i="10" s="1"/>
  <c r="V143" i="10"/>
  <c r="U143" i="10"/>
  <c r="T143" i="10"/>
  <c r="S143" i="10"/>
  <c r="R143" i="10"/>
  <c r="Q143" i="10"/>
  <c r="L143" i="10"/>
  <c r="J143" i="10" s="1"/>
  <c r="K143" i="10"/>
  <c r="F143" i="10" s="1"/>
  <c r="I143" i="10"/>
  <c r="H143" i="10"/>
  <c r="V142" i="10"/>
  <c r="U142" i="10"/>
  <c r="T142" i="10"/>
  <c r="S142" i="10"/>
  <c r="R142" i="10"/>
  <c r="Q142" i="10"/>
  <c r="L142" i="10"/>
  <c r="J142" i="10" s="1"/>
  <c r="K142" i="10"/>
  <c r="F142" i="10" s="1"/>
  <c r="I142" i="10"/>
  <c r="H142" i="10"/>
  <c r="V141" i="10"/>
  <c r="U141" i="10"/>
  <c r="T141" i="10"/>
  <c r="S141" i="10"/>
  <c r="R141" i="10"/>
  <c r="Q141" i="10"/>
  <c r="N141" i="10"/>
  <c r="I141" i="10" s="1"/>
  <c r="M141" i="10"/>
  <c r="H141" i="10" s="1"/>
  <c r="L141" i="10"/>
  <c r="G141" i="10" s="1"/>
  <c r="K141" i="10"/>
  <c r="F141" i="10" s="1"/>
  <c r="V140" i="10"/>
  <c r="U140" i="10"/>
  <c r="T140" i="10"/>
  <c r="S140" i="10"/>
  <c r="R140" i="10"/>
  <c r="Q140" i="10"/>
  <c r="N140" i="10"/>
  <c r="I140" i="10" s="1"/>
  <c r="M140" i="10"/>
  <c r="H140" i="10" s="1"/>
  <c r="L140" i="10"/>
  <c r="G140" i="10" s="1"/>
  <c r="K140" i="10"/>
  <c r="F140" i="10" s="1"/>
  <c r="V139" i="10"/>
  <c r="U139" i="10"/>
  <c r="T139" i="10"/>
  <c r="S139" i="10"/>
  <c r="R139" i="10"/>
  <c r="Q139" i="10"/>
  <c r="N139" i="10"/>
  <c r="I139" i="10" s="1"/>
  <c r="M139" i="10"/>
  <c r="H139" i="10"/>
  <c r="L139" i="10"/>
  <c r="G139" i="10" s="1"/>
  <c r="K139" i="10"/>
  <c r="F139" i="10" s="1"/>
  <c r="V138" i="10"/>
  <c r="U138" i="10"/>
  <c r="T138" i="10"/>
  <c r="S138" i="10"/>
  <c r="R138" i="10"/>
  <c r="Q138" i="10"/>
  <c r="N138" i="10"/>
  <c r="I138" i="10" s="1"/>
  <c r="M138" i="10"/>
  <c r="H138" i="10" s="1"/>
  <c r="L138" i="10"/>
  <c r="G138" i="10" s="1"/>
  <c r="K138" i="10"/>
  <c r="F138" i="10" s="1"/>
  <c r="V137" i="10"/>
  <c r="U137" i="10"/>
  <c r="T137" i="10"/>
  <c r="S137" i="10"/>
  <c r="R137" i="10"/>
  <c r="Q137" i="10"/>
  <c r="N137" i="10"/>
  <c r="I137" i="10" s="1"/>
  <c r="M137" i="10"/>
  <c r="H137" i="10" s="1"/>
  <c r="L137" i="10"/>
  <c r="G137" i="10" s="1"/>
  <c r="K137" i="10"/>
  <c r="F137" i="10" s="1"/>
  <c r="V136" i="10"/>
  <c r="U136" i="10"/>
  <c r="T136" i="10"/>
  <c r="S136" i="10"/>
  <c r="R136" i="10"/>
  <c r="Q136" i="10"/>
  <c r="N136" i="10"/>
  <c r="I136" i="10" s="1"/>
  <c r="M136" i="10"/>
  <c r="H136" i="10" s="1"/>
  <c r="L136" i="10"/>
  <c r="G136" i="10" s="1"/>
  <c r="K136" i="10"/>
  <c r="F136" i="10" s="1"/>
  <c r="V135" i="10"/>
  <c r="U135" i="10"/>
  <c r="T135" i="10"/>
  <c r="S135" i="10"/>
  <c r="R135" i="10"/>
  <c r="Q135" i="10"/>
  <c r="N135" i="10"/>
  <c r="I135" i="10" s="1"/>
  <c r="M135" i="10"/>
  <c r="H135" i="10" s="1"/>
  <c r="L135" i="10"/>
  <c r="G135" i="10" s="1"/>
  <c r="K135" i="10"/>
  <c r="F135" i="10" s="1"/>
  <c r="V134" i="10"/>
  <c r="U134" i="10"/>
  <c r="T134" i="10"/>
  <c r="S134" i="10"/>
  <c r="R134" i="10"/>
  <c r="Q134" i="10"/>
  <c r="N134" i="10"/>
  <c r="I134" i="10" s="1"/>
  <c r="M134" i="10"/>
  <c r="H134" i="10" s="1"/>
  <c r="L134" i="10"/>
  <c r="G134" i="10" s="1"/>
  <c r="K134" i="10"/>
  <c r="F134" i="10" s="1"/>
  <c r="V133" i="10"/>
  <c r="U133" i="10"/>
  <c r="T133" i="10"/>
  <c r="S133" i="10"/>
  <c r="R133" i="10"/>
  <c r="Q133" i="10"/>
  <c r="N133" i="10"/>
  <c r="I133" i="10" s="1"/>
  <c r="M133" i="10"/>
  <c r="H133" i="10" s="1"/>
  <c r="L133" i="10"/>
  <c r="G133" i="10" s="1"/>
  <c r="K133" i="10"/>
  <c r="F133" i="10" s="1"/>
  <c r="V130" i="10"/>
  <c r="U130" i="10"/>
  <c r="T130" i="10"/>
  <c r="S130" i="10"/>
  <c r="R130" i="10"/>
  <c r="Q130" i="10"/>
  <c r="N130" i="10"/>
  <c r="I130" i="10" s="1"/>
  <c r="M130" i="10"/>
  <c r="H130" i="10" s="1"/>
  <c r="L130" i="10"/>
  <c r="G130" i="10" s="1"/>
  <c r="K130" i="10"/>
  <c r="V129" i="10"/>
  <c r="U129" i="10"/>
  <c r="T129" i="10"/>
  <c r="S129" i="10"/>
  <c r="R129" i="10"/>
  <c r="Q129" i="10"/>
  <c r="N129" i="10"/>
  <c r="I129" i="10" s="1"/>
  <c r="M129" i="10"/>
  <c r="H129" i="10" s="1"/>
  <c r="L129" i="10"/>
  <c r="G129" i="10" s="1"/>
  <c r="K129" i="10"/>
  <c r="V128" i="10"/>
  <c r="U128" i="10"/>
  <c r="T128" i="10"/>
  <c r="S128" i="10"/>
  <c r="R128" i="10"/>
  <c r="Q128" i="10"/>
  <c r="N128" i="10"/>
  <c r="I128" i="10"/>
  <c r="M128" i="10"/>
  <c r="H128" i="10" s="1"/>
  <c r="L128" i="10"/>
  <c r="G128" i="10" s="1"/>
  <c r="K128" i="10"/>
  <c r="F128" i="10" s="1"/>
  <c r="V127" i="10"/>
  <c r="U127" i="10"/>
  <c r="T127" i="10"/>
  <c r="S127" i="10"/>
  <c r="R127" i="10"/>
  <c r="Q127" i="10"/>
  <c r="N127" i="10"/>
  <c r="I127" i="10" s="1"/>
  <c r="M127" i="10"/>
  <c r="H127" i="10" s="1"/>
  <c r="L127" i="10"/>
  <c r="G127" i="10" s="1"/>
  <c r="K127" i="10"/>
  <c r="F127" i="10" s="1"/>
  <c r="V126" i="10"/>
  <c r="U126" i="10"/>
  <c r="T126" i="10"/>
  <c r="S126" i="10"/>
  <c r="R126" i="10"/>
  <c r="Q126" i="10"/>
  <c r="N126" i="10"/>
  <c r="I126" i="10" s="1"/>
  <c r="M126" i="10"/>
  <c r="H126" i="10" s="1"/>
  <c r="L126" i="10"/>
  <c r="J126" i="10" s="1"/>
  <c r="K126" i="10"/>
  <c r="F126" i="10" s="1"/>
  <c r="V125" i="10"/>
  <c r="U125" i="10"/>
  <c r="T125" i="10"/>
  <c r="S125" i="10"/>
  <c r="R125" i="10"/>
  <c r="Q125" i="10"/>
  <c r="N125" i="10"/>
  <c r="I125" i="10" s="1"/>
  <c r="M125" i="10"/>
  <c r="H125" i="10" s="1"/>
  <c r="L125" i="10"/>
  <c r="G125" i="10" s="1"/>
  <c r="K125" i="10"/>
  <c r="F125" i="10" s="1"/>
  <c r="V124" i="10"/>
  <c r="U124" i="10"/>
  <c r="T124" i="10"/>
  <c r="S124" i="10"/>
  <c r="R124" i="10"/>
  <c r="Q124" i="10"/>
  <c r="N124" i="10"/>
  <c r="I124" i="10" s="1"/>
  <c r="M124" i="10"/>
  <c r="H124" i="10" s="1"/>
  <c r="L124" i="10"/>
  <c r="K124" i="10"/>
  <c r="F124" i="10" s="1"/>
  <c r="V123" i="10"/>
  <c r="U123" i="10"/>
  <c r="T123" i="10"/>
  <c r="S123" i="10"/>
  <c r="R123" i="10"/>
  <c r="Q123" i="10"/>
  <c r="N123" i="10"/>
  <c r="I123" i="10" s="1"/>
  <c r="M123" i="10"/>
  <c r="H123" i="10" s="1"/>
  <c r="L123" i="10"/>
  <c r="G123" i="10" s="1"/>
  <c r="K123" i="10"/>
  <c r="F123" i="10" s="1"/>
  <c r="V122" i="10"/>
  <c r="U122" i="10"/>
  <c r="T122" i="10"/>
  <c r="S122" i="10"/>
  <c r="R122" i="10"/>
  <c r="Q122" i="10"/>
  <c r="N122" i="10"/>
  <c r="M122" i="10"/>
  <c r="H122" i="10"/>
  <c r="L122" i="10"/>
  <c r="G122" i="10" s="1"/>
  <c r="K122" i="10"/>
  <c r="F122" i="10" s="1"/>
  <c r="V121" i="10"/>
  <c r="U121" i="10"/>
  <c r="T121" i="10"/>
  <c r="S121" i="10"/>
  <c r="R121" i="10"/>
  <c r="Q121" i="10"/>
  <c r="N121" i="10"/>
  <c r="I121" i="10" s="1"/>
  <c r="M121" i="10"/>
  <c r="H121" i="10" s="1"/>
  <c r="L121" i="10"/>
  <c r="G121" i="10" s="1"/>
  <c r="K121" i="10"/>
  <c r="F121" i="10" s="1"/>
  <c r="V120" i="10"/>
  <c r="U120" i="10"/>
  <c r="T120" i="10"/>
  <c r="S120" i="10"/>
  <c r="R120" i="10"/>
  <c r="Q120" i="10"/>
  <c r="N120" i="10"/>
  <c r="I120" i="10" s="1"/>
  <c r="M120" i="10"/>
  <c r="H120" i="10" s="1"/>
  <c r="L120" i="10"/>
  <c r="G120" i="10" s="1"/>
  <c r="K120" i="10"/>
  <c r="F120" i="10" s="1"/>
  <c r="V119" i="10"/>
  <c r="U119" i="10"/>
  <c r="T119" i="10"/>
  <c r="S119" i="10"/>
  <c r="R119" i="10"/>
  <c r="Q119" i="10"/>
  <c r="N119" i="10"/>
  <c r="I119" i="10" s="1"/>
  <c r="M119" i="10"/>
  <c r="H119" i="10" s="1"/>
  <c r="L119" i="10"/>
  <c r="G119" i="10" s="1"/>
  <c r="K119" i="10"/>
  <c r="F119" i="10" s="1"/>
  <c r="V118" i="10"/>
  <c r="U118" i="10"/>
  <c r="T118" i="10"/>
  <c r="S118" i="10"/>
  <c r="R118" i="10"/>
  <c r="Q118" i="10"/>
  <c r="N118" i="10"/>
  <c r="I118" i="10" s="1"/>
  <c r="M118" i="10"/>
  <c r="H118" i="10" s="1"/>
  <c r="L118" i="10"/>
  <c r="G118" i="10"/>
  <c r="K118" i="10"/>
  <c r="F118" i="10" s="1"/>
  <c r="V117" i="10"/>
  <c r="U117" i="10"/>
  <c r="T117" i="10"/>
  <c r="S117" i="10"/>
  <c r="R117" i="10"/>
  <c r="Q117" i="10"/>
  <c r="N117" i="10"/>
  <c r="I117" i="10" s="1"/>
  <c r="M117" i="10"/>
  <c r="H117" i="10" s="1"/>
  <c r="L117" i="10"/>
  <c r="G117" i="10" s="1"/>
  <c r="K117" i="10"/>
  <c r="F117" i="10" s="1"/>
  <c r="V116" i="10"/>
  <c r="U116" i="10"/>
  <c r="T116" i="10"/>
  <c r="S116" i="10"/>
  <c r="R116" i="10"/>
  <c r="Q116" i="10"/>
  <c r="N116" i="10"/>
  <c r="I116" i="10" s="1"/>
  <c r="M116" i="10"/>
  <c r="H116" i="10" s="1"/>
  <c r="L116" i="10"/>
  <c r="K116" i="10"/>
  <c r="F116" i="10" s="1"/>
  <c r="V115" i="10"/>
  <c r="U115" i="10"/>
  <c r="T115" i="10"/>
  <c r="S115" i="10"/>
  <c r="R115" i="10"/>
  <c r="Q115" i="10"/>
  <c r="N115" i="10"/>
  <c r="I115" i="10" s="1"/>
  <c r="M115" i="10"/>
  <c r="H115" i="10" s="1"/>
  <c r="L115" i="10"/>
  <c r="G115" i="10" s="1"/>
  <c r="K115" i="10"/>
  <c r="F115" i="10" s="1"/>
  <c r="V114" i="10"/>
  <c r="U114" i="10"/>
  <c r="T114" i="10"/>
  <c r="S114" i="10"/>
  <c r="R114" i="10"/>
  <c r="Q114" i="10"/>
  <c r="N114" i="10"/>
  <c r="I114" i="10" s="1"/>
  <c r="M114" i="10"/>
  <c r="H114" i="10" s="1"/>
  <c r="L114" i="10"/>
  <c r="G114" i="10" s="1"/>
  <c r="K114" i="10"/>
  <c r="F114" i="10" s="1"/>
  <c r="V113" i="10"/>
  <c r="U113" i="10"/>
  <c r="T113" i="10"/>
  <c r="S113" i="10"/>
  <c r="R113" i="10"/>
  <c r="Q113" i="10"/>
  <c r="N113" i="10"/>
  <c r="I113" i="10" s="1"/>
  <c r="M113" i="10"/>
  <c r="H113" i="10" s="1"/>
  <c r="L113" i="10"/>
  <c r="G113" i="10" s="1"/>
  <c r="K113" i="10"/>
  <c r="F113" i="10" s="1"/>
  <c r="V112" i="10"/>
  <c r="U112" i="10"/>
  <c r="T112" i="10"/>
  <c r="S112" i="10"/>
  <c r="R112" i="10"/>
  <c r="Q112" i="10"/>
  <c r="N112" i="10"/>
  <c r="I112" i="10" s="1"/>
  <c r="M112" i="10"/>
  <c r="H112" i="10" s="1"/>
  <c r="L112" i="10"/>
  <c r="G112" i="10" s="1"/>
  <c r="K112" i="10"/>
  <c r="F112" i="10" s="1"/>
  <c r="Y111" i="10"/>
  <c r="S111" i="10" s="1"/>
  <c r="V111" i="10"/>
  <c r="U111" i="10"/>
  <c r="T111" i="10"/>
  <c r="R111" i="10"/>
  <c r="Q111" i="10"/>
  <c r="N111" i="10"/>
  <c r="I111" i="10" s="1"/>
  <c r="L111" i="10"/>
  <c r="G111" i="10" s="1"/>
  <c r="K111" i="10"/>
  <c r="F111" i="10" s="1"/>
  <c r="V110" i="10"/>
  <c r="U110" i="10"/>
  <c r="T110" i="10"/>
  <c r="S110" i="10"/>
  <c r="R110" i="10"/>
  <c r="Q110" i="10"/>
  <c r="N110" i="10"/>
  <c r="I110" i="10" s="1"/>
  <c r="M110" i="10"/>
  <c r="H110" i="10" s="1"/>
  <c r="L110" i="10"/>
  <c r="G110" i="10" s="1"/>
  <c r="K110" i="10"/>
  <c r="F110" i="10" s="1"/>
  <c r="V109" i="10"/>
  <c r="U109" i="10"/>
  <c r="T109" i="10"/>
  <c r="S109" i="10"/>
  <c r="R109" i="10"/>
  <c r="Q109" i="10"/>
  <c r="N109" i="10"/>
  <c r="I109" i="10" s="1"/>
  <c r="M109" i="10"/>
  <c r="H109" i="10" s="1"/>
  <c r="L109" i="10"/>
  <c r="J109" i="10" s="1"/>
  <c r="K109" i="10"/>
  <c r="F109" i="10" s="1"/>
  <c r="V108" i="10"/>
  <c r="U108" i="10"/>
  <c r="T108" i="10"/>
  <c r="S108" i="10"/>
  <c r="R108" i="10"/>
  <c r="Q108" i="10"/>
  <c r="N108" i="10"/>
  <c r="I108" i="10" s="1"/>
  <c r="M108" i="10"/>
  <c r="H108" i="10" s="1"/>
  <c r="L108" i="10"/>
  <c r="G108" i="10" s="1"/>
  <c r="K108" i="10"/>
  <c r="F108" i="10" s="1"/>
  <c r="V107" i="10"/>
  <c r="U107" i="10"/>
  <c r="T107" i="10"/>
  <c r="R107" i="10"/>
  <c r="Q107" i="10"/>
  <c r="N107" i="10"/>
  <c r="I107" i="10" s="1"/>
  <c r="L107" i="10"/>
  <c r="G107" i="10" s="1"/>
  <c r="K107" i="10"/>
  <c r="F107" i="10" s="1"/>
  <c r="Z106" i="10"/>
  <c r="V106" i="10"/>
  <c r="U106" i="10"/>
  <c r="S106" i="10"/>
  <c r="R106" i="10"/>
  <c r="Q106" i="10"/>
  <c r="N106" i="10"/>
  <c r="I106" i="10" s="1"/>
  <c r="M106" i="10"/>
  <c r="H106" i="10" s="1"/>
  <c r="L106" i="10"/>
  <c r="G106" i="10" s="1"/>
  <c r="K106" i="10"/>
  <c r="F106" i="10" s="1"/>
  <c r="Z105" i="10"/>
  <c r="T105" i="10" s="1"/>
  <c r="Y105" i="10"/>
  <c r="M105" i="10" s="1"/>
  <c r="U105" i="10"/>
  <c r="N105" i="10"/>
  <c r="I105" i="10" s="1"/>
  <c r="L105" i="10"/>
  <c r="G105" i="10" s="1"/>
  <c r="V104" i="10"/>
  <c r="U104" i="10"/>
  <c r="T104" i="10"/>
  <c r="S104" i="10"/>
  <c r="R104" i="10"/>
  <c r="Q104" i="10"/>
  <c r="N104" i="10"/>
  <c r="I104" i="10" s="1"/>
  <c r="M104" i="10"/>
  <c r="H104" i="10" s="1"/>
  <c r="L104" i="10"/>
  <c r="G104" i="10" s="1"/>
  <c r="K104" i="10"/>
  <c r="F104" i="10" s="1"/>
  <c r="V103" i="10"/>
  <c r="U103" i="10"/>
  <c r="T103" i="10"/>
  <c r="S103" i="10"/>
  <c r="R103" i="10"/>
  <c r="Q103" i="10"/>
  <c r="N103" i="10"/>
  <c r="I103" i="10" s="1"/>
  <c r="M103" i="10"/>
  <c r="H103" i="10"/>
  <c r="L103" i="10"/>
  <c r="G103" i="10" s="1"/>
  <c r="K103" i="10"/>
  <c r="F103" i="10" s="1"/>
  <c r="V102" i="10"/>
  <c r="U102" i="10"/>
  <c r="T102" i="10"/>
  <c r="S102" i="10"/>
  <c r="R102" i="10"/>
  <c r="Q102" i="10"/>
  <c r="N102" i="10"/>
  <c r="I102" i="10" s="1"/>
  <c r="M102" i="10"/>
  <c r="H102" i="10" s="1"/>
  <c r="L102" i="10"/>
  <c r="K102" i="10"/>
  <c r="F102" i="10" s="1"/>
  <c r="V101" i="10"/>
  <c r="U101" i="10"/>
  <c r="T101" i="10"/>
  <c r="S101" i="10"/>
  <c r="R101" i="10"/>
  <c r="Q101" i="10"/>
  <c r="N101" i="10"/>
  <c r="I101" i="10" s="1"/>
  <c r="M101" i="10"/>
  <c r="H101" i="10" s="1"/>
  <c r="L101" i="10"/>
  <c r="K101" i="10"/>
  <c r="F101" i="10" s="1"/>
  <c r="V100" i="10"/>
  <c r="U100" i="10"/>
  <c r="T100" i="10"/>
  <c r="S100" i="10"/>
  <c r="R100" i="10"/>
  <c r="Q100" i="10"/>
  <c r="N100" i="10"/>
  <c r="M100" i="10"/>
  <c r="H100" i="10" s="1"/>
  <c r="L100" i="10"/>
  <c r="G100" i="10" s="1"/>
  <c r="K100" i="10"/>
  <c r="F100" i="10" s="1"/>
  <c r="V99" i="10"/>
  <c r="U99" i="10"/>
  <c r="T99" i="10"/>
  <c r="S99" i="10"/>
  <c r="R99" i="10"/>
  <c r="Q99" i="10"/>
  <c r="N99" i="10"/>
  <c r="M99" i="10"/>
  <c r="H99" i="10" s="1"/>
  <c r="L99" i="10"/>
  <c r="K99" i="10"/>
  <c r="F99" i="10" s="1"/>
  <c r="Z98" i="10"/>
  <c r="T98" i="10" s="1"/>
  <c r="Y98" i="10"/>
  <c r="S98" i="10" s="1"/>
  <c r="V98" i="10"/>
  <c r="U98" i="10"/>
  <c r="R98" i="10"/>
  <c r="Q98" i="10"/>
  <c r="M98" i="10"/>
  <c r="J98" i="10" s="1"/>
  <c r="K98" i="10"/>
  <c r="F98" i="10" s="1"/>
  <c r="I98" i="10"/>
  <c r="G98" i="10"/>
  <c r="V97" i="10"/>
  <c r="U97" i="10"/>
  <c r="T97" i="10"/>
  <c r="S97" i="10"/>
  <c r="R97" i="10"/>
  <c r="Q97" i="10"/>
  <c r="N97" i="10"/>
  <c r="I97" i="10" s="1"/>
  <c r="M97" i="10"/>
  <c r="H97" i="10" s="1"/>
  <c r="L97" i="10"/>
  <c r="G97" i="10" s="1"/>
  <c r="K97" i="10"/>
  <c r="F97" i="10" s="1"/>
  <c r="V96" i="10"/>
  <c r="U96" i="10"/>
  <c r="T96" i="10"/>
  <c r="S96" i="10"/>
  <c r="R96" i="10"/>
  <c r="Q96" i="10"/>
  <c r="N96" i="10"/>
  <c r="I96" i="10" s="1"/>
  <c r="M96" i="10"/>
  <c r="H96" i="10" s="1"/>
  <c r="L96" i="10"/>
  <c r="G96" i="10" s="1"/>
  <c r="K96" i="10"/>
  <c r="F96" i="10" s="1"/>
  <c r="Z95" i="10"/>
  <c r="T95" i="10" s="1"/>
  <c r="Y95" i="10"/>
  <c r="M95" i="10" s="1"/>
  <c r="H95" i="10" s="1"/>
  <c r="V95" i="10"/>
  <c r="U95" i="10"/>
  <c r="R95" i="10"/>
  <c r="Q95" i="10"/>
  <c r="N95" i="10"/>
  <c r="L95" i="10"/>
  <c r="G95" i="10" s="1"/>
  <c r="K95" i="10"/>
  <c r="F95" i="10" s="1"/>
  <c r="Z94" i="10"/>
  <c r="T94" i="10" s="1"/>
  <c r="V94" i="10"/>
  <c r="U94" i="10"/>
  <c r="S94" i="10"/>
  <c r="R94" i="10"/>
  <c r="Q94" i="10"/>
  <c r="N94" i="10"/>
  <c r="I94" i="10" s="1"/>
  <c r="M94" i="10"/>
  <c r="H94" i="10" s="1"/>
  <c r="L94" i="10"/>
  <c r="G94" i="10" s="1"/>
  <c r="K94" i="10"/>
  <c r="F94" i="10" s="1"/>
  <c r="V93" i="10"/>
  <c r="U93" i="10"/>
  <c r="T93" i="10"/>
  <c r="S93" i="10"/>
  <c r="Q93" i="10"/>
  <c r="I93" i="10"/>
  <c r="H93" i="10"/>
  <c r="F93" i="10"/>
  <c r="V92" i="10"/>
  <c r="U92" i="10"/>
  <c r="T92" i="10"/>
  <c r="S92" i="10"/>
  <c r="Q92" i="10"/>
  <c r="I92" i="10"/>
  <c r="H92" i="10"/>
  <c r="F92" i="10"/>
  <c r="V91" i="10"/>
  <c r="U91" i="10"/>
  <c r="T91" i="10"/>
  <c r="S91" i="10"/>
  <c r="Q91" i="10"/>
  <c r="N91" i="10"/>
  <c r="I91" i="10" s="1"/>
  <c r="M91" i="10"/>
  <c r="H91" i="10" s="1"/>
  <c r="K91" i="10"/>
  <c r="F91" i="10" s="1"/>
  <c r="V90" i="10"/>
  <c r="U90" i="10"/>
  <c r="T90" i="10"/>
  <c r="S90" i="10"/>
  <c r="Q90" i="10"/>
  <c r="N90" i="10"/>
  <c r="I90" i="10" s="1"/>
  <c r="M90" i="10"/>
  <c r="H90" i="10" s="1"/>
  <c r="K90" i="10"/>
  <c r="F90" i="10" s="1"/>
  <c r="V89" i="10"/>
  <c r="U89" i="10"/>
  <c r="T89" i="10"/>
  <c r="S89" i="10"/>
  <c r="Q89" i="10"/>
  <c r="K89" i="10"/>
  <c r="F89" i="10" s="1"/>
  <c r="I89" i="10"/>
  <c r="H89" i="10"/>
  <c r="U87" i="10"/>
  <c r="T87" i="10"/>
  <c r="S87" i="10"/>
  <c r="N87" i="10"/>
  <c r="I87" i="10" s="1"/>
  <c r="M87" i="10"/>
  <c r="H87" i="10" s="1"/>
  <c r="V86" i="10"/>
  <c r="U86" i="10"/>
  <c r="T86" i="10"/>
  <c r="S86" i="10"/>
  <c r="Q86" i="10"/>
  <c r="K86" i="10"/>
  <c r="F86" i="10" s="1"/>
  <c r="I86" i="10"/>
  <c r="H86" i="10"/>
  <c r="V85" i="10"/>
  <c r="U85" i="10"/>
  <c r="T85" i="10"/>
  <c r="S85" i="10"/>
  <c r="Q85" i="10"/>
  <c r="K85" i="10"/>
  <c r="F85" i="10" s="1"/>
  <c r="I85" i="10"/>
  <c r="H85" i="10"/>
  <c r="V84" i="10"/>
  <c r="U84" i="10"/>
  <c r="T84" i="10"/>
  <c r="S84" i="10"/>
  <c r="Q84" i="10"/>
  <c r="K84" i="10"/>
  <c r="F84" i="10" s="1"/>
  <c r="I84" i="10"/>
  <c r="H84" i="10"/>
  <c r="V83" i="10"/>
  <c r="U83" i="10"/>
  <c r="T83" i="10"/>
  <c r="S83" i="10"/>
  <c r="Q83" i="10"/>
  <c r="K83" i="10"/>
  <c r="F83" i="10" s="1"/>
  <c r="I83" i="10"/>
  <c r="H83" i="10"/>
  <c r="V82" i="10"/>
  <c r="U82" i="10"/>
  <c r="T82" i="10"/>
  <c r="S82" i="10"/>
  <c r="Q82" i="10"/>
  <c r="K82" i="10"/>
  <c r="F82" i="10" s="1"/>
  <c r="I82" i="10"/>
  <c r="H82" i="10"/>
  <c r="V81" i="10"/>
  <c r="U81" i="10"/>
  <c r="T81" i="10"/>
  <c r="S81" i="10"/>
  <c r="Q81" i="10"/>
  <c r="K81" i="10"/>
  <c r="F81" i="10" s="1"/>
  <c r="I81" i="10"/>
  <c r="H81" i="10"/>
  <c r="X80" i="10"/>
  <c r="R80" i="10" s="1"/>
  <c r="V80" i="10"/>
  <c r="U80" i="10"/>
  <c r="T80" i="10"/>
  <c r="S80" i="10"/>
  <c r="Q80" i="10"/>
  <c r="K80" i="10"/>
  <c r="F80" i="10" s="1"/>
  <c r="I80" i="10"/>
  <c r="H80" i="10"/>
  <c r="V78" i="10"/>
  <c r="U78" i="10"/>
  <c r="T78" i="10"/>
  <c r="S78" i="10"/>
  <c r="R78" i="10"/>
  <c r="Q78" i="10"/>
  <c r="N78" i="10"/>
  <c r="I78" i="10" s="1"/>
  <c r="M78" i="10"/>
  <c r="H78" i="10" s="1"/>
  <c r="L78" i="10"/>
  <c r="G78" i="10" s="1"/>
  <c r="K78" i="10"/>
  <c r="F78" i="10" s="1"/>
  <c r="V77" i="10"/>
  <c r="U77" i="10"/>
  <c r="T77" i="10"/>
  <c r="S77" i="10"/>
  <c r="R77" i="10"/>
  <c r="Q77" i="10"/>
  <c r="N77" i="10"/>
  <c r="I77" i="10" s="1"/>
  <c r="M77" i="10"/>
  <c r="H77" i="10" s="1"/>
  <c r="L77" i="10"/>
  <c r="G77" i="10" s="1"/>
  <c r="K77" i="10"/>
  <c r="F77" i="10" s="1"/>
  <c r="V76" i="10"/>
  <c r="U76" i="10"/>
  <c r="T76" i="10"/>
  <c r="S76" i="10"/>
  <c r="R76" i="10"/>
  <c r="Q76" i="10"/>
  <c r="I76" i="10"/>
  <c r="H76" i="10"/>
  <c r="G76" i="10"/>
  <c r="V75" i="10"/>
  <c r="U75" i="10"/>
  <c r="T75" i="10"/>
  <c r="S75" i="10"/>
  <c r="R75" i="10"/>
  <c r="Q75" i="10"/>
  <c r="N75" i="10"/>
  <c r="I75" i="10" s="1"/>
  <c r="K75" i="10"/>
  <c r="F75" i="10" s="1"/>
  <c r="H75" i="10"/>
  <c r="G75" i="10"/>
  <c r="V74" i="10"/>
  <c r="U74" i="10"/>
  <c r="T74" i="10"/>
  <c r="S74" i="10"/>
  <c r="R74" i="10"/>
  <c r="Q74" i="10"/>
  <c r="N74" i="10"/>
  <c r="J74" i="10" s="1"/>
  <c r="K74" i="10"/>
  <c r="F74" i="10"/>
  <c r="H74" i="10"/>
  <c r="G74" i="10"/>
  <c r="V73" i="10"/>
  <c r="U73" i="10"/>
  <c r="T73" i="10"/>
  <c r="S73" i="10"/>
  <c r="R73" i="10"/>
  <c r="Q73" i="10"/>
  <c r="N73" i="10"/>
  <c r="I73" i="10" s="1"/>
  <c r="M73" i="10"/>
  <c r="H73" i="10" s="1"/>
  <c r="L73" i="10"/>
  <c r="G73" i="10" s="1"/>
  <c r="K73" i="10"/>
  <c r="F73" i="10" s="1"/>
  <c r="V72" i="10"/>
  <c r="U72" i="10"/>
  <c r="T72" i="10"/>
  <c r="S72" i="10"/>
  <c r="R72" i="10"/>
  <c r="Q72" i="10"/>
  <c r="N72" i="10"/>
  <c r="I72" i="10" s="1"/>
  <c r="M72" i="10"/>
  <c r="H72" i="10" s="1"/>
  <c r="L72" i="10"/>
  <c r="G72" i="10" s="1"/>
  <c r="K72" i="10"/>
  <c r="F72" i="10" s="1"/>
  <c r="V71" i="10"/>
  <c r="U71" i="10"/>
  <c r="T71" i="10"/>
  <c r="S71" i="10"/>
  <c r="R71" i="10"/>
  <c r="Q71" i="10"/>
  <c r="N71" i="10"/>
  <c r="I71" i="10" s="1"/>
  <c r="M71" i="10"/>
  <c r="H71" i="10" s="1"/>
  <c r="L71" i="10"/>
  <c r="G71" i="10" s="1"/>
  <c r="K71" i="10"/>
  <c r="F71" i="10" s="1"/>
  <c r="V70" i="10"/>
  <c r="U70" i="10"/>
  <c r="T70" i="10"/>
  <c r="S70" i="10"/>
  <c r="R70" i="10"/>
  <c r="Q70" i="10"/>
  <c r="N70" i="10"/>
  <c r="I70" i="10" s="1"/>
  <c r="M70" i="10"/>
  <c r="H70" i="10" s="1"/>
  <c r="L70" i="10"/>
  <c r="G70" i="10" s="1"/>
  <c r="K70" i="10"/>
  <c r="F70" i="10" s="1"/>
  <c r="V69" i="10"/>
  <c r="U69" i="10"/>
  <c r="T69" i="10"/>
  <c r="S69" i="10"/>
  <c r="R69" i="10"/>
  <c r="Q69" i="10"/>
  <c r="N69" i="10"/>
  <c r="I69" i="10" s="1"/>
  <c r="M69" i="10"/>
  <c r="H69" i="10" s="1"/>
  <c r="L69" i="10"/>
  <c r="G69" i="10" s="1"/>
  <c r="K69" i="10"/>
  <c r="F69" i="10" s="1"/>
  <c r="AB68" i="10"/>
  <c r="V67" i="10"/>
  <c r="U67" i="10"/>
  <c r="T67" i="10"/>
  <c r="S67" i="10"/>
  <c r="R67" i="10"/>
  <c r="Q67" i="10"/>
  <c r="N67" i="10"/>
  <c r="I67" i="10" s="1"/>
  <c r="M67" i="10"/>
  <c r="H67" i="10" s="1"/>
  <c r="L67" i="10"/>
  <c r="L57" i="10" s="1"/>
  <c r="F67" i="10"/>
  <c r="Y66" i="10"/>
  <c r="S66" i="10" s="1"/>
  <c r="X66" i="10"/>
  <c r="R66" i="10" s="1"/>
  <c r="V66" i="10"/>
  <c r="U66" i="10"/>
  <c r="T66" i="10"/>
  <c r="Q66" i="10"/>
  <c r="N66" i="10"/>
  <c r="I66" i="10" s="1"/>
  <c r="K66" i="10"/>
  <c r="F66" i="10" s="1"/>
  <c r="H66" i="10"/>
  <c r="G66" i="10"/>
  <c r="Y65" i="10"/>
  <c r="S65" i="10" s="1"/>
  <c r="X65" i="10"/>
  <c r="R65" i="10" s="1"/>
  <c r="V65" i="10"/>
  <c r="U65" i="10"/>
  <c r="T65" i="10"/>
  <c r="Q65" i="10"/>
  <c r="K65" i="10"/>
  <c r="F65" i="10" s="1"/>
  <c r="J65" i="10"/>
  <c r="I65" i="10"/>
  <c r="H65" i="10"/>
  <c r="G65" i="10"/>
  <c r="Y64" i="10"/>
  <c r="S64" i="10" s="1"/>
  <c r="X64" i="10"/>
  <c r="R64" i="10" s="1"/>
  <c r="V64" i="10"/>
  <c r="U64" i="10"/>
  <c r="T64" i="10"/>
  <c r="Q64" i="10"/>
  <c r="K64" i="10"/>
  <c r="F64" i="10" s="1"/>
  <c r="J64" i="10"/>
  <c r="I64" i="10"/>
  <c r="H64" i="10"/>
  <c r="G64" i="10"/>
  <c r="V63" i="10"/>
  <c r="U63" i="10"/>
  <c r="T63" i="10"/>
  <c r="S63" i="10"/>
  <c r="R63" i="10"/>
  <c r="Q63" i="10"/>
  <c r="J63" i="10"/>
  <c r="I63" i="10"/>
  <c r="H63" i="10"/>
  <c r="G63" i="10"/>
  <c r="F63" i="10"/>
  <c r="AA62" i="10"/>
  <c r="U62" i="10" s="1"/>
  <c r="Y62" i="10"/>
  <c r="S62" i="10" s="1"/>
  <c r="V62" i="10"/>
  <c r="T62" i="10"/>
  <c r="R62" i="10"/>
  <c r="Q62" i="10"/>
  <c r="J62" i="10"/>
  <c r="I62" i="10"/>
  <c r="H62" i="10"/>
  <c r="G62" i="10"/>
  <c r="V61" i="10"/>
  <c r="U61" i="10"/>
  <c r="T61" i="10"/>
  <c r="S61" i="10"/>
  <c r="R61" i="10"/>
  <c r="Q61" i="10"/>
  <c r="J61" i="10"/>
  <c r="I61" i="10"/>
  <c r="H61" i="10"/>
  <c r="G61" i="10"/>
  <c r="F61" i="10"/>
  <c r="X60" i="10"/>
  <c r="R60" i="10" s="1"/>
  <c r="V60" i="10"/>
  <c r="U60" i="10"/>
  <c r="T60" i="10"/>
  <c r="Q60" i="10"/>
  <c r="M60" i="10"/>
  <c r="J60" i="10" s="1"/>
  <c r="I60" i="10"/>
  <c r="G60" i="10"/>
  <c r="F60" i="10"/>
  <c r="Y59" i="10"/>
  <c r="S59" i="10" s="1"/>
  <c r="X59" i="10"/>
  <c r="R59" i="10" s="1"/>
  <c r="V59" i="10"/>
  <c r="U59" i="10"/>
  <c r="T59" i="10"/>
  <c r="Q59" i="10"/>
  <c r="J59" i="10"/>
  <c r="I59" i="10"/>
  <c r="H59" i="10"/>
  <c r="G59" i="10"/>
  <c r="F59" i="10"/>
  <c r="Y58" i="10"/>
  <c r="S58" i="10" s="1"/>
  <c r="X58" i="10"/>
  <c r="R58" i="10" s="1"/>
  <c r="V58" i="10"/>
  <c r="U58" i="10"/>
  <c r="T58" i="10"/>
  <c r="Q58" i="10"/>
  <c r="J58" i="10"/>
  <c r="I58" i="10"/>
  <c r="H58" i="10"/>
  <c r="G58" i="10"/>
  <c r="F58" i="10"/>
  <c r="AB57" i="10"/>
  <c r="Z57" i="10"/>
  <c r="W57" i="10"/>
  <c r="V56" i="10"/>
  <c r="U56" i="10"/>
  <c r="T56" i="10"/>
  <c r="S56" i="10"/>
  <c r="R56" i="10"/>
  <c r="Q56" i="10"/>
  <c r="N56" i="10"/>
  <c r="I56" i="10" s="1"/>
  <c r="M56" i="10"/>
  <c r="H56" i="10" s="1"/>
  <c r="L56" i="10"/>
  <c r="J56" i="10" s="1"/>
  <c r="K56" i="10"/>
  <c r="F56" i="10" s="1"/>
  <c r="V55" i="10"/>
  <c r="U55" i="10"/>
  <c r="T55" i="10"/>
  <c r="S55" i="10"/>
  <c r="R55" i="10"/>
  <c r="Q55" i="10"/>
  <c r="N55" i="10"/>
  <c r="I55" i="10" s="1"/>
  <c r="M55" i="10"/>
  <c r="H55" i="10" s="1"/>
  <c r="L55" i="10"/>
  <c r="G55" i="10" s="1"/>
  <c r="K55" i="10"/>
  <c r="F55" i="10" s="1"/>
  <c r="V53" i="10"/>
  <c r="U53" i="10"/>
  <c r="T53" i="10"/>
  <c r="S53" i="10"/>
  <c r="R53" i="10"/>
  <c r="Q53" i="10"/>
  <c r="N53" i="10"/>
  <c r="I53" i="10" s="1"/>
  <c r="M53" i="10"/>
  <c r="H53" i="10"/>
  <c r="L53" i="10"/>
  <c r="G53" i="10" s="1"/>
  <c r="K53" i="10"/>
  <c r="F53" i="10" s="1"/>
  <c r="V52" i="10"/>
  <c r="U52" i="10"/>
  <c r="T52" i="10"/>
  <c r="S52" i="10"/>
  <c r="R52" i="10"/>
  <c r="Q52" i="10"/>
  <c r="N52" i="10"/>
  <c r="I52" i="10" s="1"/>
  <c r="M52" i="10"/>
  <c r="H52" i="10"/>
  <c r="L52" i="10"/>
  <c r="J52" i="10" s="1"/>
  <c r="K52" i="10"/>
  <c r="F52" i="10"/>
  <c r="T51" i="10"/>
  <c r="R51" i="10"/>
  <c r="N51" i="10"/>
  <c r="I51" i="10" s="1"/>
  <c r="G51" i="10"/>
  <c r="W50" i="10"/>
  <c r="Q50" i="10" s="1"/>
  <c r="T50" i="10"/>
  <c r="R50" i="10"/>
  <c r="N50" i="10"/>
  <c r="I50" i="10" s="1"/>
  <c r="G50" i="10"/>
  <c r="F50" i="10"/>
  <c r="X49" i="10"/>
  <c r="R49" i="10" s="1"/>
  <c r="V49" i="10"/>
  <c r="U49" i="10"/>
  <c r="T49" i="10"/>
  <c r="S49" i="10"/>
  <c r="Q49" i="10"/>
  <c r="N49" i="10"/>
  <c r="I49" i="10" s="1"/>
  <c r="M49" i="10"/>
  <c r="H49" i="10" s="1"/>
  <c r="K49" i="10"/>
  <c r="F49" i="10" s="1"/>
  <c r="V48" i="10"/>
  <c r="U48" i="10"/>
  <c r="T48" i="10"/>
  <c r="S48" i="10"/>
  <c r="R48" i="10"/>
  <c r="Q48" i="10"/>
  <c r="N48" i="10"/>
  <c r="I48" i="10" s="1"/>
  <c r="M48" i="10"/>
  <c r="H48" i="10" s="1"/>
  <c r="L48" i="10"/>
  <c r="G48" i="10" s="1"/>
  <c r="K48" i="10"/>
  <c r="F48" i="10"/>
  <c r="X47" i="10"/>
  <c r="V47" i="10"/>
  <c r="U47" i="10"/>
  <c r="T47" i="10"/>
  <c r="S47" i="10"/>
  <c r="Q47" i="10"/>
  <c r="N47" i="10"/>
  <c r="I47" i="10" s="1"/>
  <c r="M47" i="10"/>
  <c r="H47" i="10"/>
  <c r="K47" i="10"/>
  <c r="F47" i="10" s="1"/>
  <c r="Y45" i="10"/>
  <c r="M45" i="10" s="1"/>
  <c r="H45" i="10" s="1"/>
  <c r="X45" i="10"/>
  <c r="V45" i="10"/>
  <c r="U45" i="10"/>
  <c r="T45" i="10"/>
  <c r="Q45" i="10"/>
  <c r="N45" i="10"/>
  <c r="I45" i="10" s="1"/>
  <c r="K45" i="10"/>
  <c r="F45" i="10" s="1"/>
  <c r="Z44" i="10"/>
  <c r="T44" i="10" s="1"/>
  <c r="Y44" i="10"/>
  <c r="M44" i="10" s="1"/>
  <c r="W44" i="10"/>
  <c r="V44" i="10"/>
  <c r="U44" i="10"/>
  <c r="R44" i="10"/>
  <c r="N44" i="10"/>
  <c r="I44" i="10" s="1"/>
  <c r="L44" i="10"/>
  <c r="G44" i="10" s="1"/>
  <c r="V43" i="10"/>
  <c r="U43" i="10"/>
  <c r="T43" i="10"/>
  <c r="S43" i="10"/>
  <c r="R43" i="10"/>
  <c r="Q43" i="10"/>
  <c r="N43" i="10"/>
  <c r="I43" i="10" s="1"/>
  <c r="M43" i="10"/>
  <c r="H43" i="10" s="1"/>
  <c r="L43" i="10"/>
  <c r="G43" i="10" s="1"/>
  <c r="K43" i="10"/>
  <c r="F43" i="10" s="1"/>
  <c r="V42" i="10"/>
  <c r="U42" i="10"/>
  <c r="T42" i="10"/>
  <c r="S42" i="10"/>
  <c r="R42" i="10"/>
  <c r="Q42" i="10"/>
  <c r="N42" i="10"/>
  <c r="I42" i="10" s="1"/>
  <c r="M42" i="10"/>
  <c r="H42" i="10" s="1"/>
  <c r="L42" i="10"/>
  <c r="G42" i="10" s="1"/>
  <c r="K42" i="10"/>
  <c r="F42" i="10" s="1"/>
  <c r="Y39" i="10"/>
  <c r="S39" i="10" s="1"/>
  <c r="V39" i="10"/>
  <c r="U39" i="10"/>
  <c r="T39" i="10"/>
  <c r="R39" i="10"/>
  <c r="Q39" i="10"/>
  <c r="N39" i="10"/>
  <c r="I39" i="10" s="1"/>
  <c r="L39" i="10"/>
  <c r="G39" i="10" s="1"/>
  <c r="K39" i="10"/>
  <c r="F39" i="10" s="1"/>
  <c r="V38" i="10"/>
  <c r="U38" i="10"/>
  <c r="T38" i="10"/>
  <c r="S38" i="10"/>
  <c r="R38" i="10"/>
  <c r="Q38" i="10"/>
  <c r="N38" i="10"/>
  <c r="I38" i="10" s="1"/>
  <c r="M38" i="10"/>
  <c r="H38" i="10" s="1"/>
  <c r="L38" i="10"/>
  <c r="K38" i="10"/>
  <c r="F38" i="10" s="1"/>
  <c r="V37" i="10"/>
  <c r="U37" i="10"/>
  <c r="T37" i="10"/>
  <c r="S37" i="10"/>
  <c r="R37" i="10"/>
  <c r="Q37" i="10"/>
  <c r="N37" i="10"/>
  <c r="I37" i="10" s="1"/>
  <c r="M37" i="10"/>
  <c r="H37" i="10" s="1"/>
  <c r="L37" i="10"/>
  <c r="G37" i="10" s="1"/>
  <c r="K37" i="10"/>
  <c r="F37" i="10" s="1"/>
  <c r="Z36" i="10"/>
  <c r="T36" i="10" s="1"/>
  <c r="Y36" i="10"/>
  <c r="S36" i="10" s="1"/>
  <c r="W36" i="10"/>
  <c r="K36" i="10" s="1"/>
  <c r="F36" i="10" s="1"/>
  <c r="V36" i="10"/>
  <c r="U36" i="10"/>
  <c r="R36" i="10"/>
  <c r="N36" i="10"/>
  <c r="I36" i="10" s="1"/>
  <c r="L36" i="10"/>
  <c r="G36" i="10" s="1"/>
  <c r="V30" i="10"/>
  <c r="U30" i="10"/>
  <c r="T30" i="10"/>
  <c r="S30" i="10"/>
  <c r="R30" i="10"/>
  <c r="Q30" i="10"/>
  <c r="N30" i="10"/>
  <c r="I30" i="10" s="1"/>
  <c r="M30" i="10"/>
  <c r="H30" i="10" s="1"/>
  <c r="L30" i="10"/>
  <c r="G30" i="10" s="1"/>
  <c r="K30" i="10"/>
  <c r="F30" i="10" s="1"/>
  <c r="V28" i="10"/>
  <c r="U28" i="10"/>
  <c r="T28" i="10"/>
  <c r="S28" i="10"/>
  <c r="R28" i="10"/>
  <c r="Q28" i="10"/>
  <c r="N28" i="10"/>
  <c r="I28" i="10" s="1"/>
  <c r="M28" i="10"/>
  <c r="H28" i="10" s="1"/>
  <c r="L28" i="10"/>
  <c r="K28" i="10"/>
  <c r="F28" i="10" s="1"/>
  <c r="M27" i="10"/>
  <c r="H27" i="10"/>
  <c r="V27" i="10"/>
  <c r="U27" i="10"/>
  <c r="T27" i="10"/>
  <c r="S27" i="10"/>
  <c r="R27" i="10"/>
  <c r="Q27" i="10"/>
  <c r="N27" i="10"/>
  <c r="I27" i="10"/>
  <c r="L27" i="10"/>
  <c r="G27" i="10" s="1"/>
  <c r="K27" i="10"/>
  <c r="F27" i="10" s="1"/>
  <c r="V26" i="10"/>
  <c r="U26" i="10"/>
  <c r="T26" i="10"/>
  <c r="S26" i="10"/>
  <c r="R26" i="10"/>
  <c r="Q26" i="10"/>
  <c r="N26" i="10"/>
  <c r="I26" i="10" s="1"/>
  <c r="M26" i="10"/>
  <c r="L26" i="10"/>
  <c r="G26" i="10" s="1"/>
  <c r="K26" i="10"/>
  <c r="F26" i="10" s="1"/>
  <c r="Z24" i="10"/>
  <c r="T24" i="10" s="1"/>
  <c r="Y24" i="10"/>
  <c r="M24" i="10" s="1"/>
  <c r="H24" i="10" s="1"/>
  <c r="X24" i="10"/>
  <c r="R24" i="10" s="1"/>
  <c r="V24" i="10"/>
  <c r="U24" i="10"/>
  <c r="Q24" i="10"/>
  <c r="N24" i="10"/>
  <c r="I24" i="10" s="1"/>
  <c r="K24" i="10"/>
  <c r="F24" i="10" s="1"/>
  <c r="AB23" i="10"/>
  <c r="AA23" i="10"/>
  <c r="V22" i="10"/>
  <c r="U22" i="10"/>
  <c r="T22" i="10"/>
  <c r="S22" i="10"/>
  <c r="Q22" i="10"/>
  <c r="J22" i="10"/>
  <c r="I22" i="10"/>
  <c r="H22" i="10"/>
  <c r="G22" i="10"/>
  <c r="F22" i="10"/>
  <c r="V21" i="10"/>
  <c r="U21" i="10"/>
  <c r="T21" i="10"/>
  <c r="S21" i="10"/>
  <c r="R21" i="10"/>
  <c r="Q21" i="10"/>
  <c r="J21" i="10"/>
  <c r="I21" i="10"/>
  <c r="H21" i="10"/>
  <c r="G21" i="10"/>
  <c r="F21" i="10"/>
  <c r="V20" i="10"/>
  <c r="U20" i="10"/>
  <c r="T20" i="10"/>
  <c r="S20" i="10"/>
  <c r="R20" i="10"/>
  <c r="Q20" i="10"/>
  <c r="J20" i="10"/>
  <c r="I20" i="10"/>
  <c r="H20" i="10"/>
  <c r="G20" i="10"/>
  <c r="F20" i="10"/>
  <c r="AB19" i="10"/>
  <c r="V19" i="10" s="1"/>
  <c r="AA19" i="10"/>
  <c r="U19" i="10" s="1"/>
  <c r="Z19" i="10"/>
  <c r="T19" i="10" s="1"/>
  <c r="Y19" i="10"/>
  <c r="S19" i="10" s="1"/>
  <c r="R19" i="10"/>
  <c r="Q19" i="10"/>
  <c r="V18" i="10"/>
  <c r="U18" i="10"/>
  <c r="T18" i="10"/>
  <c r="S18" i="10"/>
  <c r="R18" i="10"/>
  <c r="Q18" i="10"/>
  <c r="Z17" i="10"/>
  <c r="T17" i="10" s="1"/>
  <c r="Y17" i="10"/>
  <c r="S17" i="10" s="1"/>
  <c r="V17" i="10"/>
  <c r="U17" i="10"/>
  <c r="R17" i="10"/>
  <c r="Q17" i="10"/>
  <c r="AB16" i="10"/>
  <c r="V16" i="10" s="1"/>
  <c r="AA16" i="10"/>
  <c r="U16" i="10" s="1"/>
  <c r="Z16" i="10"/>
  <c r="T16" i="10" s="1"/>
  <c r="Y16" i="10"/>
  <c r="S16" i="10"/>
  <c r="R16" i="10"/>
  <c r="Q16" i="10"/>
  <c r="AB15" i="10"/>
  <c r="AA15" i="10"/>
  <c r="U15" i="10" s="1"/>
  <c r="Z15" i="10"/>
  <c r="T15" i="10" s="1"/>
  <c r="Y15" i="10"/>
  <c r="S15" i="10" s="1"/>
  <c r="R15" i="10"/>
  <c r="Q15" i="10"/>
  <c r="J15" i="10"/>
  <c r="I15" i="10"/>
  <c r="H15" i="10"/>
  <c r="G15" i="10"/>
  <c r="F15" i="10"/>
  <c r="AB14" i="10"/>
  <c r="V14" i="10" s="1"/>
  <c r="AA14" i="10"/>
  <c r="U14" i="10" s="1"/>
  <c r="Z14" i="10"/>
  <c r="T14" i="10" s="1"/>
  <c r="Y14" i="10"/>
  <c r="S14" i="10"/>
  <c r="X14" i="10"/>
  <c r="R14" i="10" s="1"/>
  <c r="W14" i="10"/>
  <c r="Q14" i="10" s="1"/>
  <c r="AB13" i="10"/>
  <c r="V13" i="10" s="1"/>
  <c r="AA13" i="10"/>
  <c r="U13" i="10" s="1"/>
  <c r="Z13" i="10"/>
  <c r="T13" i="10" s="1"/>
  <c r="Y13" i="10"/>
  <c r="X13" i="10"/>
  <c r="R13" i="10" s="1"/>
  <c r="W13" i="10"/>
  <c r="Q13" i="10" s="1"/>
  <c r="AB12" i="10"/>
  <c r="AA12" i="10"/>
  <c r="U12" i="10" s="1"/>
  <c r="Z12" i="10"/>
  <c r="T12" i="10" s="1"/>
  <c r="Y12" i="10"/>
  <c r="S12" i="10" s="1"/>
  <c r="X12" i="10"/>
  <c r="R12" i="10" s="1"/>
  <c r="W12" i="10"/>
  <c r="Q12" i="10" s="1"/>
  <c r="AB11" i="10"/>
  <c r="V11" i="10" s="1"/>
  <c r="AA11" i="10"/>
  <c r="U11" i="10" s="1"/>
  <c r="Z11" i="10"/>
  <c r="T11" i="10" s="1"/>
  <c r="Y11" i="10"/>
  <c r="S11" i="10" s="1"/>
  <c r="X11" i="10"/>
  <c r="R11" i="10" s="1"/>
  <c r="W11" i="10"/>
  <c r="AB10" i="10"/>
  <c r="V10" i="10" s="1"/>
  <c r="AA10" i="10"/>
  <c r="U10" i="10" s="1"/>
  <c r="Z10" i="10"/>
  <c r="T10" i="10" s="1"/>
  <c r="Y10" i="10"/>
  <c r="S10" i="10" s="1"/>
  <c r="X10" i="10"/>
  <c r="R10" i="10"/>
  <c r="W10" i="10"/>
  <c r="Q10" i="10" s="1"/>
  <c r="J10" i="10"/>
  <c r="I10" i="10"/>
  <c r="H10" i="10"/>
  <c r="G10" i="10"/>
  <c r="F10" i="10"/>
  <c r="N9" i="10"/>
  <c r="M9" i="10"/>
  <c r="L9" i="10"/>
  <c r="K9" i="10"/>
  <c r="U230" i="10"/>
  <c r="M107" i="10"/>
  <c r="H107" i="10"/>
  <c r="L49" i="10"/>
  <c r="G49" i="10" s="1"/>
  <c r="H98" i="10"/>
  <c r="M157" i="10"/>
  <c r="H157" i="10" s="1"/>
  <c r="Z235" i="10"/>
  <c r="AC57" i="10"/>
  <c r="AA68" i="10"/>
  <c r="J149" i="10"/>
  <c r="J131" i="10"/>
  <c r="J205" i="10"/>
  <c r="G131" i="10"/>
  <c r="J160" i="10"/>
  <c r="AC68" i="10"/>
  <c r="G205" i="10"/>
  <c r="J219" i="10"/>
  <c r="J153" i="10"/>
  <c r="J159" i="10"/>
  <c r="J101" i="10"/>
  <c r="J208" i="10"/>
  <c r="G101" i="10"/>
  <c r="G102" i="10"/>
  <c r="I99" i="10"/>
  <c r="AD24" i="10"/>
  <c r="J178" i="10"/>
  <c r="J148" i="10"/>
  <c r="J127" i="10"/>
  <c r="G221" i="10"/>
  <c r="I95" i="10"/>
  <c r="J97" i="10"/>
  <c r="J188" i="10"/>
  <c r="J216" i="10"/>
  <c r="J105" i="10"/>
  <c r="G144" i="10"/>
  <c r="G150" i="10"/>
  <c r="G225" i="10"/>
  <c r="S235" i="10"/>
  <c r="G146" i="10"/>
  <c r="G149" i="10"/>
  <c r="J55" i="10"/>
  <c r="G143" i="10"/>
  <c r="G211" i="10"/>
  <c r="G224" i="10"/>
  <c r="G142" i="10"/>
  <c r="G178" i="10"/>
  <c r="J213" i="10"/>
  <c r="J223" i="10"/>
  <c r="H105" i="10"/>
  <c r="G190" i="10"/>
  <c r="G116" i="10"/>
  <c r="J165" i="10"/>
  <c r="G217" i="10"/>
  <c r="J104" i="10"/>
  <c r="G188" i="10"/>
  <c r="J27" i="10"/>
  <c r="G184" i="10"/>
  <c r="R45" i="10"/>
  <c r="L45" i="10"/>
  <c r="K44" i="10"/>
  <c r="F44" i="10" s="1"/>
  <c r="Q44" i="10"/>
  <c r="G170" i="10"/>
  <c r="J173" i="10"/>
  <c r="G173" i="10"/>
  <c r="V12" i="10"/>
  <c r="L80" i="10"/>
  <c r="G80" i="10" s="1"/>
  <c r="X68" i="10"/>
  <c r="G182" i="10"/>
  <c r="S44" i="10"/>
  <c r="J172" i="10"/>
  <c r="Q166" i="10"/>
  <c r="G183" i="10"/>
  <c r="J187" i="10"/>
  <c r="S227" i="10"/>
  <c r="M227" i="10"/>
  <c r="J227" i="10" s="1"/>
  <c r="G185" i="10"/>
  <c r="Y60" i="10"/>
  <c r="J171" i="10"/>
  <c r="G171" i="10"/>
  <c r="M39" i="10"/>
  <c r="H39" i="10" s="1"/>
  <c r="J48" i="10"/>
  <c r="L24" i="10"/>
  <c r="G24" i="10" s="1"/>
  <c r="Y500" i="11"/>
  <c r="X500" i="11"/>
  <c r="L490" i="11"/>
  <c r="V466" i="11"/>
  <c r="V460" i="11"/>
  <c r="V459" i="11"/>
  <c r="W419" i="11"/>
  <c r="M419" i="11" s="1"/>
  <c r="V419" i="11"/>
  <c r="L419" i="11" s="1"/>
  <c r="V418" i="11"/>
  <c r="Y140" i="11"/>
  <c r="Y139" i="11"/>
  <c r="Y132" i="11"/>
  <c r="Y129" i="11"/>
  <c r="Y128" i="11"/>
  <c r="W91" i="11"/>
  <c r="W90" i="11"/>
  <c r="W82" i="11"/>
  <c r="W80" i="11"/>
  <c r="W79" i="11" s="1"/>
  <c r="C22" i="17" s="1"/>
  <c r="C22" i="22" s="1"/>
  <c r="W78" i="11"/>
  <c r="W77" i="11" s="1"/>
  <c r="C24" i="17" s="1"/>
  <c r="C24" i="22" s="1"/>
  <c r="W38" i="11"/>
  <c r="W37" i="11" s="1"/>
  <c r="C14" i="17" s="1"/>
  <c r="C14" i="22" s="1"/>
  <c r="V38" i="11"/>
  <c r="V37" i="11" s="1"/>
  <c r="Y36" i="11"/>
  <c r="V36" i="11"/>
  <c r="V29" i="11" s="1"/>
  <c r="AC19" i="11"/>
  <c r="X19" i="11"/>
  <c r="AC16" i="11"/>
  <c r="X16" i="11"/>
  <c r="AC15" i="11"/>
  <c r="X15" i="11"/>
  <c r="V14" i="11"/>
  <c r="V13" i="11"/>
  <c r="V12" i="11"/>
  <c r="V11" i="11"/>
  <c r="V10" i="11"/>
  <c r="AS326" i="11"/>
  <c r="AS311" i="11"/>
  <c r="X46" i="11"/>
  <c r="AS56" i="11"/>
  <c r="AS55" i="11" s="1"/>
  <c r="AS268" i="11"/>
  <c r="AS95" i="11"/>
  <c r="AS94" i="11" s="1"/>
  <c r="J27" i="17" s="1"/>
  <c r="R467" i="11"/>
  <c r="AS50" i="11"/>
  <c r="AS49" i="11" s="1"/>
  <c r="AS285" i="11"/>
  <c r="AR281" i="11"/>
  <c r="AA107" i="11"/>
  <c r="Z107" i="11"/>
  <c r="R48" i="11"/>
  <c r="AF390" i="11"/>
  <c r="N470" i="11"/>
  <c r="AF281" i="11"/>
  <c r="AC46" i="11"/>
  <c r="P382" i="11"/>
  <c r="T87" i="11"/>
  <c r="K136" i="11"/>
  <c r="AS61" i="11"/>
  <c r="AR58" i="11"/>
  <c r="K152" i="11"/>
  <c r="K131" i="11"/>
  <c r="I32" i="22" l="1"/>
  <c r="K32" i="17"/>
  <c r="K32" i="22" s="1"/>
  <c r="J20" i="17"/>
  <c r="H22" i="17"/>
  <c r="H22" i="22" s="1"/>
  <c r="J18" i="17"/>
  <c r="I31" i="22"/>
  <c r="K31" i="17"/>
  <c r="K31" i="22" s="1"/>
  <c r="I20" i="22"/>
  <c r="K20" i="17"/>
  <c r="K20" i="22" s="1"/>
  <c r="I14" i="22"/>
  <c r="K14" i="17"/>
  <c r="K14" i="22" s="1"/>
  <c r="I34" i="22"/>
  <c r="K34" i="17"/>
  <c r="K34" i="22" s="1"/>
  <c r="H25" i="17"/>
  <c r="H25" i="22" s="1"/>
  <c r="H10" i="17"/>
  <c r="H10" i="22"/>
  <c r="J10" i="17"/>
  <c r="J10" i="22" s="1"/>
  <c r="I15" i="22"/>
  <c r="K15" i="17"/>
  <c r="K15" i="22" s="1"/>
  <c r="I13" i="22"/>
  <c r="K13" i="17"/>
  <c r="K13" i="22" s="1"/>
  <c r="J24" i="17"/>
  <c r="H23" i="17"/>
  <c r="H23" i="22" s="1"/>
  <c r="I18" i="22"/>
  <c r="K18" i="17"/>
  <c r="K18" i="22" s="1"/>
  <c r="I16" i="22"/>
  <c r="K16" i="17"/>
  <c r="K16" i="22" s="1"/>
  <c r="I25" i="22"/>
  <c r="K25" i="17"/>
  <c r="K25" i="22" s="1"/>
  <c r="J24" i="22"/>
  <c r="H24" i="17"/>
  <c r="H24" i="22" s="1"/>
  <c r="J25" i="17"/>
  <c r="J25" i="22" s="1"/>
  <c r="J38" i="17"/>
  <c r="J38" i="22" s="1"/>
  <c r="I30" i="22"/>
  <c r="K30" i="17"/>
  <c r="K30" i="22" s="1"/>
  <c r="I23" i="22"/>
  <c r="K23" i="17"/>
  <c r="K23" i="22" s="1"/>
  <c r="I17" i="22"/>
  <c r="K17" i="17"/>
  <c r="K17" i="22" s="1"/>
  <c r="J37" i="17"/>
  <c r="J37" i="22" s="1"/>
  <c r="I19" i="22"/>
  <c r="K19" i="17"/>
  <c r="K19" i="22" s="1"/>
  <c r="J16" i="17"/>
  <c r="H38" i="17"/>
  <c r="H38" i="22" s="1"/>
  <c r="J23" i="17"/>
  <c r="J23" i="22" s="1"/>
  <c r="I38" i="22"/>
  <c r="K38" i="17"/>
  <c r="K38" i="22" s="1"/>
  <c r="I22" i="22"/>
  <c r="K22" i="17"/>
  <c r="K22" i="22" s="1"/>
  <c r="I10" i="22"/>
  <c r="K10" i="17"/>
  <c r="K10" i="22" s="1"/>
  <c r="H37" i="17"/>
  <c r="H37" i="22" s="1"/>
  <c r="J22" i="17"/>
  <c r="J22" i="22" s="1"/>
  <c r="J19" i="17"/>
  <c r="I24" i="22"/>
  <c r="K24" i="17"/>
  <c r="K24" i="22" s="1"/>
  <c r="J11" i="22"/>
  <c r="H11" i="17"/>
  <c r="H11" i="22" s="1"/>
  <c r="I11" i="22"/>
  <c r="K11" i="17"/>
  <c r="K11" i="22" s="1"/>
  <c r="I9" i="22"/>
  <c r="K9" i="17"/>
  <c r="K9" i="22" s="1"/>
  <c r="J9" i="17"/>
  <c r="J9" i="22" s="1"/>
  <c r="H9" i="17"/>
  <c r="H9" i="22" s="1"/>
  <c r="H26" i="17"/>
  <c r="H26" i="22" s="1"/>
  <c r="I26" i="22"/>
  <c r="K26" i="17"/>
  <c r="K26" i="22" s="1"/>
  <c r="J26" i="17"/>
  <c r="J26" i="22" s="1"/>
  <c r="N223" i="11"/>
  <c r="AD281" i="11"/>
  <c r="K93" i="11"/>
  <c r="P338" i="11"/>
  <c r="P200" i="11"/>
  <c r="G20" i="22"/>
  <c r="AF497" i="11"/>
  <c r="AF491" i="11" s="1"/>
  <c r="AJ497" i="11"/>
  <c r="AJ491" i="11" s="1"/>
  <c r="AE497" i="11"/>
  <c r="AE491" i="11" s="1"/>
  <c r="T85" i="11"/>
  <c r="T49" i="11"/>
  <c r="T42" i="11"/>
  <c r="R42" i="11"/>
  <c r="R44" i="11"/>
  <c r="R357" i="11"/>
  <c r="Q357" i="11"/>
  <c r="Q365" i="11"/>
  <c r="R378" i="11"/>
  <c r="Q378" i="11"/>
  <c r="R50" i="11"/>
  <c r="Q50" i="11"/>
  <c r="R381" i="11"/>
  <c r="Q381" i="11"/>
  <c r="Q176" i="11"/>
  <c r="R373" i="11"/>
  <c r="Q373" i="11"/>
  <c r="R377" i="11"/>
  <c r="Q377" i="11"/>
  <c r="Q178" i="11"/>
  <c r="Q41" i="11"/>
  <c r="Q306" i="11"/>
  <c r="Q382" i="11"/>
  <c r="Q173" i="11"/>
  <c r="R177" i="11"/>
  <c r="Q177" i="11"/>
  <c r="Q380" i="11"/>
  <c r="Q389" i="11"/>
  <c r="Q388" i="11"/>
  <c r="R468" i="11"/>
  <c r="Q468" i="11"/>
  <c r="Q374" i="11"/>
  <c r="R353" i="11"/>
  <c r="Q353" i="11"/>
  <c r="Q358" i="11"/>
  <c r="Q171" i="11"/>
  <c r="R175" i="11"/>
  <c r="Q175" i="11"/>
  <c r="Q368" i="11"/>
  <c r="Q355" i="11"/>
  <c r="R356" i="11"/>
  <c r="Q356" i="11"/>
  <c r="R218" i="11"/>
  <c r="Q218" i="11"/>
  <c r="AC58" i="11"/>
  <c r="Q59" i="11"/>
  <c r="R375" i="11"/>
  <c r="Q375" i="11"/>
  <c r="Q362" i="11"/>
  <c r="R174" i="11"/>
  <c r="Q174" i="11"/>
  <c r="R366" i="11"/>
  <c r="Q366" i="11"/>
  <c r="R369" i="11"/>
  <c r="Q369" i="11"/>
  <c r="Q372" i="11"/>
  <c r="R214" i="11"/>
  <c r="Q214" i="11"/>
  <c r="R172" i="11"/>
  <c r="Q172" i="11"/>
  <c r="R367" i="11"/>
  <c r="Q367" i="11"/>
  <c r="Q376" i="11"/>
  <c r="R379" i="11"/>
  <c r="Q379" i="11"/>
  <c r="R304" i="11"/>
  <c r="Q304" i="11"/>
  <c r="R215" i="11"/>
  <c r="Q215" i="11"/>
  <c r="R475" i="11"/>
  <c r="Q475" i="11"/>
  <c r="N445" i="11"/>
  <c r="N309" i="11"/>
  <c r="AJ9" i="11"/>
  <c r="AJ8" i="11" s="1"/>
  <c r="P121" i="11"/>
  <c r="P45" i="11"/>
  <c r="P288" i="11"/>
  <c r="AB44" i="11"/>
  <c r="E19" i="17" s="1"/>
  <c r="E19" i="22" s="1"/>
  <c r="P346" i="11"/>
  <c r="D32" i="17" s="1"/>
  <c r="D32" i="22" s="1"/>
  <c r="P61" i="11"/>
  <c r="P68" i="11"/>
  <c r="P96" i="11"/>
  <c r="AB94" i="11"/>
  <c r="E27" i="17" s="1"/>
  <c r="E27" i="22" s="1"/>
  <c r="N96" i="11"/>
  <c r="N94" i="11" s="1"/>
  <c r="X94" i="11"/>
  <c r="P72" i="11"/>
  <c r="B24" i="17"/>
  <c r="B24" i="22" s="1"/>
  <c r="P112" i="11"/>
  <c r="K95" i="11"/>
  <c r="AA94" i="11"/>
  <c r="T94" i="11"/>
  <c r="K308" i="11"/>
  <c r="AB77" i="11"/>
  <c r="E24" i="17" s="1"/>
  <c r="E24" i="22" s="1"/>
  <c r="J193" i="10"/>
  <c r="J138" i="10"/>
  <c r="J116" i="10"/>
  <c r="J128" i="10"/>
  <c r="J30" i="10"/>
  <c r="I74" i="10"/>
  <c r="J206" i="10"/>
  <c r="J42" i="10"/>
  <c r="S24" i="10"/>
  <c r="J103" i="10"/>
  <c r="N57" i="10"/>
  <c r="G126" i="10"/>
  <c r="J194" i="10"/>
  <c r="T23" i="10"/>
  <c r="J28" i="10"/>
  <c r="J44" i="10"/>
  <c r="J118" i="10"/>
  <c r="J124" i="10"/>
  <c r="J156" i="10"/>
  <c r="Y23" i="10"/>
  <c r="J221" i="10"/>
  <c r="R180" i="10"/>
  <c r="H227" i="10"/>
  <c r="J154" i="10"/>
  <c r="J43" i="10"/>
  <c r="J163" i="10"/>
  <c r="J146" i="10"/>
  <c r="J217" i="10"/>
  <c r="W9" i="10"/>
  <c r="V235" i="10"/>
  <c r="R235" i="10"/>
  <c r="O481" i="11"/>
  <c r="O363" i="11"/>
  <c r="N451" i="11"/>
  <c r="N458" i="11"/>
  <c r="O451" i="11"/>
  <c r="O340" i="11"/>
  <c r="O449" i="11"/>
  <c r="AB49" i="11"/>
  <c r="E20" i="17" s="1"/>
  <c r="E20" i="22" s="1"/>
  <c r="P340" i="11"/>
  <c r="P50" i="11"/>
  <c r="O345" i="11"/>
  <c r="AR351" i="11"/>
  <c r="P285" i="11"/>
  <c r="O209" i="11"/>
  <c r="N209" i="11"/>
  <c r="N339" i="11"/>
  <c r="N345" i="11"/>
  <c r="K88" i="11"/>
  <c r="K87" i="11" s="1"/>
  <c r="O208" i="11"/>
  <c r="O382" i="11"/>
  <c r="R59" i="11"/>
  <c r="N338" i="11"/>
  <c r="J157" i="10"/>
  <c r="N483" i="11"/>
  <c r="N340" i="11"/>
  <c r="AC79" i="11"/>
  <c r="S95" i="10"/>
  <c r="J155" i="10"/>
  <c r="J120" i="10"/>
  <c r="J197" i="10"/>
  <c r="J73" i="10"/>
  <c r="J212" i="10"/>
  <c r="J190" i="10"/>
  <c r="J38" i="10"/>
  <c r="J147" i="10"/>
  <c r="M218" i="10"/>
  <c r="J94" i="10"/>
  <c r="I23" i="10"/>
  <c r="Q68" i="10"/>
  <c r="G56" i="10"/>
  <c r="H230" i="10"/>
  <c r="J232" i="10"/>
  <c r="J233" i="10"/>
  <c r="S230" i="10"/>
  <c r="V68" i="10"/>
  <c r="G124" i="10"/>
  <c r="F235" i="10"/>
  <c r="T235" i="10"/>
  <c r="Q235" i="10"/>
  <c r="X9" i="10"/>
  <c r="P354" i="11"/>
  <c r="N221" i="11"/>
  <c r="P42" i="11"/>
  <c r="D18" i="17" s="1"/>
  <c r="D18" i="22" s="1"/>
  <c r="AB81" i="11"/>
  <c r="E23" i="17" s="1"/>
  <c r="E23" i="22" s="1"/>
  <c r="O224" i="11"/>
  <c r="M158" i="10"/>
  <c r="J158" i="10" s="1"/>
  <c r="J181" i="10"/>
  <c r="AA57" i="10"/>
  <c r="J209" i="10"/>
  <c r="J200" i="10"/>
  <c r="AD23" i="10"/>
  <c r="J78" i="10"/>
  <c r="AC23" i="10"/>
  <c r="I9" i="10"/>
  <c r="G156" i="10"/>
  <c r="P468" i="11"/>
  <c r="O287" i="11"/>
  <c r="M111" i="10"/>
  <c r="H111" i="10" s="1"/>
  <c r="J141" i="10"/>
  <c r="J207" i="10"/>
  <c r="H235" i="10"/>
  <c r="J144" i="10"/>
  <c r="O221" i="11"/>
  <c r="O483" i="11"/>
  <c r="N287" i="11"/>
  <c r="J215" i="10"/>
  <c r="J145" i="10"/>
  <c r="Q57" i="10"/>
  <c r="J151" i="10"/>
  <c r="J114" i="10"/>
  <c r="U57" i="10"/>
  <c r="N435" i="11"/>
  <c r="K166" i="10"/>
  <c r="F166" i="10" s="1"/>
  <c r="J202" i="10"/>
  <c r="J53" i="10"/>
  <c r="J110" i="10"/>
  <c r="J183" i="10"/>
  <c r="O46" i="11"/>
  <c r="P46" i="11"/>
  <c r="D17" i="17" s="1"/>
  <c r="D17" i="22" s="1"/>
  <c r="M29" i="11"/>
  <c r="B13" i="17" s="1"/>
  <c r="B13" i="22" s="1"/>
  <c r="I57" i="10"/>
  <c r="W23" i="10"/>
  <c r="W7" i="10" s="1"/>
  <c r="J189" i="10"/>
  <c r="J195" i="10"/>
  <c r="J123" i="10"/>
  <c r="J214" i="10"/>
  <c r="J113" i="10"/>
  <c r="J199" i="10"/>
  <c r="J229" i="10"/>
  <c r="J133" i="10"/>
  <c r="J135" i="10"/>
  <c r="J150" i="10"/>
  <c r="J67" i="10"/>
  <c r="S45" i="10"/>
  <c r="S23" i="10" s="1"/>
  <c r="Q11" i="10"/>
  <c r="Q9" i="10" s="1"/>
  <c r="T9" i="10"/>
  <c r="AB9" i="10"/>
  <c r="AB7" i="10" s="1"/>
  <c r="J9" i="10"/>
  <c r="Q36" i="10"/>
  <c r="Q23" i="10" s="1"/>
  <c r="J99" i="10"/>
  <c r="I144" i="10"/>
  <c r="AD68" i="10"/>
  <c r="K57" i="10"/>
  <c r="M36" i="10"/>
  <c r="H36" i="10" s="1"/>
  <c r="Z68" i="10"/>
  <c r="J196" i="10"/>
  <c r="G222" i="10"/>
  <c r="F57" i="10"/>
  <c r="AC7" i="10"/>
  <c r="J102" i="10"/>
  <c r="R57" i="10"/>
  <c r="J45" i="10"/>
  <c r="V57" i="10"/>
  <c r="R68" i="10"/>
  <c r="Y57" i="10"/>
  <c r="M57" i="10"/>
  <c r="F9" i="10"/>
  <c r="V23" i="10"/>
  <c r="J100" i="10"/>
  <c r="J174" i="10"/>
  <c r="J177" i="10"/>
  <c r="G52" i="10"/>
  <c r="H60" i="10"/>
  <c r="G174" i="10"/>
  <c r="J182" i="10"/>
  <c r="J170" i="10"/>
  <c r="J184" i="10"/>
  <c r="J119" i="10"/>
  <c r="J210" i="10"/>
  <c r="J198" i="10"/>
  <c r="G152" i="10"/>
  <c r="J77" i="10"/>
  <c r="J75" i="10"/>
  <c r="J108" i="10"/>
  <c r="J66" i="10"/>
  <c r="J57" i="10" s="1"/>
  <c r="J26" i="10"/>
  <c r="U23" i="10"/>
  <c r="T57" i="10"/>
  <c r="H57" i="10"/>
  <c r="U68" i="10"/>
  <c r="J186" i="10"/>
  <c r="R9" i="10"/>
  <c r="Y9" i="10"/>
  <c r="G9" i="10"/>
  <c r="H9" i="10"/>
  <c r="J122" i="10"/>
  <c r="J166" i="10"/>
  <c r="J180" i="10"/>
  <c r="J39" i="10"/>
  <c r="O309" i="11"/>
  <c r="O68" i="11"/>
  <c r="N311" i="11"/>
  <c r="O445" i="11"/>
  <c r="O311" i="11"/>
  <c r="O389" i="11"/>
  <c r="R362" i="11"/>
  <c r="O178" i="11"/>
  <c r="O195" i="11"/>
  <c r="X58" i="11"/>
  <c r="N59" i="11"/>
  <c r="N129" i="11"/>
  <c r="N174" i="11"/>
  <c r="N183" i="11"/>
  <c r="O194" i="11"/>
  <c r="X49" i="11"/>
  <c r="N63" i="11"/>
  <c r="N134" i="11"/>
  <c r="B38" i="17"/>
  <c r="B38" i="22" s="1"/>
  <c r="B37" i="17"/>
  <c r="B37" i="22" s="1"/>
  <c r="N308" i="11"/>
  <c r="O409" i="11"/>
  <c r="O446" i="11"/>
  <c r="N163" i="11"/>
  <c r="O308" i="11"/>
  <c r="M55" i="11"/>
  <c r="B16" i="17" s="1"/>
  <c r="B16" i="22" s="1"/>
  <c r="O307" i="11"/>
  <c r="T44" i="11"/>
  <c r="O50" i="11"/>
  <c r="R376" i="11"/>
  <c r="N112" i="11"/>
  <c r="N50" i="11"/>
  <c r="N200" i="11"/>
  <c r="AA497" i="11"/>
  <c r="AA491" i="11" s="1"/>
  <c r="N177" i="11"/>
  <c r="N337" i="11"/>
  <c r="AC49" i="11"/>
  <c r="N446" i="11"/>
  <c r="N146" i="11"/>
  <c r="O146" i="11"/>
  <c r="R372" i="11"/>
  <c r="L466" i="11"/>
  <c r="O203" i="11"/>
  <c r="O385" i="11"/>
  <c r="O468" i="11"/>
  <c r="N172" i="11"/>
  <c r="O181" i="11"/>
  <c r="N385" i="11"/>
  <c r="AC386" i="11"/>
  <c r="U9" i="10"/>
  <c r="F68" i="10"/>
  <c r="F23" i="10"/>
  <c r="J24" i="10"/>
  <c r="S60" i="10"/>
  <c r="S57" i="10" s="1"/>
  <c r="J185" i="10"/>
  <c r="Y68" i="10"/>
  <c r="J231" i="10"/>
  <c r="J129" i="10"/>
  <c r="J140" i="10"/>
  <c r="J121" i="10"/>
  <c r="J136" i="10"/>
  <c r="J72" i="10"/>
  <c r="J125" i="10"/>
  <c r="J49" i="10"/>
  <c r="G38" i="10"/>
  <c r="G109" i="10"/>
  <c r="I122" i="10"/>
  <c r="I166" i="10"/>
  <c r="H186" i="10"/>
  <c r="J234" i="10"/>
  <c r="J162" i="10"/>
  <c r="T106" i="10"/>
  <c r="T68" i="10" s="1"/>
  <c r="J95" i="10"/>
  <c r="L68" i="10"/>
  <c r="H158" i="10"/>
  <c r="AA9" i="10"/>
  <c r="AA7" i="10" s="1"/>
  <c r="J96" i="10"/>
  <c r="J106" i="10"/>
  <c r="J224" i="10"/>
  <c r="V15" i="10"/>
  <c r="V9" i="10" s="1"/>
  <c r="G99" i="10"/>
  <c r="J130" i="10"/>
  <c r="G45" i="10"/>
  <c r="J107" i="10"/>
  <c r="N23" i="10"/>
  <c r="J176" i="10"/>
  <c r="J228" i="10"/>
  <c r="I100" i="10"/>
  <c r="J204" i="10"/>
  <c r="J132" i="10"/>
  <c r="J179" i="10"/>
  <c r="G67" i="10"/>
  <c r="G57" i="10" s="1"/>
  <c r="J139" i="10"/>
  <c r="J71" i="10"/>
  <c r="J175" i="10"/>
  <c r="X57" i="10"/>
  <c r="J137" i="10"/>
  <c r="J220" i="10"/>
  <c r="J161" i="10"/>
  <c r="S105" i="10"/>
  <c r="S13" i="10"/>
  <c r="S9" i="10" s="1"/>
  <c r="H26" i="10"/>
  <c r="G28" i="10"/>
  <c r="Z9" i="10"/>
  <c r="K23" i="10"/>
  <c r="J192" i="10"/>
  <c r="G180" i="10"/>
  <c r="Z23" i="10"/>
  <c r="G196" i="10"/>
  <c r="J70" i="10"/>
  <c r="G147" i="10"/>
  <c r="J164" i="10"/>
  <c r="J117" i="10"/>
  <c r="S159" i="10"/>
  <c r="L47" i="10"/>
  <c r="R47" i="10"/>
  <c r="R23" i="10" s="1"/>
  <c r="J69" i="10"/>
  <c r="J80" i="10"/>
  <c r="H44" i="10"/>
  <c r="N68" i="10"/>
  <c r="J36" i="10"/>
  <c r="X23" i="10"/>
  <c r="J191" i="10"/>
  <c r="J112" i="10"/>
  <c r="J115" i="10"/>
  <c r="J211" i="10"/>
  <c r="J134" i="10"/>
  <c r="J37" i="10"/>
  <c r="J201" i="10"/>
  <c r="R368" i="11"/>
  <c r="O165" i="11"/>
  <c r="R306" i="11"/>
  <c r="AB263" i="11"/>
  <c r="E30" i="17" s="1"/>
  <c r="E30" i="22" s="1"/>
  <c r="N215" i="11"/>
  <c r="N219" i="11"/>
  <c r="O219" i="11"/>
  <c r="O134" i="11"/>
  <c r="O223" i="11"/>
  <c r="R178" i="11"/>
  <c r="AB46" i="11"/>
  <c r="E17" i="17" s="1"/>
  <c r="E17" i="22" s="1"/>
  <c r="P389" i="11"/>
  <c r="U46" i="11"/>
  <c r="L17" i="17" s="1"/>
  <c r="L17" i="22" s="1"/>
  <c r="N197" i="11"/>
  <c r="N56" i="11"/>
  <c r="N55" i="11" s="1"/>
  <c r="X55" i="11"/>
  <c r="O212" i="11"/>
  <c r="N181" i="11"/>
  <c r="R389" i="11"/>
  <c r="O430" i="11"/>
  <c r="N381" i="11"/>
  <c r="N141" i="11"/>
  <c r="N199" i="11"/>
  <c r="N195" i="11"/>
  <c r="N430" i="11"/>
  <c r="N468" i="11"/>
  <c r="O141" i="11"/>
  <c r="N214" i="11"/>
  <c r="AC346" i="11"/>
  <c r="X81" i="11"/>
  <c r="X263" i="11"/>
  <c r="O197" i="11"/>
  <c r="N220" i="11"/>
  <c r="N81" i="11"/>
  <c r="W55" i="11"/>
  <c r="C16" i="17" s="1"/>
  <c r="C16" i="22" s="1"/>
  <c r="K84" i="11"/>
  <c r="K83" i="11" s="1"/>
  <c r="O177" i="11"/>
  <c r="O96" i="11"/>
  <c r="AC316" i="11"/>
  <c r="N193" i="11"/>
  <c r="L44" i="11"/>
  <c r="N450" i="11"/>
  <c r="N444" i="11"/>
  <c r="AB51" i="11"/>
  <c r="E15" i="17" s="1"/>
  <c r="E15" i="22" s="1"/>
  <c r="P333" i="11"/>
  <c r="N43" i="11"/>
  <c r="N42" i="11" s="1"/>
  <c r="W390" i="11"/>
  <c r="P317" i="11"/>
  <c r="AB55" i="11"/>
  <c r="E16" i="17" s="1"/>
  <c r="E16" i="22" s="1"/>
  <c r="P56" i="11"/>
  <c r="P55" i="11" s="1"/>
  <c r="D16" i="17" s="1"/>
  <c r="D16" i="22" s="1"/>
  <c r="AS48" i="11"/>
  <c r="AS46" i="11" s="1"/>
  <c r="N408" i="11"/>
  <c r="R41" i="11"/>
  <c r="O43" i="11"/>
  <c r="R388" i="11"/>
  <c r="X89" i="11"/>
  <c r="L38" i="11"/>
  <c r="Z37" i="11"/>
  <c r="Z28" i="11" s="1"/>
  <c r="O408" i="11"/>
  <c r="N304" i="11"/>
  <c r="N8" i="11"/>
  <c r="Z497" i="11"/>
  <c r="Z491" i="11" s="1"/>
  <c r="N374" i="11"/>
  <c r="O172" i="11"/>
  <c r="AS51" i="11"/>
  <c r="R213" i="11"/>
  <c r="AC37" i="11"/>
  <c r="AA77" i="11"/>
  <c r="AA46" i="11"/>
  <c r="Y29" i="11"/>
  <c r="AC281" i="11"/>
  <c r="R374" i="11"/>
  <c r="N211" i="11"/>
  <c r="O179" i="11"/>
  <c r="N330" i="11"/>
  <c r="O453" i="11"/>
  <c r="N352" i="11"/>
  <c r="R382" i="11"/>
  <c r="R380" i="11"/>
  <c r="N467" i="11"/>
  <c r="X44" i="11"/>
  <c r="AS8" i="11"/>
  <c r="N452" i="11"/>
  <c r="N453" i="11"/>
  <c r="L418" i="11"/>
  <c r="AC20" i="11"/>
  <c r="AA58" i="11"/>
  <c r="P435" i="11"/>
  <c r="U51" i="11"/>
  <c r="L15" i="17" s="1"/>
  <c r="L15" i="22" s="1"/>
  <c r="N413" i="11"/>
  <c r="O217" i="11"/>
  <c r="U29" i="11"/>
  <c r="L13" i="17" s="1"/>
  <c r="L13" i="22" s="1"/>
  <c r="N336" i="11"/>
  <c r="AS389" i="11"/>
  <c r="AS386" i="11" s="1"/>
  <c r="O211" i="11"/>
  <c r="O218" i="11"/>
  <c r="P8" i="11"/>
  <c r="D8" i="17" s="1"/>
  <c r="D8" i="22" s="1"/>
  <c r="N228" i="11"/>
  <c r="N229" i="11"/>
  <c r="R173" i="11"/>
  <c r="N46" i="11"/>
  <c r="AR316" i="11"/>
  <c r="M38" i="11"/>
  <c r="O145" i="11"/>
  <c r="AS29" i="11"/>
  <c r="AB58" i="11"/>
  <c r="O288" i="11"/>
  <c r="N479" i="11"/>
  <c r="W58" i="11"/>
  <c r="N434" i="11"/>
  <c r="T37" i="11"/>
  <c r="O173" i="11"/>
  <c r="AR107" i="11"/>
  <c r="Y497" i="11"/>
  <c r="Y491" i="11" s="1"/>
  <c r="L459" i="11"/>
  <c r="P158" i="11"/>
  <c r="K158" i="11" s="1"/>
  <c r="P309" i="11"/>
  <c r="AB89" i="11"/>
  <c r="U44" i="11"/>
  <c r="L19" i="17" s="1"/>
  <c r="L19" i="22" s="1"/>
  <c r="O448" i="11"/>
  <c r="N213" i="11"/>
  <c r="N160" i="11"/>
  <c r="N388" i="11"/>
  <c r="AB281" i="11"/>
  <c r="E34" i="17" s="1"/>
  <c r="E34" i="22" s="1"/>
  <c r="O269" i="11"/>
  <c r="W107" i="11"/>
  <c r="C29" i="17" s="1"/>
  <c r="C29" i="22" s="1"/>
  <c r="N205" i="11"/>
  <c r="N202" i="11"/>
  <c r="AB351" i="11"/>
  <c r="E35" i="17" s="1"/>
  <c r="E35" i="22" s="1"/>
  <c r="AB390" i="11"/>
  <c r="N437" i="11"/>
  <c r="N176" i="11"/>
  <c r="N447" i="11"/>
  <c r="L68" i="11"/>
  <c r="R171" i="11"/>
  <c r="N185" i="11"/>
  <c r="O280" i="11"/>
  <c r="N448" i="11"/>
  <c r="O479" i="11"/>
  <c r="O89" i="11"/>
  <c r="AB107" i="11"/>
  <c r="E29" i="17" s="1"/>
  <c r="E29" i="22" s="1"/>
  <c r="N269" i="11"/>
  <c r="M114" i="11"/>
  <c r="K9" i="11"/>
  <c r="K8" i="11" s="1"/>
  <c r="R355" i="11"/>
  <c r="N387" i="11"/>
  <c r="O176" i="11"/>
  <c r="O210" i="11"/>
  <c r="N469" i="11"/>
  <c r="U37" i="11"/>
  <c r="L14" i="17" s="1"/>
  <c r="L14" i="22" s="1"/>
  <c r="L42" i="11"/>
  <c r="L36" i="11"/>
  <c r="AB316" i="11"/>
  <c r="E33" i="17" s="1"/>
  <c r="E33" i="22" s="1"/>
  <c r="Z81" i="11"/>
  <c r="Z76" i="11" s="1"/>
  <c r="N222" i="11"/>
  <c r="O202" i="11"/>
  <c r="N480" i="11"/>
  <c r="N184" i="11"/>
  <c r="R358" i="11"/>
  <c r="R365" i="11"/>
  <c r="D11" i="17"/>
  <c r="D11" i="22" s="1"/>
  <c r="L55" i="11"/>
  <c r="O44" i="11"/>
  <c r="X85" i="11"/>
  <c r="N196" i="11"/>
  <c r="O196" i="11"/>
  <c r="Y390" i="11"/>
  <c r="T55" i="11"/>
  <c r="AR89" i="11"/>
  <c r="AR76" i="11" s="1"/>
  <c r="R350" i="11"/>
  <c r="X497" i="11"/>
  <c r="X491" i="11" s="1"/>
  <c r="K43" i="11"/>
  <c r="K42" i="11" s="1"/>
  <c r="K47" i="11"/>
  <c r="N315" i="11"/>
  <c r="N45" i="11"/>
  <c r="N201" i="11"/>
  <c r="O52" i="11"/>
  <c r="N182" i="11"/>
  <c r="Y107" i="11"/>
  <c r="AR28" i="11"/>
  <c r="N334" i="11"/>
  <c r="N443" i="11"/>
  <c r="O201" i="11"/>
  <c r="O207" i="11"/>
  <c r="Y58" i="11"/>
  <c r="O182" i="11"/>
  <c r="N225" i="11"/>
  <c r="N226" i="11"/>
  <c r="Y9" i="11"/>
  <c r="Y8" i="11" s="1"/>
  <c r="Y386" i="11"/>
  <c r="N161" i="11"/>
  <c r="O443" i="11"/>
  <c r="N52" i="11"/>
  <c r="N204" i="11"/>
  <c r="O410" i="11"/>
  <c r="X316" i="11"/>
  <c r="U42" i="11"/>
  <c r="L18" i="17" s="1"/>
  <c r="L18" i="22" s="1"/>
  <c r="N85" i="11"/>
  <c r="X37" i="11"/>
  <c r="O482" i="11"/>
  <c r="N41" i="11"/>
  <c r="O204" i="11"/>
  <c r="P51" i="11"/>
  <c r="D15" i="17" s="1"/>
  <c r="D15" i="22" s="1"/>
  <c r="O55" i="11"/>
  <c r="O36" i="11"/>
  <c r="X281" i="11"/>
  <c r="AS37" i="11"/>
  <c r="N407" i="11"/>
  <c r="N29" i="11"/>
  <c r="N379" i="11"/>
  <c r="X29" i="11"/>
  <c r="N486" i="11"/>
  <c r="AD107" i="11"/>
  <c r="O407" i="11"/>
  <c r="Z9" i="11"/>
  <c r="Z8" i="11" s="1"/>
  <c r="O175" i="11"/>
  <c r="N461" i="11"/>
  <c r="N175" i="11"/>
  <c r="L292" i="11"/>
  <c r="X9" i="11"/>
  <c r="X8" i="11" s="1"/>
  <c r="N216" i="11"/>
  <c r="O139" i="11"/>
  <c r="T29" i="11"/>
  <c r="O312" i="11"/>
  <c r="R352" i="11"/>
  <c r="Z390" i="11"/>
  <c r="Z106" i="11" s="1"/>
  <c r="R176" i="11"/>
  <c r="V281" i="11"/>
  <c r="O162" i="11"/>
  <c r="O461" i="11"/>
  <c r="N312" i="11"/>
  <c r="W9" i="11"/>
  <c r="W8" i="11" s="1"/>
  <c r="C8" i="17" s="1"/>
  <c r="C8" i="22" s="1"/>
  <c r="T51" i="11"/>
  <c r="N89" i="11"/>
  <c r="AE390" i="11"/>
  <c r="X390" i="11"/>
  <c r="AC351" i="11"/>
  <c r="O310" i="11"/>
  <c r="N139" i="11"/>
  <c r="K198" i="11"/>
  <c r="O37" i="11"/>
  <c r="AR8" i="11"/>
  <c r="K40" i="11"/>
  <c r="P37" i="11"/>
  <c r="D14" i="17" s="1"/>
  <c r="D14" i="22" s="1"/>
  <c r="K370" i="11"/>
  <c r="K393" i="11"/>
  <c r="K267" i="11"/>
  <c r="K497" i="11"/>
  <c r="K491" i="11" s="1"/>
  <c r="K392" i="11"/>
  <c r="K437" i="11"/>
  <c r="AS497" i="11"/>
  <c r="AS491" i="11" s="1"/>
  <c r="K472" i="11"/>
  <c r="K401" i="11"/>
  <c r="K387" i="11"/>
  <c r="U386" i="11"/>
  <c r="L31" i="17" s="1"/>
  <c r="L31" i="22" s="1"/>
  <c r="K422" i="11"/>
  <c r="AS346" i="11"/>
  <c r="K476" i="11"/>
  <c r="K438" i="11"/>
  <c r="K490" i="11"/>
  <c r="K434" i="11"/>
  <c r="L346" i="11"/>
  <c r="L386" i="11"/>
  <c r="K444" i="11"/>
  <c r="K429" i="11"/>
  <c r="K480" i="11"/>
  <c r="K482" i="11"/>
  <c r="K446" i="11"/>
  <c r="M386" i="11"/>
  <c r="B31" i="17" s="1"/>
  <c r="B31" i="22" s="1"/>
  <c r="L491" i="11"/>
  <c r="K423" i="11"/>
  <c r="K411" i="11"/>
  <c r="K416" i="11"/>
  <c r="K448" i="11"/>
  <c r="K413" i="11"/>
  <c r="T491" i="11"/>
  <c r="K421" i="11"/>
  <c r="K418" i="11"/>
  <c r="K402" i="11"/>
  <c r="K467" i="11"/>
  <c r="K428" i="11"/>
  <c r="O346" i="11"/>
  <c r="K463" i="11"/>
  <c r="K410" i="11"/>
  <c r="K415" i="11"/>
  <c r="K466" i="11"/>
  <c r="K364" i="11"/>
  <c r="U390" i="11"/>
  <c r="K420" i="11"/>
  <c r="K478" i="11"/>
  <c r="K460" i="11"/>
  <c r="K165" i="11"/>
  <c r="K408" i="11"/>
  <c r="K436" i="11"/>
  <c r="K471" i="11"/>
  <c r="K442" i="11"/>
  <c r="K430" i="11"/>
  <c r="K395" i="11"/>
  <c r="K398" i="11"/>
  <c r="K451" i="11"/>
  <c r="K305" i="11"/>
  <c r="K347" i="11"/>
  <c r="K359" i="11"/>
  <c r="K424" i="11"/>
  <c r="K403" i="11"/>
  <c r="K439" i="11"/>
  <c r="K433" i="11"/>
  <c r="K150" i="11"/>
  <c r="K464" i="11"/>
  <c r="K209" i="11"/>
  <c r="K361" i="11"/>
  <c r="K432" i="11"/>
  <c r="K405" i="11"/>
  <c r="K486" i="11"/>
  <c r="K447" i="11"/>
  <c r="T346" i="11"/>
  <c r="N491" i="11"/>
  <c r="K204" i="11"/>
  <c r="K473" i="11"/>
  <c r="K487" i="11"/>
  <c r="K459" i="11"/>
  <c r="K391" i="11"/>
  <c r="K406" i="11"/>
  <c r="K371" i="11"/>
  <c r="R491" i="11"/>
  <c r="K477" i="11"/>
  <c r="K409" i="11"/>
  <c r="K400" i="11"/>
  <c r="K479" i="11"/>
  <c r="K425" i="11"/>
  <c r="K190" i="11"/>
  <c r="K407" i="11"/>
  <c r="K470" i="11"/>
  <c r="K396" i="11"/>
  <c r="K275" i="11"/>
  <c r="K296" i="11"/>
  <c r="K488" i="11"/>
  <c r="K449" i="11"/>
  <c r="K461" i="11"/>
  <c r="K450" i="11"/>
  <c r="K441" i="11"/>
  <c r="K426" i="11"/>
  <c r="K474" i="11"/>
  <c r="K417" i="11"/>
  <c r="K414" i="11"/>
  <c r="K412" i="11"/>
  <c r="K458" i="11"/>
  <c r="K440" i="11"/>
  <c r="K399" i="11"/>
  <c r="K427" i="11"/>
  <c r="K483" i="11"/>
  <c r="M491" i="11"/>
  <c r="B36" i="17" s="1"/>
  <c r="B36" i="22" s="1"/>
  <c r="M346" i="11"/>
  <c r="B32" i="17" s="1"/>
  <c r="B32" i="22" s="1"/>
  <c r="K144" i="11"/>
  <c r="W491" i="11"/>
  <c r="C36" i="17" s="1"/>
  <c r="C36" i="22" s="1"/>
  <c r="O491" i="11"/>
  <c r="K465" i="11"/>
  <c r="K445" i="11"/>
  <c r="T386" i="11"/>
  <c r="M46" i="11"/>
  <c r="B17" i="17" s="1"/>
  <c r="B17" i="22" s="1"/>
  <c r="U346" i="11"/>
  <c r="L32" i="17" s="1"/>
  <c r="L32" i="22" s="1"/>
  <c r="K348" i="11"/>
  <c r="R29" i="11"/>
  <c r="T390" i="11"/>
  <c r="K52" i="11"/>
  <c r="T351" i="11"/>
  <c r="P29" i="11"/>
  <c r="D13" i="17" s="1"/>
  <c r="D13" i="22" s="1"/>
  <c r="R51" i="11"/>
  <c r="K54" i="11"/>
  <c r="M51" i="11"/>
  <c r="B15" i="17" s="1"/>
  <c r="B15" i="22" s="1"/>
  <c r="K39" i="11"/>
  <c r="K397" i="11"/>
  <c r="K385" i="11"/>
  <c r="K481" i="11"/>
  <c r="K462" i="11"/>
  <c r="T46" i="11"/>
  <c r="X77" i="11"/>
  <c r="AQ8" i="11"/>
  <c r="N346" i="11"/>
  <c r="O8" i="11"/>
  <c r="K48" i="11"/>
  <c r="R46" i="11"/>
  <c r="K443" i="11"/>
  <c r="K30" i="11"/>
  <c r="L49" i="11"/>
  <c r="AA79" i="11"/>
  <c r="R55" i="11"/>
  <c r="M351" i="11"/>
  <c r="B35" i="17" s="1"/>
  <c r="B35" i="22" s="1"/>
  <c r="L46" i="11"/>
  <c r="K360" i="11"/>
  <c r="K325" i="11"/>
  <c r="K167" i="11"/>
  <c r="M8" i="11"/>
  <c r="B8" i="17" s="1"/>
  <c r="B8" i="22" s="1"/>
  <c r="L351" i="11"/>
  <c r="V491" i="11"/>
  <c r="AQ491" i="11"/>
  <c r="AC497" i="11"/>
  <c r="AC491" i="11" s="1"/>
  <c r="K419" i="11"/>
  <c r="M390" i="11"/>
  <c r="W81" i="11"/>
  <c r="C23" i="17" s="1"/>
  <c r="C23" i="22" s="1"/>
  <c r="V9" i="11"/>
  <c r="V8" i="11" s="1"/>
  <c r="V390" i="11"/>
  <c r="L460" i="11"/>
  <c r="AC9" i="11"/>
  <c r="T8" i="11"/>
  <c r="AC107" i="11"/>
  <c r="X351" i="11"/>
  <c r="N198" i="11"/>
  <c r="K225" i="11"/>
  <c r="AC390" i="11"/>
  <c r="U351" i="11"/>
  <c r="L35" i="17" s="1"/>
  <c r="L35" i="22" s="1"/>
  <c r="R8" i="11"/>
  <c r="AD390" i="11"/>
  <c r="AF9" i="11"/>
  <c r="O380" i="11"/>
  <c r="U8" i="11"/>
  <c r="L8" i="17" s="1"/>
  <c r="L8" i="22" s="1"/>
  <c r="V28" i="11"/>
  <c r="K216" i="11"/>
  <c r="K337" i="11"/>
  <c r="N380" i="11"/>
  <c r="K363" i="11"/>
  <c r="V107" i="11"/>
  <c r="X107" i="11"/>
  <c r="X386" i="11"/>
  <c r="AQ28" i="11"/>
  <c r="AD9" i="11"/>
  <c r="AD8" i="11" s="1"/>
  <c r="N68" i="11"/>
  <c r="AR390" i="11"/>
  <c r="AF107" i="11"/>
  <c r="K330" i="11"/>
  <c r="AA390" i="11"/>
  <c r="AA106" i="11" s="1"/>
  <c r="AA9" i="11"/>
  <c r="AA8" i="11" s="1"/>
  <c r="O387" i="11"/>
  <c r="L8" i="11"/>
  <c r="K142" i="11"/>
  <c r="K140" i="11"/>
  <c r="K469" i="11"/>
  <c r="AD76" i="11"/>
  <c r="AS390" i="11"/>
  <c r="K219" i="11"/>
  <c r="K194" i="11"/>
  <c r="K156" i="11"/>
  <c r="R489" i="11"/>
  <c r="AE107" i="11"/>
  <c r="P312" i="11"/>
  <c r="AD491" i="11"/>
  <c r="AD28" i="11"/>
  <c r="K212" i="11"/>
  <c r="AF28" i="11"/>
  <c r="AS351" i="11"/>
  <c r="K224" i="11"/>
  <c r="AE9" i="11"/>
  <c r="AE8" i="11" s="1"/>
  <c r="N227" i="11"/>
  <c r="O227" i="11"/>
  <c r="K166" i="11"/>
  <c r="K220" i="11"/>
  <c r="AR491" i="11"/>
  <c r="AS89" i="11"/>
  <c r="K453" i="11"/>
  <c r="K217" i="11"/>
  <c r="R89" i="11"/>
  <c r="R76" i="11" s="1"/>
  <c r="L89" i="11"/>
  <c r="L76" i="11" s="1"/>
  <c r="K328" i="11"/>
  <c r="K336" i="11"/>
  <c r="K345" i="11"/>
  <c r="K335" i="11"/>
  <c r="K321" i="11"/>
  <c r="K339" i="11"/>
  <c r="T316" i="11"/>
  <c r="K329" i="11"/>
  <c r="K315" i="11"/>
  <c r="K292" i="11"/>
  <c r="AS281" i="11"/>
  <c r="K299" i="11"/>
  <c r="K291" i="11"/>
  <c r="T281" i="11"/>
  <c r="K283" i="11"/>
  <c r="AJ106" i="11"/>
  <c r="K301" i="11"/>
  <c r="K311" i="11"/>
  <c r="K303" i="11"/>
  <c r="K289" i="11"/>
  <c r="K297" i="11"/>
  <c r="U281" i="11"/>
  <c r="L34" i="17" s="1"/>
  <c r="L34" i="22" s="1"/>
  <c r="K290" i="11"/>
  <c r="K307" i="11"/>
  <c r="K282" i="11"/>
  <c r="AQ106" i="11"/>
  <c r="K310" i="11"/>
  <c r="K287" i="11"/>
  <c r="K284" i="11"/>
  <c r="M281" i="11"/>
  <c r="B34" i="17" s="1"/>
  <c r="B34" i="22" s="1"/>
  <c r="K302" i="11"/>
  <c r="K298" i="11"/>
  <c r="K286" i="11"/>
  <c r="K169" i="11"/>
  <c r="K149" i="11"/>
  <c r="K164" i="11"/>
  <c r="K181" i="11"/>
  <c r="K226" i="11"/>
  <c r="K157" i="11"/>
  <c r="K145" i="11"/>
  <c r="K151" i="11"/>
  <c r="K202" i="11"/>
  <c r="K160" i="11"/>
  <c r="K134" i="11"/>
  <c r="K207" i="11"/>
  <c r="K148" i="11"/>
  <c r="K222" i="11"/>
  <c r="K187" i="11"/>
  <c r="AS107" i="11"/>
  <c r="K203" i="11"/>
  <c r="K162" i="11"/>
  <c r="K153" i="11"/>
  <c r="L107" i="11"/>
  <c r="K139" i="11"/>
  <c r="K185" i="11"/>
  <c r="K161" i="11"/>
  <c r="K208" i="11"/>
  <c r="K183" i="11"/>
  <c r="K128" i="11"/>
  <c r="K211" i="11"/>
  <c r="K179" i="11"/>
  <c r="T107" i="11"/>
  <c r="K146" i="11"/>
  <c r="K191" i="11"/>
  <c r="K228" i="11"/>
  <c r="K223" i="11"/>
  <c r="K205" i="11"/>
  <c r="K168" i="11"/>
  <c r="K210" i="11"/>
  <c r="K201" i="11"/>
  <c r="K196" i="11"/>
  <c r="K133" i="11"/>
  <c r="K138" i="11"/>
  <c r="K130" i="11"/>
  <c r="K163" i="11"/>
  <c r="K154" i="11"/>
  <c r="K137" i="11"/>
  <c r="K147" i="11"/>
  <c r="K184" i="11"/>
  <c r="K141" i="11"/>
  <c r="K193" i="11"/>
  <c r="K155" i="11"/>
  <c r="K159" i="11"/>
  <c r="K192" i="11"/>
  <c r="U107" i="11"/>
  <c r="L29" i="17" s="1"/>
  <c r="L29" i="22" s="1"/>
  <c r="K143" i="11"/>
  <c r="K186" i="11"/>
  <c r="K221" i="11"/>
  <c r="K129" i="11"/>
  <c r="K111" i="11"/>
  <c r="K195" i="11"/>
  <c r="K170" i="11"/>
  <c r="K199" i="11"/>
  <c r="K197" i="11"/>
  <c r="K188" i="11"/>
  <c r="K182" i="11"/>
  <c r="K189" i="11"/>
  <c r="K135" i="11"/>
  <c r="K227" i="11"/>
  <c r="D36" i="17"/>
  <c r="D36" i="22" s="1"/>
  <c r="U491" i="11"/>
  <c r="L36" i="17" s="1"/>
  <c r="L36" i="22" s="1"/>
  <c r="AB491" i="11"/>
  <c r="E36" i="17" s="1"/>
  <c r="E36" i="22" s="1"/>
  <c r="I37" i="22"/>
  <c r="Y76" i="11"/>
  <c r="M89" i="11"/>
  <c r="U89" i="11"/>
  <c r="V76" i="11"/>
  <c r="K322" i="11"/>
  <c r="K323" i="11"/>
  <c r="K319" i="11"/>
  <c r="K320" i="11"/>
  <c r="R316" i="11"/>
  <c r="K326" i="11"/>
  <c r="K324" i="11"/>
  <c r="K332" i="11"/>
  <c r="K334" i="11"/>
  <c r="K327" i="11"/>
  <c r="U316" i="11"/>
  <c r="L33" i="17" s="1"/>
  <c r="L33" i="22" s="1"/>
  <c r="M316" i="11"/>
  <c r="B33" i="17" s="1"/>
  <c r="B33" i="22" s="1"/>
  <c r="K331" i="11"/>
  <c r="AS316" i="11"/>
  <c r="K280" i="11"/>
  <c r="K268" i="11"/>
  <c r="K269" i="11"/>
  <c r="AS263" i="11"/>
  <c r="M263" i="11"/>
  <c r="B30" i="17" s="1"/>
  <c r="B30" i="22" s="1"/>
  <c r="L263" i="11"/>
  <c r="K274" i="11"/>
  <c r="K278" i="11"/>
  <c r="K266" i="11"/>
  <c r="P263" i="11"/>
  <c r="D30" i="17" s="1"/>
  <c r="D30" i="22" s="1"/>
  <c r="K277" i="11"/>
  <c r="K272" i="11"/>
  <c r="K264" i="11"/>
  <c r="K276" i="11"/>
  <c r="U263" i="11"/>
  <c r="L30" i="17" s="1"/>
  <c r="L30" i="22" s="1"/>
  <c r="R263" i="11"/>
  <c r="K273" i="11"/>
  <c r="K271" i="11"/>
  <c r="T263" i="11"/>
  <c r="K75" i="11"/>
  <c r="K62" i="11"/>
  <c r="K69" i="11"/>
  <c r="K63" i="11"/>
  <c r="U58" i="11"/>
  <c r="AS58" i="11"/>
  <c r="K66" i="11"/>
  <c r="K71" i="11"/>
  <c r="K70" i="11"/>
  <c r="K74" i="11"/>
  <c r="K67" i="11"/>
  <c r="T58" i="11"/>
  <c r="M58" i="11"/>
  <c r="AE28" i="11"/>
  <c r="K394" i="11"/>
  <c r="K92" i="11"/>
  <c r="K265" i="11"/>
  <c r="T89" i="11"/>
  <c r="L51" i="11"/>
  <c r="L316" i="11"/>
  <c r="K300" i="11"/>
  <c r="W89" i="11"/>
  <c r="AJ28" i="11"/>
  <c r="K36" i="11"/>
  <c r="AF76" i="11"/>
  <c r="AJ76" i="11"/>
  <c r="AQ76" i="11"/>
  <c r="AE76" i="11"/>
  <c r="K229" i="11"/>
  <c r="K452" i="11"/>
  <c r="AB8" i="11"/>
  <c r="E8" i="17" s="1"/>
  <c r="E8" i="22" s="1"/>
  <c r="E9" i="17"/>
  <c r="E9" i="22" s="1"/>
  <c r="U85" i="11"/>
  <c r="W85" i="11"/>
  <c r="K86" i="11"/>
  <c r="K85" i="11" s="1"/>
  <c r="J15" i="17" l="1"/>
  <c r="J15" i="22" s="1"/>
  <c r="J17" i="17"/>
  <c r="J19" i="22"/>
  <c r="H19" i="17"/>
  <c r="H19" i="22" s="1"/>
  <c r="H30" i="17"/>
  <c r="H30" i="22" s="1"/>
  <c r="J34" i="17"/>
  <c r="J34" i="22" s="1"/>
  <c r="I35" i="22"/>
  <c r="K35" i="17"/>
  <c r="K35" i="22" s="1"/>
  <c r="J35" i="17"/>
  <c r="J35" i="22" s="1"/>
  <c r="H34" i="17"/>
  <c r="H34" i="22" s="1"/>
  <c r="H14" i="17"/>
  <c r="H14" i="22" s="1"/>
  <c r="H13" i="17"/>
  <c r="J33" i="17"/>
  <c r="J33" i="22" s="1"/>
  <c r="H35" i="17"/>
  <c r="H35" i="22" s="1"/>
  <c r="H31" i="17"/>
  <c r="H31" i="22" s="1"/>
  <c r="J36" i="17"/>
  <c r="J36" i="22" s="1"/>
  <c r="I33" i="22"/>
  <c r="K33" i="17"/>
  <c r="K33" i="22" s="1"/>
  <c r="J18" i="22"/>
  <c r="H18" i="17"/>
  <c r="H18" i="22" s="1"/>
  <c r="J30" i="17"/>
  <c r="J30" i="22" s="1"/>
  <c r="H33" i="17"/>
  <c r="H33" i="22" s="1"/>
  <c r="J17" i="22"/>
  <c r="H17" i="17"/>
  <c r="H17" i="22" s="1"/>
  <c r="J32" i="17"/>
  <c r="J32" i="22" s="1"/>
  <c r="J16" i="22"/>
  <c r="H16" i="17"/>
  <c r="H16" i="22" s="1"/>
  <c r="J31" i="17"/>
  <c r="J31" i="22" s="1"/>
  <c r="H15" i="17"/>
  <c r="H15" i="22" s="1"/>
  <c r="I36" i="22"/>
  <c r="K36" i="17"/>
  <c r="K36" i="22" s="1"/>
  <c r="H32" i="17"/>
  <c r="H32" i="22" s="1"/>
  <c r="H36" i="17"/>
  <c r="H36" i="22" s="1"/>
  <c r="J14" i="17"/>
  <c r="J14" i="22" s="1"/>
  <c r="I12" i="22"/>
  <c r="K12" i="17"/>
  <c r="K12" i="22" s="1"/>
  <c r="H13" i="22"/>
  <c r="J13" i="17"/>
  <c r="J13" i="22" s="1"/>
  <c r="J20" i="22"/>
  <c r="H20" i="17"/>
  <c r="H20" i="22" s="1"/>
  <c r="I29" i="22"/>
  <c r="K29" i="17"/>
  <c r="K29" i="22" s="1"/>
  <c r="H29" i="17"/>
  <c r="H29" i="22" s="1"/>
  <c r="J29" i="17"/>
  <c r="J29" i="22" s="1"/>
  <c r="J27" i="22"/>
  <c r="H27" i="17"/>
  <c r="H27" i="22" s="1"/>
  <c r="H8" i="17"/>
  <c r="H8" i="22" s="1"/>
  <c r="I8" i="22"/>
  <c r="K8" i="17"/>
  <c r="K8" i="22" s="1"/>
  <c r="J8" i="17"/>
  <c r="J8" i="22" s="1"/>
  <c r="I21" i="22"/>
  <c r="K21" i="17"/>
  <c r="K21" i="22" s="1"/>
  <c r="S390" i="11"/>
  <c r="S281" i="11"/>
  <c r="F34" i="17" s="1"/>
  <c r="S107" i="11"/>
  <c r="F29" i="17" s="1"/>
  <c r="K89" i="11"/>
  <c r="K200" i="11"/>
  <c r="K338" i="11"/>
  <c r="K177" i="11"/>
  <c r="K369" i="11"/>
  <c r="K375" i="11"/>
  <c r="K475" i="11"/>
  <c r="Q281" i="11"/>
  <c r="F34" i="22" s="1"/>
  <c r="Q49" i="11"/>
  <c r="F20" i="22" s="1"/>
  <c r="K357" i="11"/>
  <c r="K215" i="11"/>
  <c r="K381" i="11"/>
  <c r="K368" i="11"/>
  <c r="K356" i="11"/>
  <c r="Q58" i="11"/>
  <c r="K367" i="11"/>
  <c r="Q37" i="11"/>
  <c r="F14" i="22" s="1"/>
  <c r="K366" i="11"/>
  <c r="K304" i="11"/>
  <c r="K174" i="11"/>
  <c r="K175" i="11"/>
  <c r="K172" i="11"/>
  <c r="R49" i="11"/>
  <c r="K353" i="11"/>
  <c r="K378" i="11"/>
  <c r="K218" i="11"/>
  <c r="K377" i="11"/>
  <c r="K214" i="11"/>
  <c r="K379" i="11"/>
  <c r="K373" i="11"/>
  <c r="Q351" i="11"/>
  <c r="F35" i="22" s="1"/>
  <c r="Q107" i="11"/>
  <c r="Q390" i="11"/>
  <c r="Q386" i="11"/>
  <c r="F31" i="22" s="1"/>
  <c r="P44" i="11"/>
  <c r="D19" i="17" s="1"/>
  <c r="D19" i="22" s="1"/>
  <c r="K45" i="11"/>
  <c r="K44" i="11" s="1"/>
  <c r="K61" i="11"/>
  <c r="AC76" i="11"/>
  <c r="K288" i="11"/>
  <c r="K112" i="11"/>
  <c r="T76" i="11"/>
  <c r="K68" i="11"/>
  <c r="P94" i="11"/>
  <c r="P76" i="11" s="1"/>
  <c r="D21" i="17" s="1"/>
  <c r="D21" i="22" s="1"/>
  <c r="K72" i="11"/>
  <c r="P58" i="11"/>
  <c r="K96" i="11"/>
  <c r="K94" i="11" s="1"/>
  <c r="P351" i="11"/>
  <c r="D35" i="17" s="1"/>
  <c r="D35" i="22" s="1"/>
  <c r="M76" i="11"/>
  <c r="B21" i="17" s="1"/>
  <c r="B21" i="22" s="1"/>
  <c r="P386" i="11"/>
  <c r="D31" i="17" s="1"/>
  <c r="D31" i="22" s="1"/>
  <c r="W76" i="11"/>
  <c r="P390" i="11"/>
  <c r="O94" i="11"/>
  <c r="O76" i="11" s="1"/>
  <c r="P49" i="11"/>
  <c r="D20" i="17" s="1"/>
  <c r="D20" i="22" s="1"/>
  <c r="M68" i="10"/>
  <c r="U7" i="10"/>
  <c r="T7" i="10"/>
  <c r="Y7" i="10"/>
  <c r="Q7" i="10"/>
  <c r="AD7" i="10"/>
  <c r="J111" i="10"/>
  <c r="J68" i="10" s="1"/>
  <c r="R7" i="10"/>
  <c r="S68" i="10"/>
  <c r="K68" i="10"/>
  <c r="K340" i="11"/>
  <c r="K50" i="11"/>
  <c r="K49" i="11" s="1"/>
  <c r="K285" i="11"/>
  <c r="K468" i="11"/>
  <c r="O316" i="11"/>
  <c r="K59" i="11"/>
  <c r="K354" i="11"/>
  <c r="R58" i="11"/>
  <c r="F7" i="10"/>
  <c r="J218" i="10"/>
  <c r="H218" i="10"/>
  <c r="H68" i="10" s="1"/>
  <c r="I68" i="10"/>
  <c r="I7" i="10" s="1"/>
  <c r="V7" i="10"/>
  <c r="M23" i="10"/>
  <c r="M7" i="10" s="1"/>
  <c r="K372" i="11"/>
  <c r="N49" i="11"/>
  <c r="L37" i="11"/>
  <c r="O58" i="11"/>
  <c r="N7" i="10"/>
  <c r="X7" i="10"/>
  <c r="G68" i="10"/>
  <c r="K362" i="11"/>
  <c r="O49" i="11"/>
  <c r="AC8" i="11"/>
  <c r="K29" i="11"/>
  <c r="AS76" i="11"/>
  <c r="O29" i="11"/>
  <c r="K317" i="11"/>
  <c r="K376" i="11"/>
  <c r="N386" i="11"/>
  <c r="P316" i="11"/>
  <c r="D33" i="17" s="1"/>
  <c r="D33" i="22" s="1"/>
  <c r="K333" i="11"/>
  <c r="K56" i="11"/>
  <c r="K55" i="11" s="1"/>
  <c r="AB28" i="11"/>
  <c r="E12" i="17" s="1"/>
  <c r="E12" i="22" s="1"/>
  <c r="W28" i="11"/>
  <c r="C12" i="17" s="1"/>
  <c r="C12" i="22" s="1"/>
  <c r="K352" i="11"/>
  <c r="K178" i="11"/>
  <c r="K171" i="11"/>
  <c r="R107" i="11"/>
  <c r="K213" i="11"/>
  <c r="K309" i="11"/>
  <c r="K7" i="10"/>
  <c r="K306" i="11"/>
  <c r="Z7" i="10"/>
  <c r="R281" i="11"/>
  <c r="H23" i="10"/>
  <c r="O42" i="11"/>
  <c r="S7" i="10"/>
  <c r="K374" i="11"/>
  <c r="G47" i="10"/>
  <c r="G23" i="10" s="1"/>
  <c r="J47" i="10"/>
  <c r="J23" i="10" s="1"/>
  <c r="L23" i="10"/>
  <c r="L7" i="10" s="1"/>
  <c r="K173" i="11"/>
  <c r="K389" i="11"/>
  <c r="R37" i="11"/>
  <c r="K435" i="11"/>
  <c r="AR106" i="11"/>
  <c r="K176" i="11"/>
  <c r="Y28" i="11"/>
  <c r="K41" i="11"/>
  <c r="K355" i="11"/>
  <c r="P107" i="11"/>
  <c r="D29" i="17" s="1"/>
  <c r="D29" i="22" s="1"/>
  <c r="X28" i="11"/>
  <c r="AA76" i="11"/>
  <c r="K380" i="11"/>
  <c r="R386" i="11"/>
  <c r="K388" i="11"/>
  <c r="AA28" i="11"/>
  <c r="AC28" i="11"/>
  <c r="K365" i="11"/>
  <c r="N316" i="11"/>
  <c r="AE106" i="11"/>
  <c r="AE7" i="11" s="1"/>
  <c r="X76" i="11"/>
  <c r="K382" i="11"/>
  <c r="U28" i="11"/>
  <c r="L12" i="17" s="1"/>
  <c r="L12" i="22" s="1"/>
  <c r="N76" i="11"/>
  <c r="AB76" i="11"/>
  <c r="E21" i="17" s="1"/>
  <c r="E21" i="22" s="1"/>
  <c r="R346" i="11"/>
  <c r="W106" i="11"/>
  <c r="C28" i="17" s="1"/>
  <c r="C28" i="22" s="1"/>
  <c r="N37" i="11"/>
  <c r="K350" i="11"/>
  <c r="K346" i="11" s="1"/>
  <c r="N58" i="11"/>
  <c r="L58" i="11"/>
  <c r="N263" i="11"/>
  <c r="L281" i="11"/>
  <c r="K38" i="11"/>
  <c r="AS28" i="11"/>
  <c r="K358" i="11"/>
  <c r="M37" i="11"/>
  <c r="B14" i="17" s="1"/>
  <c r="B14" i="22" s="1"/>
  <c r="N281" i="11"/>
  <c r="O263" i="11"/>
  <c r="R351" i="11"/>
  <c r="AB106" i="11"/>
  <c r="E28" i="17" s="1"/>
  <c r="E28" i="22" s="1"/>
  <c r="R390" i="11"/>
  <c r="N351" i="11"/>
  <c r="K46" i="11"/>
  <c r="K114" i="11"/>
  <c r="L29" i="11"/>
  <c r="M107" i="11"/>
  <c r="B29" i="17" s="1"/>
  <c r="B29" i="22" s="1"/>
  <c r="Y106" i="11"/>
  <c r="O390" i="11"/>
  <c r="C9" i="17"/>
  <c r="C9" i="22" s="1"/>
  <c r="O51" i="11"/>
  <c r="N51" i="11"/>
  <c r="O281" i="11"/>
  <c r="N390" i="11"/>
  <c r="K51" i="11"/>
  <c r="N44" i="11"/>
  <c r="AD106" i="11"/>
  <c r="AD7" i="11" s="1"/>
  <c r="P281" i="11"/>
  <c r="D34" i="17" s="1"/>
  <c r="D34" i="22" s="1"/>
  <c r="K312" i="11"/>
  <c r="K489" i="11"/>
  <c r="X106" i="11"/>
  <c r="V106" i="11"/>
  <c r="V7" i="11" s="1"/>
  <c r="AQ7" i="11"/>
  <c r="Z7" i="11"/>
  <c r="L390" i="11"/>
  <c r="O107" i="11"/>
  <c r="T28" i="11"/>
  <c r="AC106" i="11"/>
  <c r="O351" i="11"/>
  <c r="O386" i="11"/>
  <c r="AF8" i="11"/>
  <c r="N107" i="11"/>
  <c r="AF106" i="11"/>
  <c r="U106" i="11"/>
  <c r="L28" i="17" s="1"/>
  <c r="L28" i="22" s="1"/>
  <c r="AS106" i="11"/>
  <c r="T106" i="11"/>
  <c r="AJ7" i="11"/>
  <c r="U76" i="11"/>
  <c r="L21" i="17" s="1"/>
  <c r="L21" i="22" s="1"/>
  <c r="K28" i="17" l="1"/>
  <c r="K28" i="22" s="1"/>
  <c r="AR7" i="11"/>
  <c r="H12" i="17"/>
  <c r="H12" i="22" s="1"/>
  <c r="J12" i="17"/>
  <c r="J12" i="22" s="1"/>
  <c r="J28" i="17"/>
  <c r="J28" i="22" s="1"/>
  <c r="F29" i="22"/>
  <c r="H28" i="17"/>
  <c r="H28" i="22" s="1"/>
  <c r="H21" i="17"/>
  <c r="H21" i="22" s="1"/>
  <c r="J21" i="17"/>
  <c r="J21" i="22" s="1"/>
  <c r="S106" i="11"/>
  <c r="I28" i="22"/>
  <c r="Q28" i="11"/>
  <c r="F12" i="22" s="1"/>
  <c r="Q106" i="11"/>
  <c r="P28" i="11"/>
  <c r="D12" i="17" s="1"/>
  <c r="D12" i="22" s="1"/>
  <c r="D27" i="17"/>
  <c r="D27" i="22" s="1"/>
  <c r="K58" i="11"/>
  <c r="K76" i="11"/>
  <c r="G7" i="10"/>
  <c r="H7" i="10"/>
  <c r="J7" i="10"/>
  <c r="K316" i="11"/>
  <c r="R28" i="11"/>
  <c r="K386" i="11"/>
  <c r="L106" i="11"/>
  <c r="AA7" i="11"/>
  <c r="O28" i="11"/>
  <c r="Y7" i="11"/>
  <c r="K281" i="11"/>
  <c r="K37" i="11"/>
  <c r="L28" i="11"/>
  <c r="K390" i="11"/>
  <c r="K351" i="11"/>
  <c r="M106" i="11"/>
  <c r="B28" i="17" s="1"/>
  <c r="B28" i="22" s="1"/>
  <c r="X7" i="11"/>
  <c r="M28" i="11"/>
  <c r="B12" i="17" s="1"/>
  <c r="B12" i="22" s="1"/>
  <c r="AB7" i="11"/>
  <c r="R106" i="11"/>
  <c r="N28" i="11"/>
  <c r="N106" i="11"/>
  <c r="P106" i="11"/>
  <c r="AF7" i="11"/>
  <c r="O106" i="11"/>
  <c r="AC7" i="11"/>
  <c r="U7" i="11"/>
  <c r="AS7" i="11"/>
  <c r="T7" i="11"/>
  <c r="C21" i="17"/>
  <c r="C21" i="22" s="1"/>
  <c r="W7" i="11"/>
  <c r="L7" i="17" l="1"/>
  <c r="S7" i="11"/>
  <c r="F28" i="17"/>
  <c r="F28" i="22" s="1"/>
  <c r="H7" i="17"/>
  <c r="K7" i="17"/>
  <c r="J7" i="17"/>
  <c r="Q7" i="11"/>
  <c r="K28" i="11"/>
  <c r="P7" i="11"/>
  <c r="R7" i="11"/>
  <c r="O7" i="11"/>
  <c r="L7" i="11"/>
  <c r="N7" i="11"/>
  <c r="M7" i="11"/>
  <c r="E7" i="17"/>
  <c r="D28" i="17"/>
  <c r="D28" i="22" s="1"/>
  <c r="C7" i="17"/>
  <c r="L7" i="22" l="1"/>
  <c r="H6" i="18"/>
  <c r="F7" i="17"/>
  <c r="K7" i="22"/>
  <c r="O6" i="18"/>
  <c r="O12" i="18" s="1"/>
  <c r="N6" i="18"/>
  <c r="N12" i="18" s="1"/>
  <c r="I7" i="22"/>
  <c r="H7" i="22"/>
  <c r="F6" i="18"/>
  <c r="C7" i="22"/>
  <c r="K6" i="18"/>
  <c r="E7" i="22"/>
  <c r="L6" i="18"/>
  <c r="J7" i="22"/>
  <c r="G6" i="18"/>
  <c r="G12" i="18" s="1"/>
  <c r="D7" i="17"/>
  <c r="B7" i="17"/>
  <c r="H5" i="16" l="1"/>
  <c r="H12" i="18"/>
  <c r="N13" i="18"/>
  <c r="O13" i="18"/>
  <c r="O5" i="16"/>
  <c r="O7" i="18"/>
  <c r="B7" i="22"/>
  <c r="C6" i="18"/>
  <c r="C7" i="18" s="1"/>
  <c r="K5" i="16"/>
  <c r="K7" i="18"/>
  <c r="K12" i="18"/>
  <c r="K13" i="18" s="1"/>
  <c r="G5" i="16"/>
  <c r="G7" i="18"/>
  <c r="G13" i="18"/>
  <c r="F7" i="22"/>
  <c r="E6" i="18"/>
  <c r="L5" i="16"/>
  <c r="L7" i="18"/>
  <c r="L12" i="18"/>
  <c r="L13" i="18" s="1"/>
  <c r="F5" i="16"/>
  <c r="F7" i="18"/>
  <c r="F12" i="18"/>
  <c r="F13" i="18" s="1"/>
  <c r="D7" i="22"/>
  <c r="D6" i="18"/>
  <c r="N5" i="16"/>
  <c r="K107" i="11"/>
  <c r="H11" i="16" l="1"/>
  <c r="O6" i="16"/>
  <c r="O11" i="16"/>
  <c r="O12" i="16" s="1"/>
  <c r="N6" i="16"/>
  <c r="N11" i="16"/>
  <c r="N12" i="16" s="1"/>
  <c r="L6" i="16"/>
  <c r="L11" i="16"/>
  <c r="L12" i="16" s="1"/>
  <c r="K11" i="16"/>
  <c r="K12" i="16" s="1"/>
  <c r="K6" i="16"/>
  <c r="D5" i="16"/>
  <c r="D7" i="18"/>
  <c r="D12" i="18"/>
  <c r="D13" i="18" s="1"/>
  <c r="E5" i="16"/>
  <c r="E7" i="18"/>
  <c r="E12" i="18"/>
  <c r="E13" i="18" s="1"/>
  <c r="G6" i="16"/>
  <c r="G11" i="16"/>
  <c r="G12" i="16" s="1"/>
  <c r="C5" i="16"/>
  <c r="C6" i="16" s="1"/>
  <c r="C12" i="18"/>
  <c r="C13" i="18" s="1"/>
  <c r="F6" i="16"/>
  <c r="F11" i="16"/>
  <c r="F12" i="16" s="1"/>
  <c r="C11" i="16" l="1"/>
  <c r="C12" i="16" s="1"/>
  <c r="D6" i="16"/>
  <c r="D11" i="16"/>
  <c r="D12" i="16" s="1"/>
  <c r="E6" i="16"/>
  <c r="E11" i="16"/>
  <c r="E12" i="16" s="1"/>
  <c r="N7" i="18"/>
  <c r="N11" i="18"/>
  <c r="N9" i="18"/>
  <c r="K7" i="11"/>
  <c r="K106" i="11"/>
  <c r="K263" i="11"/>
  <c r="K270" i="11"/>
  <c r="K270" i="1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8" authorId="0" shapeId="0" xr:uid="{E46095F4-018D-4C1E-9885-A9628A55AA87}">
      <text>
        <r>
          <rPr>
            <sz val="9"/>
            <color indexed="81"/>
            <rFont val="Tahoma"/>
            <family val="2"/>
            <charset val="186"/>
          </rPr>
          <t>18,5 milj. eiro no Latvenergo dividendēm, bez ietekmes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tc={448C6BBB-2BAA-497D-B83E-F4ECF730FA41}</author>
  </authors>
  <commentList>
    <comment ref="A9" authorId="0" shapeId="0" xr:uid="{DF63C5A9-EB04-4532-A35D-4C8D4667A456}">
      <text>
        <r>
          <rPr>
            <sz val="9"/>
            <color indexed="81"/>
            <rFont val="Tahoma"/>
            <family val="2"/>
            <charset val="186"/>
          </rPr>
          <t>MK Noteikumi 895 2021.g. 21.decembrī "Grozījumi Ministru kabineta 2014. gada 21. janvāra noteikumos Nr. 50 "Elektroenerģijas tirdzniecības un lietošanas noteikumi"" (valsts 01.12.2021.-30.04.2022. kompensēs 50% no elektroenerģijas sistēmas pakalpojuma izmaksām elektroenerģijas galalietotājiem - 77,9 milj. eiro) https://tapportals.mk.gov.lv/annotation/c1d88e11-9b04-4d51-ba5f-3aae8ffdecfe
MK Noteikumi 74 2022.g. 25.janvārī "Grozījumi Ministru kabineta 2014. gada 21. janvāra noteikumos Nr. 50 "Elektroenerģijas tirdzniecības un lietošanas noteikumi"" (valsts 01.01.2022.-30.04.2022. kompensēs 100% no elektroenerģijas sistēmas pakalpojuma izmaksām elektroenerģijas galalietotājiem - 63,5 milj. eiro) https://tapportals.mk.gov.lv/annotation/0c8456cc-81e7-4420-97da-45cd306cf760
29.01.2022 "Energoresursu cenu ārkārtēja pieauguma samazinājuma pasākumu likums" https://titania.saeima.lv/LIVS13/SaeimaLIVS13.nsf/0/2C90BD745B1FF02BC22587D7002DD3D3?OpenDocument</t>
        </r>
      </text>
    </comment>
    <comment ref="A10" authorId="0" shapeId="0" xr:uid="{A6D3BCE9-FEBD-4BE5-AF37-5CF87B3CFE84}">
      <text>
        <r>
          <rPr>
            <sz val="9"/>
            <color indexed="81"/>
            <rFont val="Tahoma"/>
            <family val="2"/>
            <charset val="186"/>
          </rPr>
          <t xml:space="preserve">MK Noteikumi Nr.690 2021.g. 19.oktobrī "Grozījumi Ministru kabineta 2021. gada 1. jūnija noteikumos Nr. 345 "Aizsargātā lietotāja tirdzniecības pakalpojuma noteikumi"" https://tapportals.mk.gov.lv/annotation/c7795a6d-50c9-495f-acd4-974aca833e3c </t>
        </r>
      </text>
    </comment>
    <comment ref="A11" authorId="0" shapeId="0" xr:uid="{8654CDF5-7D78-4744-AED4-8B1B4F404527}">
      <text>
        <r>
          <rPr>
            <sz val="9"/>
            <color indexed="81"/>
            <rFont val="Tahoma"/>
            <family val="2"/>
            <charset val="186"/>
          </rPr>
          <t>MK 30.11.2021 lemtais par OIK samazināšanu, ietekme 2022.g. 18,4 milj. eiro
Atbilstoši MK 30.08.2022 atbalstītajā kon.c ziņojumā ietvertajam risinājumam, no 2022. gada 1. septembra līdz 2025. gada 31. decembrim samazināta elektroenerģijas OIK vidējā likme uz 0 eiro/MWh (līdz šim bija 7,55 eiro/MWh), obligātā iepirkuma atbalsta izmaksas sedzot no AS “Latvenergo” dividenžu ieņēmumiem.</t>
        </r>
      </text>
    </comment>
    <comment ref="F11" authorId="0" shapeId="0" xr:uid="{7B12890E-087D-4820-9E95-E53DE3655DCE}">
      <text>
        <r>
          <rPr>
            <sz val="9"/>
            <color indexed="81"/>
            <rFont val="Tahoma"/>
            <family val="2"/>
            <charset val="186"/>
          </rPr>
          <t>FM aprēķini no EPT saimnieciskās darbības pārskata</t>
        </r>
      </text>
    </comment>
    <comment ref="A12" authorId="0" shapeId="0" xr:uid="{21542E6A-0C3C-4564-84F8-615705D73864}">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13" authorId="0" shapeId="0" xr:uid="{76801EE2-5D57-4D45-A80C-1DA33B78EE20}">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14" authorId="0" shapeId="0" xr:uid="{D9C2724B-29A2-48CC-BF66-CD65F80335F7}">
      <text>
        <r>
          <rPr>
            <sz val="9"/>
            <color indexed="81"/>
            <rFont val="Tahoma"/>
            <family val="2"/>
            <charset val="186"/>
          </rPr>
          <t>MK Noteikumi 74 2022.g. 25.decembrī "Grozījumi Ministru kabineta 2014. gada 21. janvāra noteikumos Nr. 50 "Elektroenerģijas tirdzniecības un lietošanas noteikumi"" (valsts 01.01.2022.-30.04.2022. kompensēs daļējo OIK galalietotājiem - 21,2 milj. eiro) https://tapportals.mk.gov.lv/annotation/0c8456cc-81e7-4420-97da-45cd306cf760
29.01.2022 "Energoresursu cenu ārkārtēja pieauguma samazinājuma pasākumu likums" https://titania.saeima.lv/LIVS13/SaeimaLIVS13.nsf/0/2C90BD745B1FF02BC22587D7002DD3D3?OpenDocument</t>
        </r>
      </text>
    </comment>
    <comment ref="F14" authorId="0" shapeId="0" xr:uid="{3706DE24-D156-4B28-8875-EA39F0360A79}">
      <text>
        <r>
          <rPr>
            <sz val="9"/>
            <color indexed="81"/>
            <rFont val="Tahoma"/>
            <family val="2"/>
            <charset val="186"/>
          </rPr>
          <t>saņemtā valsts kompensācija par negūtajiem OIK ieņēmumiem (01.01. – 30.04.2022. valsts atbalsta periodā, bez PVN - EM sniegtā informācija 21.02.2023</t>
        </r>
      </text>
    </comment>
    <comment ref="A16" authorId="0" shapeId="0" xr:uid="{27BDED37-A193-429B-9AE3-3317C7BB99DC}">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17" authorId="0" shapeId="0" xr:uid="{97BB8BC0-B5B0-4F2D-8AE0-ABA0E4035B90}">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 ref="A18" authorId="0" shapeId="0" xr:uid="{B836A843-515F-4583-8A39-1C88A22934F3}">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 ref="A19" authorId="0" shapeId="0" xr:uid="{AA8F6E47-2D5B-4E36-BC7E-B0A701C90762}">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0" authorId="0" shapeId="0" xr:uid="{A12A7CAB-B116-42C1-AB8D-5B94BFCAA7E7}">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1" authorId="0" shapeId="0" xr:uid="{CCE2487D-7497-4C0A-B5C7-EA6CF6109B11}">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2" authorId="0" shapeId="0" xr:uid="{9AB805B8-7A1A-41EC-84F9-B2236B320622}">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5" authorId="0" shapeId="0" xr:uid="{965DB355-50CD-42E8-B4BD-316528002615}">
      <text>
        <r>
          <rPr>
            <sz val="9"/>
            <color indexed="81"/>
            <rFont val="Tahoma"/>
            <family val="2"/>
            <charset val="186"/>
          </rPr>
          <t>23.08.2022. MK Grozījumi Energoresursu cenu ārkārtēja pieauguma samazinājuma pasākumu likumā https://titania.saeima.lv/LIVS13/SaeimaLIVS13.nsf/0/8BFCD3FF41A2A008C22588A8002C4B86?OpenDocument</t>
        </r>
      </text>
    </comment>
    <comment ref="A26" authorId="0" shapeId="0" xr:uid="{8B415CE0-152C-41CD-B7FC-2EEA3F511E41}">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A27" authorId="0" shapeId="0" xr:uid="{996CBB7F-67E3-4C08-BB83-33A235EA9D9C}">
      <text>
        <r>
          <rPr>
            <sz val="9"/>
            <color indexed="81"/>
            <rFont val="Tahoma"/>
            <family val="2"/>
            <charset val="186"/>
          </rPr>
          <t>Saeimas 08.12.2022 lēmums https://titania.saeima.lv/LIVS14/SaeimaLIVS14.nsf/webSasaiste?OpenView&amp;restricttocategory=58/Lp14</t>
        </r>
      </text>
    </comment>
    <comment ref="A28" authorId="0" shapeId="0" xr:uid="{9FF77A82-E501-4604-8581-C6A51140876F}">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A29" authorId="0" shapeId="0" xr:uid="{A077B1F3-9E3E-43A9-9B69-C28C6973305D}">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A30" authorId="0" shapeId="0" xr:uid="{F85CD434-D8A6-4AD7-87CE-DFB1A1A8E3EF}">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D33" authorId="1" shapeId="0" xr:uid="{448C6BBB-2BAA-497D-B83E-F4ECF730FA41}">
      <text>
        <t>[Threaded comment]
Your version of Excel allows you to read this threaded comment; however, any edits to it will get removed if the file is opened in a newer version of Excel. Learn more: https://go.microsoft.com/fwlink/?linkid=870924
Comment:
    pabalsta fin. līdzekļi 2022.g. 20,6 mln euro sadalās šādi:  covid19 atbasta mērķim 6,5 mln euro un energo atbalsta mērķa grupām 14,1 mln euro</t>
      </text>
    </comment>
    <comment ref="A34" authorId="0" shapeId="0" xr:uid="{B31D9E79-1D14-4349-B163-3C5DDE61E4D6}">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35" authorId="0" shapeId="0" xr:uid="{CCFCB0E3-FA42-4FF7-8995-AC70501674AF}">
      <text>
        <r>
          <rPr>
            <sz val="9"/>
            <color indexed="81"/>
            <rFont val="Tahoma"/>
            <family val="2"/>
            <charset val="186"/>
          </rPr>
          <t>29.01.2022 "Energoresursu cenu ārkārtēja pieauguma samazinājuma pasākumu likums" https://titania.saeima.lv/LIVS13/SaeimaLIVS13.nsf/0/2C90BD745B1FF02BC22587D7002DD3D3?OpenDocument
https://tapportals.mk.gov.lv/structuralizer/data/nodes/dec978c7-fdac-4d31-a48b-69a32d7acd26/preview</t>
        </r>
      </text>
    </comment>
    <comment ref="A36" authorId="0" shapeId="0" xr:uid="{89D40165-5386-4D4C-937F-6970EEE34138}">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41" authorId="0" shapeId="0" xr:uid="{29760D6C-772D-4C76-A100-757259985F63}">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 ref="A42" authorId="0" shapeId="0" xr:uid="{40B009EF-FA09-4486-BFBF-455243D45C96}">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tc={E8216232-E468-4F7C-9C9B-74358EE11FB4}</author>
  </authors>
  <commentList>
    <comment ref="D33" authorId="0" shapeId="0" xr:uid="{E8216232-E468-4F7C-9C9B-74358EE11FB4}">
      <text>
        <t>[Threaded comment]
Your version of Excel allows you to read this threaded comment; however, any edits to it will get removed if the file is opened in a newer version of Excel. Learn more: https://go.microsoft.com/fwlink/?linkid=870924
Comment:
    this benefit in 2022 amount 20,6 mln euro and is split to covid19 support (6,5 mln) and energo support targets 14,1 mln)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tc={1AB57D22-1B3B-4654-9EFF-A660B440E049}</author>
  </authors>
  <commentList>
    <comment ref="AI27" authorId="0" shapeId="0" xr:uid="{5221EB37-9856-4D04-98A1-7804D063BA48}">
      <text>
        <r>
          <rPr>
            <b/>
            <sz val="9"/>
            <color indexed="81"/>
            <rFont val="Tahoma"/>
            <family val="2"/>
            <charset val="186"/>
          </rPr>
          <t>Author:</t>
        </r>
        <r>
          <rPr>
            <sz val="9"/>
            <color indexed="81"/>
            <rFont val="Tahoma"/>
            <family val="2"/>
            <charset val="186"/>
          </rPr>
          <t xml:space="preserve">
Saglabāts plānotajā apmērā. NAD pēc fakta novērtēt nevar.</t>
        </r>
      </text>
    </comment>
    <comment ref="AR27" authorId="0" shapeId="0" xr:uid="{5833D5E9-2015-43E9-B086-1BF3CB4FB00E}">
      <text>
        <r>
          <rPr>
            <b/>
            <sz val="9"/>
            <color indexed="81"/>
            <rFont val="Tahoma"/>
            <family val="2"/>
            <charset val="186"/>
          </rPr>
          <t>Author:</t>
        </r>
        <r>
          <rPr>
            <sz val="9"/>
            <color indexed="81"/>
            <rFont val="Tahoma"/>
            <family val="2"/>
            <charset val="186"/>
          </rPr>
          <t xml:space="preserve">
Saglabāts plānotajā apmērā. NAD pēc fakta novērtēt nevar.</t>
        </r>
      </text>
    </comment>
    <comment ref="Y40" authorId="0" shapeId="0" xr:uid="{00000000-0006-0000-0000-00000100000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X48" authorId="0" shapeId="0" xr:uid="{00000000-0006-0000-0000-000002000000}">
      <text>
        <r>
          <rPr>
            <b/>
            <sz val="9"/>
            <color indexed="81"/>
            <rFont val="Tahoma"/>
            <family val="2"/>
            <charset val="186"/>
          </rPr>
          <t>Author:</t>
        </r>
        <r>
          <rPr>
            <sz val="9"/>
            <color indexed="81"/>
            <rFont val="Tahoma"/>
            <family val="2"/>
            <charset val="186"/>
          </rPr>
          <t xml:space="preserve">
SB izdevumu daļa, kas no LNG vēl nav piešķirta</t>
        </r>
      </text>
    </comment>
    <comment ref="Y48" authorId="0" shapeId="0" xr:uid="{00000000-0006-0000-0000-000003000000}">
      <text>
        <r>
          <rPr>
            <b/>
            <sz val="9"/>
            <color indexed="81"/>
            <rFont val="Tahoma"/>
            <family val="2"/>
            <charset val="186"/>
          </rPr>
          <t>Author:</t>
        </r>
        <r>
          <rPr>
            <sz val="9"/>
            <color indexed="81"/>
            <rFont val="Tahoma"/>
            <family val="2"/>
            <charset val="186"/>
          </rPr>
          <t xml:space="preserve">
SB izdevumu daļa, kas no LNG vēl nav piešķirta</t>
        </r>
      </text>
    </comment>
    <comment ref="Y52" authorId="0" shapeId="0" xr:uid="{00000000-0006-0000-0000-000004000000}">
      <text>
        <r>
          <rPr>
            <b/>
            <sz val="9"/>
            <color indexed="81"/>
            <rFont val="Tahoma"/>
            <family val="2"/>
            <charset val="186"/>
          </rPr>
          <t>Author:</t>
        </r>
        <r>
          <rPr>
            <sz val="9"/>
            <color indexed="81"/>
            <rFont val="Tahoma"/>
            <family val="2"/>
            <charset val="186"/>
          </rPr>
          <t xml:space="preserve">
No LNG pārdalītā daļa</t>
        </r>
      </text>
    </comment>
    <comment ref="AC74" authorId="1" shapeId="0" xr:uid="{1AB57D22-1B3B-4654-9EFF-A660B440E049}">
      <text>
        <t>[Threaded comment]
Your version of Excel allows you to read this threaded comment; however, any edits to it will get removed if the file is opened in a newer version of Excel. Learn more: https://go.microsoft.com/fwlink/?linkid=870924
Comment:
    precizēts plāns, jo šis pabalsts sadalās starp c19 mērķi (6,19milj.) un energo (14,06 milj.)</t>
      </text>
    </comment>
    <comment ref="Q78" authorId="0" shapeId="0" xr:uid="{5EB5114D-0484-4A7A-AD7E-75617A0F7D50}">
      <text>
        <r>
          <rPr>
            <b/>
            <sz val="9"/>
            <color indexed="81"/>
            <rFont val="Tahoma"/>
            <family val="2"/>
            <charset val="186"/>
          </rPr>
          <t>Author:</t>
        </r>
        <r>
          <rPr>
            <sz val="9"/>
            <color indexed="81"/>
            <rFont val="Tahoma"/>
            <family val="2"/>
            <charset val="186"/>
          </rPr>
          <t xml:space="preserve">
ALTUM prognoze 2022.gadam</t>
        </r>
      </text>
    </comment>
    <comment ref="R78" authorId="0" shapeId="0" xr:uid="{00000000-0006-0000-0000-000005000000}">
      <text>
        <r>
          <rPr>
            <b/>
            <sz val="9"/>
            <color indexed="81"/>
            <rFont val="Tahoma"/>
            <family val="2"/>
            <charset val="186"/>
          </rPr>
          <t>Author:</t>
        </r>
        <r>
          <rPr>
            <sz val="9"/>
            <color indexed="81"/>
            <rFont val="Tahoma"/>
            <family val="2"/>
            <charset val="186"/>
          </rPr>
          <t xml:space="preserve">
ALTUM prognoze 2022.gadam</t>
        </r>
      </text>
    </comment>
    <comment ref="Q80" authorId="0" shapeId="0" xr:uid="{345CB3CB-80F3-45CF-97C0-758CE669D8B1}">
      <text>
        <r>
          <rPr>
            <b/>
            <sz val="9"/>
            <color indexed="81"/>
            <rFont val="Tahoma"/>
            <family val="2"/>
            <charset val="186"/>
          </rPr>
          <t>Author:</t>
        </r>
        <r>
          <rPr>
            <sz val="9"/>
            <color indexed="81"/>
            <rFont val="Tahoma"/>
            <family val="2"/>
            <charset val="186"/>
          </rPr>
          <t xml:space="preserve">
ALTUM prognoze 2022.gadam</t>
        </r>
      </text>
    </comment>
    <comment ref="R80" authorId="0" shapeId="0" xr:uid="{00000000-0006-0000-0000-000006000000}">
      <text>
        <r>
          <rPr>
            <b/>
            <sz val="9"/>
            <color indexed="81"/>
            <rFont val="Tahoma"/>
            <family val="2"/>
            <charset val="186"/>
          </rPr>
          <t>Author:</t>
        </r>
        <r>
          <rPr>
            <sz val="9"/>
            <color indexed="81"/>
            <rFont val="Tahoma"/>
            <family val="2"/>
            <charset val="186"/>
          </rPr>
          <t xml:space="preserve">
ALTUM prognoze 2022.gadam</t>
        </r>
      </text>
    </comment>
    <comment ref="S80" authorId="0" shapeId="0" xr:uid="{8D319AEB-8208-4F30-9844-AC61D3AC3403}">
      <text>
        <r>
          <rPr>
            <b/>
            <sz val="9"/>
            <color indexed="81"/>
            <rFont val="Tahoma"/>
            <family val="2"/>
            <charset val="186"/>
          </rPr>
          <t>Author:</t>
        </r>
        <r>
          <rPr>
            <sz val="9"/>
            <color indexed="81"/>
            <rFont val="Tahoma"/>
            <family val="2"/>
            <charset val="186"/>
          </rPr>
          <t xml:space="preserve">
ALTUM prognoze 2022.gadam</t>
        </r>
      </text>
    </comment>
    <comment ref="Q84" authorId="0" shapeId="0" xr:uid="{383BFD65-158F-4679-B808-56783E4BCAA6}">
      <text>
        <r>
          <rPr>
            <b/>
            <sz val="9"/>
            <color indexed="81"/>
            <rFont val="Tahoma"/>
            <family val="2"/>
            <charset val="186"/>
          </rPr>
          <t>Author:</t>
        </r>
        <r>
          <rPr>
            <sz val="9"/>
            <color indexed="81"/>
            <rFont val="Tahoma"/>
            <family val="2"/>
            <charset val="186"/>
          </rPr>
          <t xml:space="preserve">
ALTUM prognoze 2022.gadam</t>
        </r>
      </text>
    </comment>
    <comment ref="R84" authorId="0" shapeId="0" xr:uid="{00000000-0006-0000-0000-000007000000}">
      <text>
        <r>
          <rPr>
            <b/>
            <sz val="9"/>
            <color indexed="81"/>
            <rFont val="Tahoma"/>
            <family val="2"/>
            <charset val="186"/>
          </rPr>
          <t>Author:</t>
        </r>
        <r>
          <rPr>
            <sz val="9"/>
            <color indexed="81"/>
            <rFont val="Tahoma"/>
            <family val="2"/>
            <charset val="186"/>
          </rPr>
          <t xml:space="preserve">
ALTUM prognoze 2022.gadam</t>
        </r>
      </text>
    </comment>
    <comment ref="N86" authorId="0" shapeId="0" xr:uid="{00000000-0006-0000-00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ALTUM prognoze 7,5 milj. eiro 2021.gadam</t>
        </r>
      </text>
    </comment>
    <comment ref="Q88" authorId="0" shapeId="0" xr:uid="{1C36BE13-03C5-4ACF-92FA-2ECF66E3EB64}">
      <text>
        <r>
          <rPr>
            <b/>
            <sz val="9"/>
            <color indexed="81"/>
            <rFont val="Tahoma"/>
            <family val="2"/>
            <charset val="186"/>
          </rPr>
          <t>Author:</t>
        </r>
        <r>
          <rPr>
            <sz val="9"/>
            <color indexed="81"/>
            <rFont val="Tahoma"/>
            <family val="2"/>
            <charset val="186"/>
          </rPr>
          <t xml:space="preserve">
ALTUM prognoze 2022.gadam</t>
        </r>
      </text>
    </comment>
    <comment ref="R88" authorId="0" shapeId="0" xr:uid="{00000000-0006-0000-0000-000009000000}">
      <text>
        <r>
          <rPr>
            <b/>
            <sz val="9"/>
            <color indexed="81"/>
            <rFont val="Tahoma"/>
            <family val="2"/>
            <charset val="186"/>
          </rPr>
          <t>Author:</t>
        </r>
        <r>
          <rPr>
            <sz val="9"/>
            <color indexed="81"/>
            <rFont val="Tahoma"/>
            <family val="2"/>
            <charset val="186"/>
          </rPr>
          <t xml:space="preserve">
ALTUM prognoze 2022.gadam</t>
        </r>
      </text>
    </comment>
    <comment ref="S88" authorId="0" shapeId="0" xr:uid="{692787F5-3286-42DD-B36D-CD48195CC15E}">
      <text>
        <r>
          <rPr>
            <b/>
            <sz val="9"/>
            <color indexed="81"/>
            <rFont val="Tahoma"/>
            <family val="2"/>
            <charset val="186"/>
          </rPr>
          <t>Author:</t>
        </r>
        <r>
          <rPr>
            <sz val="9"/>
            <color indexed="81"/>
            <rFont val="Tahoma"/>
            <family val="2"/>
            <charset val="186"/>
          </rPr>
          <t xml:space="preserve">
ALTUM prognoze 2022.gadam</t>
        </r>
      </text>
    </comment>
    <comment ref="X128" authorId="0" shapeId="0" xr:uid="{00000000-0006-0000-0000-00000A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34" authorId="0" shapeId="0" xr:uid="{00000000-0006-0000-0000-00000B000000}">
      <text>
        <r>
          <rPr>
            <b/>
            <sz val="9"/>
            <color indexed="81"/>
            <rFont val="Tahoma"/>
            <family val="2"/>
            <charset val="186"/>
          </rPr>
          <t>Author:</t>
        </r>
        <r>
          <rPr>
            <sz val="9"/>
            <color indexed="81"/>
            <rFont val="Tahoma"/>
            <family val="2"/>
            <charset val="186"/>
          </rPr>
          <t xml:space="preserve">
7,905455 citā lēmumā</t>
        </r>
      </text>
    </comment>
    <comment ref="X138" authorId="0" shapeId="0" xr:uid="{00000000-0006-0000-0000-00000C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40" authorId="0" shapeId="0" xr:uid="{00000000-0006-0000-0000-00000D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44" authorId="0" shapeId="0" xr:uid="{00000000-0006-0000-0000-00000E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45" authorId="0" shapeId="0" xr:uid="{00000000-0006-0000-0000-00000F000000}">
      <text>
        <r>
          <rPr>
            <b/>
            <sz val="9"/>
            <color indexed="81"/>
            <rFont val="Tahoma"/>
            <family val="2"/>
            <charset val="186"/>
          </rPr>
          <t>Author:</t>
        </r>
        <r>
          <rPr>
            <sz val="9"/>
            <color indexed="81"/>
            <rFont val="Tahoma"/>
            <family val="2"/>
            <charset val="186"/>
          </rPr>
          <t xml:space="preserve">
Daļa neizlietota</t>
        </r>
      </text>
    </comment>
    <comment ref="X147" authorId="0" shapeId="0" xr:uid="{00000000-0006-0000-0000-000010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48" authorId="0" shapeId="0" xr:uid="{00000000-0006-0000-0000-000011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50" authorId="0" shapeId="0" xr:uid="{00000000-0006-0000-0000-000012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53" authorId="0" shapeId="0" xr:uid="{00000000-0006-0000-0000-000013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X164" authorId="0" shapeId="0" xr:uid="{00000000-0006-0000-0000-00001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Ņemot vērā BD sniegto informāciju precizēts uz 69,6 milj. eiro</t>
        </r>
      </text>
    </comment>
    <comment ref="AC186" authorId="0" shapeId="0" xr:uid="{00000000-0006-0000-0000-000015000000}">
      <text>
        <r>
          <rPr>
            <b/>
            <sz val="9"/>
            <color indexed="81"/>
            <rFont val="Tahoma"/>
            <family val="2"/>
            <charset val="186"/>
          </rPr>
          <t>Author:</t>
        </r>
        <r>
          <rPr>
            <sz val="9"/>
            <color indexed="81"/>
            <rFont val="Tahoma"/>
            <family val="2"/>
            <charset val="186"/>
          </rPr>
          <t xml:space="preserve">
Daļa pārdalīta ar rīkojumu</t>
        </r>
      </text>
    </comment>
    <comment ref="AH189" authorId="0" shapeId="0" xr:uid="{50722EE9-CDD0-4200-A24E-B263A6BE84A6}">
      <text>
        <r>
          <rPr>
            <b/>
            <sz val="9"/>
            <color indexed="81"/>
            <rFont val="Tahoma"/>
            <family val="2"/>
            <charset val="186"/>
          </rPr>
          <t>Author:</t>
        </r>
        <r>
          <rPr>
            <sz val="9"/>
            <color indexed="81"/>
            <rFont val="Tahoma"/>
            <family val="2"/>
            <charset val="186"/>
          </rPr>
          <t xml:space="preserve">
15,4 milj. eiro ietaupījums, ņemot vērā VM sniegto informāciju</t>
        </r>
      </text>
    </comment>
    <comment ref="AI249" authorId="0" shapeId="0" xr:uid="{D5AF2FF4-555F-4B72-8010-D4DB28C4071C}">
      <text>
        <r>
          <rPr>
            <b/>
            <sz val="9"/>
            <color indexed="81"/>
            <rFont val="Tahoma"/>
            <family val="2"/>
            <charset val="186"/>
          </rPr>
          <t>Author:</t>
        </r>
        <r>
          <rPr>
            <sz val="9"/>
            <color indexed="81"/>
            <rFont val="Tahoma"/>
            <family val="2"/>
            <charset val="186"/>
          </rPr>
          <t xml:space="preserve">
Izpilde rindu augstāk</t>
        </r>
      </text>
    </comment>
    <comment ref="AR249" authorId="0" shapeId="0" xr:uid="{521FD59D-B5AA-4376-ADCA-598E69369F2B}">
      <text>
        <r>
          <rPr>
            <b/>
            <sz val="9"/>
            <color indexed="81"/>
            <rFont val="Tahoma"/>
            <family val="2"/>
            <charset val="186"/>
          </rPr>
          <t>Author:</t>
        </r>
        <r>
          <rPr>
            <sz val="9"/>
            <color indexed="81"/>
            <rFont val="Tahoma"/>
            <family val="2"/>
            <charset val="186"/>
          </rPr>
          <t xml:space="preserve">
Izpilde rindu augstāk</t>
        </r>
      </text>
    </comment>
    <comment ref="Y267" authorId="0" shapeId="0" xr:uid="{00000000-0006-0000-0000-000016000000}">
      <text>
        <r>
          <rPr>
            <b/>
            <sz val="9"/>
            <color indexed="81"/>
            <rFont val="Tahoma"/>
            <family val="2"/>
            <charset val="186"/>
          </rPr>
          <t>Author:</t>
        </r>
        <r>
          <rPr>
            <sz val="9"/>
            <color indexed="81"/>
            <rFont val="Tahoma"/>
            <family val="2"/>
            <charset val="186"/>
          </rPr>
          <t xml:space="preserve">
Atbilsto'si EK l'emumam</t>
        </r>
      </text>
    </comment>
    <comment ref="X352" authorId="0" shapeId="0" xr:uid="{00000000-0006-0000-0000-000017000000}">
      <text>
        <r>
          <rPr>
            <b/>
            <sz val="9"/>
            <color indexed="81"/>
            <rFont val="Tahoma"/>
            <family val="2"/>
            <charset val="186"/>
          </rPr>
          <t>Author:</t>
        </r>
        <r>
          <rPr>
            <sz val="9"/>
            <color indexed="81"/>
            <rFont val="Tahoma"/>
            <family val="2"/>
            <charset val="186"/>
          </rPr>
          <t xml:space="preserve">
SM finansējums izdalīts atsevišķi</t>
        </r>
      </text>
    </comment>
    <comment ref="Y352" authorId="0" shapeId="0" xr:uid="{00000000-0006-0000-0000-000018000000}">
      <text>
        <r>
          <rPr>
            <b/>
            <sz val="9"/>
            <color indexed="81"/>
            <rFont val="Tahoma"/>
            <family val="2"/>
            <charset val="186"/>
          </rPr>
          <t>Author:</t>
        </r>
        <r>
          <rPr>
            <sz val="9"/>
            <color indexed="81"/>
            <rFont val="Tahoma"/>
            <family val="2"/>
            <charset val="186"/>
          </rPr>
          <t xml:space="preserve">
T.sk. SM finansējums</t>
        </r>
      </text>
    </comment>
    <comment ref="AG352" authorId="0" shapeId="0" xr:uid="{5B089750-D41B-4C5B-B681-57756395EE2B}">
      <text>
        <r>
          <rPr>
            <b/>
            <sz val="9"/>
            <color indexed="81"/>
            <rFont val="Tahoma"/>
            <family val="2"/>
            <charset val="186"/>
          </rPr>
          <t>Author:</t>
        </r>
        <r>
          <rPr>
            <sz val="9"/>
            <color indexed="81"/>
            <rFont val="Tahoma"/>
            <family val="2"/>
            <charset val="186"/>
          </rPr>
          <t xml:space="preserve">
Pieņemts, ka Austrumu maģistrāles posma "Ieriķu–Vietalvas iela" 2. kārtas izbūve netiks īstenota 2022.gadā</t>
        </r>
      </text>
    </comment>
    <comment ref="AH352" authorId="0" shapeId="0" xr:uid="{41A1E53E-FA8C-4278-8CD3-0BB3C6ADE174}">
      <text>
        <r>
          <rPr>
            <b/>
            <sz val="9"/>
            <color indexed="81"/>
            <rFont val="Tahoma"/>
            <family val="2"/>
            <charset val="186"/>
          </rPr>
          <t>Author:</t>
        </r>
        <r>
          <rPr>
            <sz val="9"/>
            <color indexed="81"/>
            <rFont val="Tahoma"/>
            <family val="2"/>
            <charset val="186"/>
          </rPr>
          <t xml:space="preserve">
Pieņemts, ka Austrumu maģistrāles posma "Ieriķu–Vietalvas iela" 2. kārtas izbūve netiks īstenota 2022.gadā</t>
        </r>
      </text>
    </comment>
    <comment ref="AI370" authorId="0" shapeId="0" xr:uid="{3F36782B-E878-40A5-8872-F1AE11789DDC}">
      <text>
        <r>
          <rPr>
            <b/>
            <sz val="9"/>
            <color indexed="81"/>
            <rFont val="Tahoma"/>
            <family val="2"/>
            <charset val="186"/>
          </rPr>
          <t>Author:</t>
        </r>
        <r>
          <rPr>
            <sz val="9"/>
            <color indexed="81"/>
            <rFont val="Tahoma"/>
            <family val="2"/>
            <charset val="186"/>
          </rPr>
          <t xml:space="preserve">
Papildus slimnīcu pamatkapitāls no 2021.g.</t>
        </r>
      </text>
    </comment>
    <comment ref="AR370" authorId="0" shapeId="0" xr:uid="{2A1CC08A-6D11-4240-B010-9540EFA00DBF}">
      <text>
        <r>
          <rPr>
            <b/>
            <sz val="9"/>
            <color indexed="81"/>
            <rFont val="Tahoma"/>
            <family val="2"/>
            <charset val="186"/>
          </rPr>
          <t>Author:</t>
        </r>
        <r>
          <rPr>
            <sz val="9"/>
            <color indexed="81"/>
            <rFont val="Tahoma"/>
            <family val="2"/>
            <charset val="186"/>
          </rPr>
          <t xml:space="preserve">
Papildus slimnīcu pamatkapitāls no 2021.g.</t>
        </r>
      </text>
    </comment>
    <comment ref="AI377" authorId="0" shapeId="0" xr:uid="{F9F8B511-4E17-4614-B220-D8200D42AFD8}">
      <text>
        <r>
          <rPr>
            <b/>
            <sz val="9"/>
            <color indexed="81"/>
            <rFont val="Tahoma"/>
            <family val="2"/>
            <charset val="186"/>
          </rPr>
          <t>Author:</t>
        </r>
        <r>
          <rPr>
            <sz val="9"/>
            <color indexed="81"/>
            <rFont val="Tahoma"/>
            <family val="2"/>
            <charset val="186"/>
          </rPr>
          <t xml:space="preserve">
VK datos izdevumi vienā pozīcijā</t>
        </r>
      </text>
    </comment>
    <comment ref="AR377" authorId="0" shapeId="0" xr:uid="{BEAF7A0C-A66B-4D91-B722-3ECC11D252C1}">
      <text>
        <r>
          <rPr>
            <b/>
            <sz val="9"/>
            <color indexed="81"/>
            <rFont val="Tahoma"/>
            <family val="2"/>
            <charset val="186"/>
          </rPr>
          <t>Author:</t>
        </r>
        <r>
          <rPr>
            <sz val="9"/>
            <color indexed="81"/>
            <rFont val="Tahoma"/>
            <family val="2"/>
            <charset val="186"/>
          </rPr>
          <t xml:space="preserve">
VK datos izdevumi vienā pozīcijā</t>
        </r>
      </text>
    </comment>
    <comment ref="AC468" authorId="0" shapeId="0" xr:uid="{00000000-0006-0000-0000-00001B000000}">
      <text>
        <r>
          <rPr>
            <b/>
            <sz val="9"/>
            <color indexed="81"/>
            <rFont val="Tahoma"/>
            <family val="2"/>
            <charset val="186"/>
          </rPr>
          <t xml:space="preserve">Anna Strautiņa
MK rīk.nr.83 palielināts fin. 2022.gadā 148 353 eur 
</t>
        </r>
      </text>
    </comment>
    <comment ref="AD468" authorId="0" shapeId="0" xr:uid="{00000000-0006-0000-0000-00001C000000}">
      <text>
        <r>
          <rPr>
            <b/>
            <sz val="9"/>
            <color indexed="81"/>
            <rFont val="Tahoma"/>
            <family val="2"/>
            <charset val="186"/>
          </rPr>
          <t xml:space="preserve">Anna Strautiņa
MK rīk.nr.83 palielināts fin. 2022.gadā 148 353 eur 
</t>
        </r>
      </text>
    </comment>
    <comment ref="AE468" authorId="0" shapeId="0" xr:uid="{00000000-0006-0000-0000-00001D000000}">
      <text>
        <r>
          <rPr>
            <b/>
            <sz val="9"/>
            <color indexed="81"/>
            <rFont val="Tahoma"/>
            <family val="2"/>
            <charset val="186"/>
          </rPr>
          <t xml:space="preserve">Anna Strautiņa
MK rīk.nr.83 palielināts fin. 2022.gadā 148 353 eur 
</t>
        </r>
      </text>
    </comment>
    <comment ref="AF468" authorId="0" shapeId="0" xr:uid="{00000000-0006-0000-0000-00001E000000}">
      <text>
        <r>
          <rPr>
            <b/>
            <sz val="9"/>
            <color indexed="81"/>
            <rFont val="Tahoma"/>
            <family val="2"/>
            <charset val="186"/>
          </rPr>
          <t xml:space="preserve">Anna Strautiņa
MK rīk.nr.83 palielināts fin. 2022.gadā 148 353 eur 
</t>
        </r>
      </text>
    </comment>
    <comment ref="AI484" authorId="0" shapeId="0" xr:uid="{EBB6E5F9-0CB7-482A-B36F-CE19E4632642}">
      <text>
        <r>
          <rPr>
            <b/>
            <sz val="9"/>
            <color indexed="81"/>
            <rFont val="Tahoma"/>
            <family val="2"/>
            <charset val="186"/>
          </rPr>
          <t>MK rīkojums Nr.80, 234 un 346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Y27" authorId="0" shapeId="0" xr:uid="{00000000-0006-0000-0300-000001000000}">
      <text>
        <r>
          <rPr>
            <b/>
            <sz val="9"/>
            <color indexed="81"/>
            <rFont val="Tahoma"/>
            <family val="2"/>
            <charset val="186"/>
          </rPr>
          <t>Author:</t>
        </r>
        <r>
          <rPr>
            <sz val="9"/>
            <color indexed="81"/>
            <rFont val="Tahoma"/>
            <family val="2"/>
            <charset val="186"/>
          </rPr>
          <t xml:space="preserve">
SB izdevumu daļa, kas no LNG vēl nav piešķirta</t>
        </r>
      </text>
    </comment>
    <comment ref="Z27" authorId="0" shapeId="0" xr:uid="{00000000-0006-0000-0300-000002000000}">
      <text>
        <r>
          <rPr>
            <b/>
            <sz val="9"/>
            <color indexed="81"/>
            <rFont val="Tahoma"/>
            <family val="2"/>
            <charset val="186"/>
          </rPr>
          <t>Author:</t>
        </r>
        <r>
          <rPr>
            <sz val="9"/>
            <color indexed="81"/>
            <rFont val="Tahoma"/>
            <family val="2"/>
            <charset val="186"/>
          </rPr>
          <t xml:space="preserve">
SB izdevumu daļa, kas no LNG vēl nav piešķirta</t>
        </r>
      </text>
    </comment>
    <comment ref="Z28" authorId="0" shapeId="0" xr:uid="{00000000-0006-0000-0300-000003000000}">
      <text>
        <r>
          <rPr>
            <b/>
            <sz val="9"/>
            <color indexed="81"/>
            <rFont val="Tahoma"/>
            <family val="2"/>
            <charset val="186"/>
          </rPr>
          <t>Author:</t>
        </r>
        <r>
          <rPr>
            <sz val="9"/>
            <color indexed="81"/>
            <rFont val="Tahoma"/>
            <family val="2"/>
            <charset val="186"/>
          </rPr>
          <t xml:space="preserve">
No LNG pārdalītā daļa</t>
        </r>
      </text>
    </comment>
    <comment ref="Z52" authorId="0" shapeId="0" xr:uid="{00000000-0006-0000-0300-00000400000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AC61" authorId="0" shapeId="0" xr:uid="{00000000-0006-0000-0300-000005000000}">
      <text>
        <r>
          <rPr>
            <b/>
            <sz val="9"/>
            <color indexed="81"/>
            <rFont val="Tahoma"/>
            <family val="2"/>
            <charset val="186"/>
          </rPr>
          <t>Author:</t>
        </r>
        <r>
          <rPr>
            <sz val="9"/>
            <color indexed="81"/>
            <rFont val="Tahoma"/>
            <family val="2"/>
            <charset val="186"/>
          </rPr>
          <t xml:space="preserve">
Dati uz 12.05.2021</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<sst xmlns="http://schemas.openxmlformats.org/spreadsheetml/2006/main" count="5014" uniqueCount="2390">
  <si>
    <t>N.p.k.</t>
  </si>
  <si>
    <t>Īss apraksts</t>
  </si>
  <si>
    <t>PVN pārmaksas tiek izskatītas un atmaksātas visiem nodokļu maksātajiem 30 dienu laikā, tās neuzkrājot līdz taksācijas gada beigām; normas spēkā stāšanās - 2020.gada 1.aprīlis.</t>
  </si>
  <si>
    <t>Lēmums</t>
  </si>
  <si>
    <t>Kredītu garantijas</t>
  </si>
  <si>
    <t>Portfeļgarantijas </t>
  </si>
  <si>
    <t>Pasākums</t>
  </si>
  <si>
    <t>LM</t>
  </si>
  <si>
    <t xml:space="preserve">Aizdevumi apgrozāmiem līdzekļiem 
</t>
  </si>
  <si>
    <t>MK 19.03.2020. prot. Nr.16 5.§</t>
  </si>
  <si>
    <t>Cabinet of Ministers 19.03.2020. prot. No.16 5.§</t>
  </si>
  <si>
    <t>Portfolio guarantees</t>
  </si>
  <si>
    <t>Credit guarantees</t>
  </si>
  <si>
    <t>VAT overpayments are processed and refunded to all taxpayers within 30 days without accruing until the end of the tax year; norm active from  1 April 2020.</t>
  </si>
  <si>
    <t>Short description</t>
  </si>
  <si>
    <t>Policy measure</t>
  </si>
  <si>
    <t>Covid-19 izraisītās krīzes tautsaimniecības atbalsta pasākumu apkopojums un to fiskālā ietekme</t>
  </si>
  <si>
    <t>Normatīvais akts</t>
  </si>
  <si>
    <t>EKS ieņēmumu/
izdevumu kods</t>
  </si>
  <si>
    <t>Pieņēmumi ietekmes aprēķināšanai</t>
  </si>
  <si>
    <t>Atbildīgā institūcija
(iestāde)</t>
  </si>
  <si>
    <t>Grozījums Bezdarbnieku un darba meklētāju atbalsta likumā</t>
  </si>
  <si>
    <t>Tiesības uz bezdarbnieka statusu patentmaksas un mikrouzņēmuma nodokļa maksātājiem</t>
  </si>
  <si>
    <t>SM</t>
  </si>
  <si>
    <t>VM</t>
  </si>
  <si>
    <t>IZM</t>
  </si>
  <si>
    <t>03.03.2020
20.03.2020</t>
  </si>
  <si>
    <t>IeM</t>
  </si>
  <si>
    <t>Vkanceleja</t>
  </si>
  <si>
    <t>Grozījums likumā "Par maternitātes un slimības apdrošināšanu"</t>
  </si>
  <si>
    <t xml:space="preserve">Līdz 2020.gada 31.decembrim tiesības uz bezdarbnieka statusu, ir arī personai, kura zaudējusi darba ņēmēja statusu un uz darba ņēmēja statusa zaudēšanas dienu ir reģistrēta kā patentmaksas maksātājs, mikrouzņēmuma darbinieks, kas ir mikrouzņēmuma  īpašnieks vai pašnodarbinātais, kurš ir izvēlējies mikrouzņēmuma nodokļa nomaksu, un kuras ienākumi mēnesī šajā darbības jomā nesasniedz Ministru kabineta noteiktās minimālās mēneša darba alga apmēru.  </t>
  </si>
  <si>
    <t>MK not. Nr. 153 "Grozījumi Ministru kabineta 2020.gada 19.marta noteikumos Nr.149 "Noteikumi par apgrozāmo līdzekļu aizdevumiem saimnieciskās darbības veicējiem, kuru darbību ietekmējusi Covid-19 izplatība""</t>
  </si>
  <si>
    <t>MK not. Nr. 154 "Grozījumi Ministru kabineta 2020.gada 19.marta noteikumos Nr.150 "Noteikumi par garantijām saimnieciskās darbības veicējiem, kuru darbību ietekmējusi Covid-19 izplatība""</t>
  </si>
  <si>
    <t>MK not. Nr. 155 "Grozījumi Ministru kabineta 2017.gada 5.septembra noteikumos Nr.537 "Noteikumi par portfeļgarantijām sīko (mikro), mazo un vidējo komersantu kreditēšanas veicināšanai""</t>
  </si>
  <si>
    <t>Kredīta brīvdienu garantija:
– MVU un lielajiem uzņēmumiem, kuriem Covid-19 izplatības dēļ radušās objektīvas grūtības veikt aizdevumu maksājumus bankās, pieejama kredīta garantiju, kas ļaus bankai atlikt pamatsummas maksājumu;
– pieejama saimnieciskās darbības veicējiem, lauksaimniekiem un zivsaimniecības un akvakultūras nozarei.</t>
  </si>
  <si>
    <t>Atbalsts aviopārvadājumu nozarei</t>
  </si>
  <si>
    <t>Pagarināts vecāku pabalstu saņemšanas termiņš</t>
  </si>
  <si>
    <t>Aprēķins: 
- vecāku pabalsta saņēmēju, kuriem provizoriski no 12.marta līdz sakarā ar Covid-19 izsludinātās ārkārtējās situācijas beigām (pieņēmums līdz 14.jūlijam, t.i. četri mēneši), skaits vidēji mēnesī – 3 780;
- par šo periodu vecāku pabalsta turpinājums tiek izmaksāts iepriekš piešķirtā vecāku pabalsta apmērā, bet ne vairāk kā 700 euro mēnesī.</t>
  </si>
  <si>
    <t>FM</t>
  </si>
  <si>
    <t>Iekšējā pārdale</t>
  </si>
  <si>
    <t>ZM</t>
  </si>
  <si>
    <t>Finansiālo grūtību mazināšanai lauksaimniecības, mežsaimniecības, zivsaimniecības un pārtikas ražošanas nozarēm</t>
  </si>
  <si>
    <t>35 500 000 euro, kas izstrādāts ar mērķi sniegtu finansiālu atbalstu ražotājiem un citiem uzņēmumiem lauksaimniecības un pārtikas nozarē saistībā ar COVID-19 izplatības ietekmi uz tautsaimniecību. 5 000 000 euro, lai nodrošinātu lauku saimniecību riska pārvaldību un nepārtrauktu pārreju uz jauno 2021. – 2027.gada plānošanas periodu. 5 000 000 euro, lai nodrošinātu uzņēmumu likviditāti un saglabātu naudas plūsmu, kas ļaus sekmīgi īstenot Latvijas Lauku attīstības programmas 2014. – 2020.gadam uzsāktos investīciju projektus un mazinās finansiālo slogu lauku saimniecībām un uzņēmumiem</t>
  </si>
  <si>
    <t>Atbalsts primārajiem lauksaimniecības ražotājiem, lauksaimniecības un pārtikas pārstrādes uzņēmumiem, kā arī uzņēmumiem un iestādēm, kas sniedz ēdināšanas pakalpojumus izglītības iestādēs.  Atbalsts paredzēts Covid-19 ietekmē radušos finansiālo grūtību mazināšanai, atbalstot apgrozāmo līdzekļu pieejamību, daļēji sedzot ienākumu samazinājumu, gatavo preču krājumu uzglabāšanas izmaksas, apgrozījuma samazinājumu, kā arī kompensējot to iznīcināto vai ziedoto produktu vērtību, kurus ārkārtas situācijas laikā nebija iespējams izlietot ēdināšanas pakalpojuma sniegšanā izglītības iestādēs.</t>
  </si>
  <si>
    <t>Piemaksas ārstniecības personām un nodarbinātajiem par darbu paaugstināta riska un slodzes apstākļos.</t>
  </si>
  <si>
    <t>Lielāko slimnīcu pamatkapitāla palielināšana medicīniskā aprīkojuma iegādei.</t>
  </si>
  <si>
    <t>Vienreizējo individuālo aizsardzības līdzekļu un dezinfekcijas līdzekļu iegādei un transportēšanai.</t>
  </si>
  <si>
    <t>Atbilstoši Valsts ieņēmumu dienesta datiem, papildus jau esošajai fiskālajai ietekmei, kas aprēķināta apstiprinot MK noteikumus Nr. 165, kopumā ir 1760 komersanti, kuros nodarināti 4700 darbinieki, kas dibināti pēc 2019.gada 1.marta, un pēc projekta papildināšanas ar 31 pantu varētu pretendēt uz dīkstāves pabalstu.
Pieņemot, ka pesimistiskākajā scenārijā 70% no visiem komersantiem varētu pieteikties uz atbalstu, tiek pieņemts, ka atbalstu varētu saņemt 3290 darbinieku par vidējo summu 700 euro, t.i. fiskālā ietekme ir 3290 x 700 = 2 303 000 euro</t>
  </si>
  <si>
    <t>Atbalsts dīkstāvē uzņēmumiem, kas jaunāki par vienu gadu. Palielināts pieļaujamā nodokļu parāda apmērs līdz 1000 EUR.</t>
  </si>
  <si>
    <t>I Atbalsts nodokļu jomā</t>
  </si>
  <si>
    <t>II Atbalsts pabalstu jomā</t>
  </si>
  <si>
    <t>III Atbalsts aizdevumu un garantiju jomā</t>
  </si>
  <si>
    <t>IV Atbalsts nozarēm</t>
  </si>
  <si>
    <t>FM
Pašvaldības</t>
  </si>
  <si>
    <t>Darbinieka atlīdzība dīkstāves gadījumā tiek kompensēta no valsts 75% apmērā no darbinieka sešu mēnešu vidējās atlīdzības (līdz 700 EUR). Neapliek ar IIN un soc. Iemaksām.</t>
  </si>
  <si>
    <t>Atbalsts pašnodarbinātām personām (75%, līdz 700 EUR) vai autoratlīdzības saņēmējiem vai mikrouzņēmumu nodokļa maksātājiem (50%, līdz 700 EUR), kuri dīkstāves periodā nav guvušas ienākumus no saimnieciskās darbības.</t>
  </si>
  <si>
    <t>Personai, kurai piešķirtā pabalsta periods beidzas laikā, kad izsludināta ārkārtējā situācija, un kura nevar atgriezties darbā, var pieprasīt piešķirtā pabalsta turpinājuma izmaksu pēc tam, kad bērns sasniedz viena gada vai pusotra gada vecumu. Par periodu no 2020. gada 12. marta līdz dienai, kad persona sāk gūt ienākumus kā darba ņēmējs vai pašnodarbinātais, bet ne ilgāk kā līdz sakarā ar Covid-19 izsludinātās ārkārtējās situācijas beigām (līdz 700 EUR).</t>
  </si>
  <si>
    <t>MK not. Nr. 179 "Noteikumi par dīkstāves pabalstu pašnodarbinātām personām, kuras skārusi Covid-19 izplatība"</t>
  </si>
  <si>
    <t>MK not. Nr.184 "Grozījumi Ministru kabineta 2020.gada 26. marta noteikumos Nr. 165 "Noteikumi par Covid-19 izraisītās krīzes skartiem darba devējiem, kuri kvalificējas dīkstāves pabalstam un nokavēto nodokļu maksājumu samaksas sadalei termiņos vai atlikšanai uz laiku līdz trim gadiem""</t>
  </si>
  <si>
    <t>MK noteikumi Nr. 205 "Grozījumi Ministru kabineta 2020.gada 26. marta noteikumos Nr. 165 "Noteikumi par Covid-19izraisītās krīzes skartiem darba devējiem, kuri kvalificējas dīkstāves pabalstam un nokavēto nodokļu maksājumu samaksas sadalei termiņos vai atlikšanai uz laiku līdz trim gadiem""</t>
  </si>
  <si>
    <t xml:space="preserve">MK rīk. Nr.175 ""Par finanšu līdzekļu piešķiršanu no valsts budžeta programmas "Līdzekļi neparedzētiem gadījumiem"" </t>
  </si>
  <si>
    <t>Krīzes portfeļgarantiju mērķis ir veicināt finansējuma pieejamību uzņēmējiem finanšu pakalpojumiem līdz 500 000 eiro. Garantija tiks sniegta par jauniem vai esošiem apgrozāmo līdzekļu aizdevumiem, ja kredītiestāde atliks pamatsummas maksājumus vismaz par 3 mēnešiem vai pagarinās līgumu darbības termiņu vismaz par 3 mēnešiem. Tāpat garantija tiks sniegta par esošiem investīciju aizdevumiem un finanšu līzingu.</t>
  </si>
  <si>
    <t>MK rīk. Nr.120 "Par valsts akciju sabiedrības "Latvijas gaisa satiksme" pamatkapitāla palielināšanu"</t>
  </si>
  <si>
    <t>MK rīk. Nr.80 "Par apropriācijas palielināšanu Veselības ministrijai"</t>
  </si>
  <si>
    <t>Aizsarglīdzekļi, medikamenti  u.c. medicīniskais aprīkojums.</t>
  </si>
  <si>
    <t>Latvijas Gaisa satiksmes pamatkapitāla palielināšana.</t>
  </si>
  <si>
    <t>MK rīk. Nr.176 "Par apropriācijas palielināšanu Veselības ministrijai"</t>
  </si>
  <si>
    <t>MK rīk Nr.118 "Par finanšu līdzekļu piešķiršanuno valsts budžeta programmas "Līdzekļi neparedzētiemgadījumiem"'</t>
  </si>
  <si>
    <t>Atbalsts attālinātajam mācību procesam</t>
  </si>
  <si>
    <t>Ar veselības aprūpi saistīts atbalsts</t>
  </si>
  <si>
    <t>MK rīk. Nr.117 "Par iekārtu iegādi un dāvinājuma pieņemšanu attālināta mācību procesa nodrošināšanai ārkārtējās situācijas laikā"</t>
  </si>
  <si>
    <t>„Latvijas Radio”,  „Latvijas Televīzija” un komerciālajiem plašsaziņas līdzekļiem, lai nodrošinātu iespējami plašu Latvijas iedzīvotāju apziņošanu un efektīvu sabiedrības informēšanu un izglītošanu par aktualitātēm saistībā ar Covid-19.</t>
  </si>
  <si>
    <t>Atbalsts medijiem un sabiedrības informēšanai</t>
  </si>
  <si>
    <t>Lai nodrošinātu attālināta mācību procesam nepieciešamo iekārtu (viedtālruņu un planšetu) iegādi.</t>
  </si>
  <si>
    <t>Lai segtu SIA "Tet" izmaksas, kas saistītas ar saziņas nodrošināšanu un tīmekļa vietnes izveidi krīzes koordinācijai.</t>
  </si>
  <si>
    <t>MK rīk. Nr.116 "Grozījumi Ministru kabineta 2020. gada 10. marta rīkojumā Nr. 100 "Par finanšu līdzekļu piešķiršanu no valsts budžeta programmas "Līdzekļi neparedzētiem gadījumiem"""</t>
  </si>
  <si>
    <t>MK rīk. Nr.160 "Par finanšu līdzekļu piešķiršanu no valsts budžeta programmas "Līdzekļi neparedzētiem gadījumiem""</t>
  </si>
  <si>
    <t>NEPLP</t>
  </si>
  <si>
    <t>MK noteikumu Nr.180 "Noteikumi par publiskas personas un publiskas personas kontrolētas kapitālsabiedrības mantas nomas maksas atbrīvojuma vai samazinājuma piemērošanu sakarā ar Covid-19 izplatību"</t>
  </si>
  <si>
    <t>Valsts un pašvaldību iestādes, kā arī atvasinātas publiskas personas un publiskas personas kontrolētas kapitālsabiedrības, brīvostas un speciālās ekonomiskās zonas uz krīzes  laiku atbrīvo krīzes skarto nozaru komersantus no publiskas personas mantas un publiskas personas kontrolētas kapitālsabiedrības mantas nomas maksas vai lemj par nomas maksas samazinājumu un par publiskas personas mantas izmantošanu, kā arī nepiemēro kavējuma procentus un līgumsodus samaksas kavējuma gadījumā.</t>
  </si>
  <si>
    <t>FM rīkojums Nr.87 Pārdale no IZM pamatbudžeta apakšprogrammas 01.07.00 „Dotācija brīvpusdienu nodrošināšanai 1., 2., 3. un 4. klases izglītojamiem”</t>
  </si>
  <si>
    <t>Normative act</t>
  </si>
  <si>
    <t>I Support to the field of taxation</t>
  </si>
  <si>
    <t>Businesses affected by the crisis may request to split or defer tax payments for up to 3 years, as well as to grant an extension for overdue taxes already due under the Taxes and Duties Act, if the delay is due to COVID-19</t>
  </si>
  <si>
    <t>Extension of real estate payment terms</t>
  </si>
  <si>
    <t>II Aid in the field of benefits</t>
  </si>
  <si>
    <t>Amendment to the Law "On Maternity and Sickness Insurance"</t>
  </si>
  <si>
    <t>Cabinet of Ministers Rule No. 179 "Regulations on downtime allowance for self-employed persons affected by the spread of Covid-19"</t>
  </si>
  <si>
    <t>Cabinet of Ministers Rule No. 184 "Amendments to Cabinet Regulation No. 165 of 26 March 2020" Regulations on Employers Affected by the Covid-19 Crisis Who Qualify for Downtime Benefit and Allocation of Payment of Overdue Tax Payments for Terms or Deferral for Up to Three Years "</t>
  </si>
  <si>
    <t>Cabinet Regulation No. 205 "Amendments to Cabinet Regulation No. 165 of 26 March 2020" Regulations on Employers Affected by the Covid-19 Crisis Who Qualify for Downtime Benefit and Allocation of Payment of Overdue Taxes for Terms or Deferral for Up to Three Years "</t>
  </si>
  <si>
    <t>The employee's compensation in case of downtime is reimbursed from the state in the amount of 75% of the employee's six-month average compensation (up to 700 EUR). Not subject to PIT and soc. Contributions.</t>
  </si>
  <si>
    <t>Aid for self-employed persons (75%, up to EUR 700) or for royalty recipients or micro-enterprise taxpayers (50%, up to EUR 700) who have not earned any income from economic activity during periods of inactivity.</t>
  </si>
  <si>
    <t>Support for downtime for companies under one year. The amount of allowable tax debt has been increased to 1000 EUR.</t>
  </si>
  <si>
    <t>Until 31 December 2020, a person who has lost the status of an employee and is registered as a payer of patent fees, an employee of a micro-enterprise who is the owner of a micro-enterprise or a self-employed person who has chosen to pay the micro-enterprise tax also has the right to unemployment status , and whose monthly income in this field of activity does not reach the amount of the minimum monthly salary set by the Cabinet.</t>
  </si>
  <si>
    <t>III Aid in the field of loans and guarantees</t>
  </si>
  <si>
    <t>Working capital loans</t>
  </si>
  <si>
    <t>The aim of the crisis portfolio guarantees is to promote the availability of financing for entrepreneurs in financial services up to 500,000 euros. The guarantee will be provided for new or existing working capital loans if the credit institution defers the principal payments for at least 3 months or extends the term of the contracts for at least 3 months. The guarantee will also be provided for existing investment loans and financial leasing.</t>
  </si>
  <si>
    <t>Cabinet of Ministers Rule No. 155 "Amendments to Cabinet Regulation No. 537 of 5 September 2017" Regulations on Portfolio Guarantees for the Promotion of Lending to Small (Micro), Small and Medium-Sized Enterprises "</t>
  </si>
  <si>
    <t>Cabinet of MinMinisters Rule No. 154 "Amendments to Cabinet Regulation No. 150 of 19 March 2020" Regulations Regarding Guarantees for Economic Activities Performed by the Spread of Covid-19 "</t>
  </si>
  <si>
    <t>Cabinet of Ministers Rule. No. 153 "Amendments to Cabinet Regulation No. 149 of 19 March 2020" Regulations Regarding Working Capital Loans to Economic Activities Performed by the Spread of Covid-19 "</t>
  </si>
  <si>
    <t>Cabinet of Ministers No. 80 "On the increase of appropriations for the Ministry of Health"</t>
  </si>
  <si>
    <t>Cabinet of Ministers No. 79 "On the Allocation of Financial Resources from the State Budget Program" Contingency Funds "and No. 118" On the Allocation of Financial Resources from the State Budget Program "Contingency Funds"</t>
  </si>
  <si>
    <t>Cabinet of Ministers No. 118 "On Allocation of Financial Resources to the State Budget Program" Funds for Contingencies "'</t>
  </si>
  <si>
    <t>Cabinet of Ministers No. 176 "On the increase of appropriations for the Ministry of Health"</t>
  </si>
  <si>
    <t>Increasing the share capital of major hospitals for the purchase of medical equipment.</t>
  </si>
  <si>
    <t>Increase of RAKUS share capital.</t>
  </si>
  <si>
    <t>For the purchase and transport of disposable personal protective equipment and disinfectants.</t>
  </si>
  <si>
    <t>Allowances for medical practitioners and employees for work in conditions of increased risk and workload.</t>
  </si>
  <si>
    <t>Support for distance learning</t>
  </si>
  <si>
    <t>Cabinet of Ministers No. 117 "On the purchase of equipment and acceptance of a gift for the provision of a distance learning process during an emergency situation"</t>
  </si>
  <si>
    <t>Ministry of Finance order No.87 Redistribution from the MES basic budget sub-program 01.07.00 “Grant for provision of free lunches for 1st, 2nd, 3rd and 4th grade students”</t>
  </si>
  <si>
    <t>To cover the costs of SIA "Tet" related to the provision of communication and the creation of a website for crisis coordination.</t>
  </si>
  <si>
    <t>"Latvijas Radio", "Latvijas Televīzija" and commercial mass media in order to ensure the widest possible awareness of the Latvian population and effective informing and educating the public about current events related to Covid-19.</t>
  </si>
  <si>
    <t>The National Electronic Media Council to provide the public with the opportunity to receive comprehensive information and opinions on Covid-19 crisis management, as well as to ensure the security of the state information space in commercial electronic media.</t>
  </si>
  <si>
    <t>Cabinet Regulation No. 180 "Regulations Regarding the Application of Exemption or Reduction of the Rent of Property of a Public Person and a Capital Company Controlled by a Public Person Due to the Spread of Covid-19"</t>
  </si>
  <si>
    <t>State and local government institutions, as well as derived public persons and capital companies controlled by a public person, free ports and special economic zones shall temporarily exempt merchants in crisis-affected sectors from public property and public company controlled capital company rents or decide on reduction of rents and public use of personal property, as well as do not apply default interest and contractual penalties in case of late payment.</t>
  </si>
  <si>
    <t>To alleviate financial difficulties in the agricultural, forestry, fisheries and food production sectors</t>
  </si>
  <si>
    <t>Support for primary agricultural producers, agricultural and food processing enterprises, as well as enterprises and institutions providing catering services in educational institutions. The aid is intended to alleviate the financial difficulties caused by Covid-19 by supporting the availability of working capital, partially covering income reductions, storage costs for finished goods, reducing turnover and compensating for the value of products destroyed or donated which could not be used for catering educational institutions.</t>
  </si>
  <si>
    <t>No impact on revenue</t>
  </si>
  <si>
    <t>According to the data of the State Revenue Service, in addition to the already existing fiscal impact, calculated by approving the Cabinet Regulation No. 165, there are a total of 1760 merchants with 4,700 employees who were established after March 1, 2019, and after supplementing the project with Article 31, they could apply for the downtime benefit.
Assuming that in the most pessimistic scenario, 70% of all businesses could apply for aid, it is assumed that 3290 employees could receive aid for an average amount of EUR 700, i.e. the fiscal impact is 3290 x 700 = € 2,303,000</t>
  </si>
  <si>
    <t>Internal redistribution</t>
  </si>
  <si>
    <t>EUR 35 500 000, designed to provide financial support to producers and other businesses in the agri-food sector in connection with the economic impact of the spread of COVID-19. EUR 5 000 000 to ensure farm risk management and a continuous transition to the new 2021-2027 programming period. EUR 5,000,000 to ensure liquidity of enterprises and maintain cash flow, which will allow successful implementation of investment projects launched by the Latvian Rural Development Program for 2014-2020 and reduce the financial burden on farms and enterprises</t>
  </si>
  <si>
    <t>IV Sectoral support</t>
  </si>
  <si>
    <t>D.5</t>
  </si>
  <si>
    <t>D.2</t>
  </si>
  <si>
    <t>D.61</t>
  </si>
  <si>
    <t>D.632+D.62</t>
  </si>
  <si>
    <t>D.7</t>
  </si>
  <si>
    <t>D.9</t>
  </si>
  <si>
    <t>P.2</t>
  </si>
  <si>
    <t>D.1</t>
  </si>
  <si>
    <t>D.3</t>
  </si>
  <si>
    <t>Krīzes skartie uzņēmēji var lūgt sadalīt vai atlikt nodokļu maksājumus uz laiku līdz 3 gadiem, kā arī piešķirt termiņa pagarinājumu tiem nokavētajiem nodokļu maksājumiem, kuru samaksas termiņš jau ir pagarināts saskaņā ar likumu “Par nodokļiem un nodevām”, ja termiņa kavējums radies COVID-19 rezultātā.</t>
  </si>
  <si>
    <t xml:space="preserve">Piemaksas iekšlietu resora amatpersonām </t>
  </si>
  <si>
    <t>Lai nodrošinātu piemaksas Iekšlietu ministrijas padotības iestāžu amatpersonām par darbu (no 12.marta līdz 31.maijam).</t>
  </si>
  <si>
    <t>Support to the air transport industry</t>
  </si>
  <si>
    <t>n/a</t>
  </si>
  <si>
    <t>Atbalsts valdes locekļiem, ja arī darbinieki nestrādā, un strādājošajiem pensionāriem dīkstāvē.</t>
  </si>
  <si>
    <t>SIF</t>
  </si>
  <si>
    <t>MK rīk. Nr.142 01.04.2020. (prot. Nr.20 46.§) Piešķirts no LNG, no apropriācijas palielinājuma LNG par 300 milj. atbilstoši MK rīk. Nr.121 25.03.2020.</t>
  </si>
  <si>
    <t xml:space="preserve">MK rīk. Nr.117 19.03.2020  Tiek finansēts no LNG apropriācijas palielinājuma 300 milj. euro apmērā. </t>
  </si>
  <si>
    <t>MK rīk. 160 07.04.2020. Tiek finansēts no  LNG no apropriācijas palielinājuma par 300 milj. atbilstoši MK rīk. Nr.121 25.03.2020.</t>
  </si>
  <si>
    <t>AiM</t>
  </si>
  <si>
    <t>Darbiniekam, kurš saņem dīkstāves pabalstu, piemaksa 50 euro apmērā par katru apgādībā esošu bērnu vecumā līdz 24 gadiem, par kuru darbiniekam uz dīkstāves pabalsta piešķiršanas dienu tiek piemērots iedzīvotāju ienākuma nodokļa atvieglojums</t>
  </si>
  <si>
    <t xml:space="preserve">MK rīk. Nr.178 ""Par finanšu līdzekļu piešķiršanu no valsts budžeta programmas "Līdzekļi neparedzētiem gadījumiem"" </t>
  </si>
  <si>
    <t>Society Integration Foundation to ensure the operation of the Media Support Fund and the opportunity for the public to receive comprehensive information and opinions on overcoming the Covid-19 crisis, as well as to ensure the security of the state information space in the print press and commercial Internet news portals, provide support in connection with the costs of delivery of subscribed press publications (to the state joint stock company "Latvijas Pasts") and the costs of broadcasting electronic media programs.</t>
  </si>
  <si>
    <t xml:space="preserve">FM rīkojums Nr.128 Pārdale no KM pamatbudžeta apakšprogrammas 26.02.00 “Diasporas pasākumu īstenošana” </t>
  </si>
  <si>
    <t xml:space="preserve"> Centralized precurement of protective equipment of Ministry of Defense</t>
  </si>
  <si>
    <t>Ministry of Finance Order No.128 Redistribution from the Ministry of Culture basic budget sub-program 26.02.00 “Implementation of Diaspora Measures”</t>
  </si>
  <si>
    <t>In order to provide funding for Covid-19 consequence prevention and management measures to increase the transfer of maintenance expenses in the program 27.00.00 "Implementation of Media Policy" to ensure the operation of the Media Support Fund</t>
  </si>
  <si>
    <t>MK rīkojums Nr.200 "Par finanšu līdzekļu piešķiršanu no valsts budžeta programmas "Līdzekļi neparedzētiem gadījumiem""</t>
  </si>
  <si>
    <t>Cabinet of Ministers No. 200 "On Allocation of Financial Funds from the State Budget Program" Contingency Funds "</t>
  </si>
  <si>
    <t>Bezdarbnieku palīdzības pabalsts</t>
  </si>
  <si>
    <t>Atvieglot dīkstāves pabalsta saņemšanas iespējas arī personām, kuras šobrīd nevar saņemt dīkstāves pabalstu kā pašnodarbinātas personas, jo tās vienlaikus uz nepilnu darba laiku ir darba ņēmēji, taču to ienākumi kā darba ņēmējiem tām nevar nodrošināt iztiku.</t>
  </si>
  <si>
    <t>Aprēķins pamatojas uz aplēsi: 25 221 personas (kuras saņemtu dīkstāves pabalstu) x 0,4* (vidējais bērnu skaits ģimenē atbilstoši Centrālās statistikas pārvaldes sniegtajai publiskajai informācijai) x 50 euro (piemaksas apmērs) x 2 mēneši (šobrīd noteiktais dīkstāves pabalsta izmaksas termiņš) = 1 008 840 euro.</t>
  </si>
  <si>
    <t>VAS “Starptautiskā lidosta “Rīga”“  pamatkapitāla palielināšana</t>
  </si>
  <si>
    <t xml:space="preserve">Piešķirt tiesības darba devējam, kurš atbilst Padziļinātās sadarbības programmas dalībniekam noteiktajiem kritērijiem un kuru ir ietekmējusi COVID-19 izraisītā krīze, samazināt darbiniekam Darba likuma 74. pantā noteikto atlīdzību par dīkstāvi no 100 procentiem līdz 70 procentiem no darbiniekam izmaksājamās algas. </t>
  </si>
  <si>
    <t xml:space="preserve">Piešķirts papildus finansējums valsts autoceļu būvniecībai un tiltu remontiem. </t>
  </si>
  <si>
    <t>Valsts autoceļu būvniecībai un tiltu remontiem</t>
  </si>
  <si>
    <t>Jau šobrīd ir pieejama tehniskā dokumentācija par veicamajiem darbiem, kā arī šobrīd ir iespējams veikt papildu darbu apjomus, kas nodrošinātu ceļu būvniecības nozares projektus 75 milj. euro apjomā, lai atjaunotu un pārbūvētu sliktā stāvoklī esošos autoceļu posmus un tiltus un uzlabotu satiksmes drošību, bet kuru īstenošana atlikta nozarei līdz šim nepietiekamā finansējuma dēļ.</t>
  </si>
  <si>
    <t>MK rīkojums Nr.222 "Par finanšu līdzekļu piešķiršanu no valsts budžeta programmas "Līdzekļi neparedzētiem gadījumiem""</t>
  </si>
  <si>
    <t>Persona, kurai piešķirtā bezdarbnieka pabalsta periods beidzas 2020.gada 12.martā vai vēlāk un kura sakarā ar Covid-19 izsludinātās ārkārtējās situācijas radītajām sekām nav atradusi darbu un neveic saimniecisko darbību, var pieprasīt bezdarbnieka palīdzības pabalstu 180 EUR.</t>
  </si>
  <si>
    <t xml:space="preserve">MK rīk. Nr.238 ""Par finanšu līdzekļu piešķiršanu no valsts budžeta programmas "Līdzekļi neparedzētiem gadījumiem"" </t>
  </si>
  <si>
    <t>Dīkstāves palīdzības pabalsts tiem darba ņēmējiem un pašnodarbinātām personām, kuriem dīkstāves pabalsts ir mazāks par 180 eiro mēnesī vai kuras nekvalificējas dīkstāves pabalstam.</t>
  </si>
  <si>
    <t xml:space="preserve">MK rīk. Nr.236 ""Par finanšu līdzekļu piešķiršanu no valsts budžeta programmas "Līdzekļi neparedzētiem gadījumiem"" </t>
  </si>
  <si>
    <t>Pašvaldību aizņēmumu limita palielināšana</t>
  </si>
  <si>
    <t xml:space="preserve">Informatīvais ziņojums "Par pašvaldību aizņēmuma limita palielināšanu Covid-19 ekonomisko seku mazināšanai" </t>
  </si>
  <si>
    <t xml:space="preserve">Finansējuma apmērs valsts pētījumu programmai 5 milj. euro apmērā ir noteikts, balstoties uz nepieciešamību katrā no identificētām jomām – veselības, inženiertehnisko risinājumu, sabiedrības un tautsaimniecības jomās – nodrošināt projektus konkrēto problēmu risināšanai. Kopā īstenojot šo valsts pētījumu programmu (turpmāk – VPP), tā ļautu jau 2020.gadā īstenot vismaz 10 konsorciju pētniecības projektus ar būtisku ietekmi, kuri ir tematiski sadalīti starp 3 jomām. Papildus, ir nepieciešams nodrošināt, ka vismaz 1 projekts horizontāli integrē kopīgā pretpandēmijas stratēģijā visu šīs VPP īstenoto projektu rezultātus, un tiek iegūtas jau agrīnas zinātnē balstītas rekomendācijas virsmērķa sasniegšanai. </t>
  </si>
  <si>
    <t>MK rīkojums Nr.239 "Par finanšu līdzekļu piešķiršanu no valsts budžeta programmas "Līdzekļi neparedzētiem gadījumiem""</t>
  </si>
  <si>
    <t>Finansējumu, kas nepārsniedz 1 323 563 euro, lai nodrošinātu funkciju īstenošanu un veselības aprūpes pakalpojumu sniegšanas nepārtrauktību koronavīrusa “Covid-19” uzliesmojumu laikā.</t>
  </si>
  <si>
    <t>MK rīk. Nr.237 "Par finanšu līdzekļu piešķiršanu no valsts budžeta programmas "Līdzekļi neparedzētiem gadījumiem""</t>
  </si>
  <si>
    <t>P.51</t>
  </si>
  <si>
    <t>Facilitate access to downtime benefits also for those who are currently unable to receive downtime benefits as self-employed, as they are at the same time part-time workers, but their income as workers cannot provide them with a livelihood.</t>
  </si>
  <si>
    <t>To grant the right to an employer who meets the criteria set for a participant in the Advanced Cooperation Program and who has been affected by the crisis caused by COVID-19 to reduce the compensation for downtime specified in Article 74 of the Labor Law from 100 per cent to 70 per cent of the employee's salary.</t>
  </si>
  <si>
    <t>Assumptions for calculating the impact</t>
  </si>
  <si>
    <t>The calculation is based on an estimate: 25,221 persons (who would receive downtime allowance) x 0.4 * (average number of children in the family according to public information provided by the Central Statistical Bureau) x 50 euros (amount of allowance) x 2 months (currently set downtime) = EUR 1 008 840.</t>
  </si>
  <si>
    <t>A person whose unemployment benefit period ends on or after 12 March 2020 and who, due to the consequences of the emergency declared by Covid-19, has not found a job and is not engaged in economic activity, may claim unemployment benefit of 180 EUR.</t>
  </si>
  <si>
    <t>Increasing the local governments borrowing limit</t>
  </si>
  <si>
    <t>Informative report "On increasing the local government borrowing limit to mitigate the economic consequences of Covid-19"</t>
  </si>
  <si>
    <t>Increase of the share capital of SJSC Riga International Airport</t>
  </si>
  <si>
    <t>For construction of state roads and repairs of bridges</t>
  </si>
  <si>
    <t>Additional funding has been provided for the construction of state roads and bridge repairs.</t>
  </si>
  <si>
    <t>Technical documentation on the work to be performed is already available, as well as it is now possible to perform additional work, which would ensure projects in the road construction sector in the amount of 75 million. in order to rehabilitate and rebuild deprived road sections and bridges and improve road safety, but the implementation of which has been postponed due to insufficient funding for the industry so far.</t>
  </si>
  <si>
    <t>Funding of EUR 5 000 000 for the establishment of a national research program to combat the consequences of COVID-19</t>
  </si>
  <si>
    <t>The amount of funding for the national research program in the amount of 5 million euros has been determined based on the need to provide projects to solve specific problems in each of the identified areas - health, engineering solutions, society and economy. By implementing this national research program together, it would allow to implement at least 10 consortium research projects with a significant impact already in 2020, which are thematically divided between 3 areas. In addition, it is necessary to ensure that at least 1 project horizontally integrates the results of all projects implemented in this research program into a common anti-pandemic strategy, and early science-based recommendations for achieving the overarching goal are obtained.</t>
  </si>
  <si>
    <t>Ministry of Finance</t>
  </si>
  <si>
    <t>Ministry of Agriculture</t>
  </si>
  <si>
    <t>Satiksmes ministrijai kā sabiedrības kapitāla daļu turētājai nodrošināt, ka 2019. pārskata gadā gūtās peļņas daļa 20 % apmērā (4 508 299 euro) tiek novirzīta, lai segtu Covid-19 izraisītās krīzes rezultātā radītos zaudējumus.</t>
  </si>
  <si>
    <t>SJSC Riga International Airport abolition of dividend payments in 2020</t>
  </si>
  <si>
    <t>To ensure The Ministry of Transport, as the holder of the company's shares, that a 20% share of the profit earned in the reporting year 2019 (EUR 4,508,299) is used to cover the losses caused by the Covid-19 crisis.</t>
  </si>
  <si>
    <t>Kamēr visā valstī ir izsludināta ārkārtējā situācija sakarā ar Covid-19 izplatību, nodrošināt bērna kopšanas pabalsta izmaksu 171 euro apmērā mēnesī personai, kura kopj bērnu vecumā no pusotra gada līdz diviem gadiem, un piemaksu pie bērna kopšanas pabalsta 171 euro apmērā mēnesī personai, kura kopj dvīņus vai vairākus vienās dzemdībās dzimušus bērnus vecumā no pusotra gada līdz diviem gadiem;
Papildus 33 033 euro, lai segtu sociālās apdrošināšanas informācijas sistēmas (SAIS) funkcionalitātes nodrošināšanas izdevumus.</t>
  </si>
  <si>
    <t>20.03.2020 12.05.2020</t>
  </si>
  <si>
    <t>TM</t>
  </si>
  <si>
    <t>Atbalsts reliģiskām organizācijām</t>
  </si>
  <si>
    <t>Piemaksas Ieslodzījuma vietu pārvaldes darbiniekiem</t>
  </si>
  <si>
    <t>MK rīkojums Nr.261 "Par finanšu līdzekļu piešķiršanu no valsts budžeta programmas "Līdzekļi neparedzētiem gadījumiem""</t>
  </si>
  <si>
    <t xml:space="preserve">Īstermiņa aizdevumi lauksaimniekiem </t>
  </si>
  <si>
    <t>Par laikposmu, kad valstī sakarā ar Covid-19 izplatību ir izsludināta ārkārtējā situācija, VSAA izmaksā pabalstu par bērnu līdz septiņu gadu vecuma sasniegšanai – 161,25 euro mēnesī un par bērnu vecumā no septiņiem gadiem – 193,50 euro mēnesī. VSAA pabalsta apmēru aprēķina par laikposmu no 2020. gada 12. marta un izmaksā to līdz 2020. gada 30. jūnijam.</t>
  </si>
  <si>
    <t>Latvijas Zvērinātu notāru padomei servera iegādei, lai nodrošinātu e-apostille reģistra turpmāku darbību, mazinot ar Covid-19 izplatību radītās grūtības notariātā</t>
  </si>
  <si>
    <t>MK rīkojums Nr.255 "Par finanšu līdzekļu piešķiršanu no valsts budžeta programmas "Līdzekļi neparedzētiem gadījumiem""</t>
  </si>
  <si>
    <t>ES fondu pārdales</t>
  </si>
  <si>
    <t xml:space="preserve">Informatīvais ziņojums "Par Eiropas Savienības struktūrfondu un Kohēzijas fonda finansējuma pārdalēm un risinājumiem COVID-19 seku mazināšanai" </t>
  </si>
  <si>
    <t>Support for religious organizations</t>
  </si>
  <si>
    <t>Allowances for prison administration staff</t>
  </si>
  <si>
    <t>Short - term loans to farmers</t>
  </si>
  <si>
    <t>Redistribution of EU funds</t>
  </si>
  <si>
    <t>Information report "On redistribution of European Union Structural Funds and Cohesion Fund funding and solutions to mitigate the effects of COVID-19"</t>
  </si>
  <si>
    <t>Religious unions (churches) to provide crisis benefits to the clergy and servants of these religious unions (churches) and to reduce the damage caused by the spread of Covid-19</t>
  </si>
  <si>
    <t>Employees of the Prisons Department of the Ministry of Justice who have been directly involved in the prevention of the consequences of Covid-19 by providing allowances from 1 April 2020 to 31 May 2020 for work in high-risk and stressful public health situations related to Covid-19 outbreak and its consequences</t>
  </si>
  <si>
    <t>A person who is issued a certificate of incapacity for work for Covid-19 or quarantined from 22 March 2020 to 31 December 2020 is granted and paid sickness benefit for the period from the second day of incapacity for work (80% of the average insurance contribution salary)</t>
  </si>
  <si>
    <t>Atbalsts kultūras nozarei</t>
  </si>
  <si>
    <t>KM</t>
  </si>
  <si>
    <t>Atbalsts zivsaimniecības nozarei</t>
  </si>
  <si>
    <t>ES fondu virssaistības</t>
  </si>
  <si>
    <t>Lauksaimniecības fondu virssaistības</t>
  </si>
  <si>
    <t xml:space="preserve">Informatīvais ziņojums "Par pasākumiem Covid-19 krīzes pārvarēšanai un ekonomikas atlabšanai" </t>
  </si>
  <si>
    <t>EM</t>
  </si>
  <si>
    <t>ALTUM ieguldījumu fonds modernizācijai</t>
  </si>
  <si>
    <t>Cilvēkkapitāls</t>
  </si>
  <si>
    <t>EM, LM, IZM</t>
  </si>
  <si>
    <t>Kultūras infrastruktūra</t>
  </si>
  <si>
    <t>Atbalsts pasažieru un kravu pārvadātājiem</t>
  </si>
  <si>
    <t>Atbalsts sporta nozarei</t>
  </si>
  <si>
    <t>Kultūra - attīstības plānam</t>
  </si>
  <si>
    <t>Demogrāfija</t>
  </si>
  <si>
    <t>IEM</t>
  </si>
  <si>
    <t>Formastērpu iegāde robežsardzei, ugunsdzēsējiem</t>
  </si>
  <si>
    <t>VAS “Starptautiskā lidosta “Rīga”“ dividenžu maksājumu atcelšana 2020. gadā</t>
  </si>
  <si>
    <t>Attālinātam mācību procesam paredzētā audiovizuālā satura radīšanai un izplatīšanai (tai skaitā izplatīšanai ar bezmaksas televīzijas programmu starpniecību).</t>
  </si>
  <si>
    <t>Platjoslu infrastruktūras (broadband) “vidējā jūdze”, internets skolām, mācību satura digitalizācija.</t>
  </si>
  <si>
    <t>Uzturēšanas izdevumu palielinājums transfertu programmā 27.00.00 "Mediju politikas īstenošana" Mediju atbalsta fonda darbības nodrošināšanai.</t>
  </si>
  <si>
    <t>Latvijas Zvērinātu notāru padomei servera iegādei, lai nodrošinātu e-apostille reģistra turpmāku darbību, mazinot ar Covid-19 izplatību radītās grūtības notariātā.</t>
  </si>
  <si>
    <t>Tieslietu ministrijas Ieslodzījuma vietu pārvaldes nodarbinātajiem, kuri ir bijuši tieši iesaistīti Covid-19 seku novēršanā, nodrošinot piemaksas no 2020. gada 1. aprīļa līdz 2020.  gada 31. maijam par darbu paaugstināta riska un slodzes apstākļos sabiedrības veselības apdraudējuma situācijā saistībā ar Covid-19 uzliesmojumu un tā seku novēršanu.</t>
  </si>
  <si>
    <t xml:space="preserve">Lai stabilizētu naudas plūsmu lauksaimniecības produkcijas ražotājiem, nodrošinot īstermiņa aizdevumu piešķiršanu no vienotam platības maksājumam paredzētā avansa maksājuma summas, vai aprēķinātā gala maksājuma par kārtējā gadā vienotajam platības maksājumam apstiprinātajām platībām. </t>
  </si>
  <si>
    <t xml:space="preserve">Ar mērķi nodrošināt iespēju vieglāk un ātrāk reaģēt, mazinot COVID-19 izraisītās sekas dalībvalstu visvairāk skartajām teritorijām un to iedzīvotājiem, ES fondu regulu grozījumi ļauj dalībvalstīm pārstrukturēt investīcijas, paplašinot izdevumu attiecināmības tvērumu un pieļaujot dalībvalstu ES fondu darbības programmu grozījumus pirms EK oficiāla lēmuma. </t>
  </si>
  <si>
    <t>Papildus ES fondu finansējuma pārdales, lai sniegtu atbalstu zivsaimniecības nozares uzņēmumiem</t>
  </si>
  <si>
    <t>12 221 pašnodarbinātās personas,pieņemot, ka dīkstāves pabalstu pieprasīs visas maksimālajā apjomā 700 euro, kopumā izmaksas mēnesī veidos – 12 221 personas x 700 euro = 8 554 700 euro. Divos mēnešos, kopējie izdevumi  17 109 400 euro.
Mikrouzņēmumu nodokļa maksātāji krīzes skartajās nozarēs ir 13 000 personas. Mēnesī izmaksas veidos – 13 000 personas x 700 euro = 9 100 000 euro. Divos mēnešos 18 200 000 euro.</t>
  </si>
  <si>
    <t xml:space="preserve">MK rīk. Nr.277 ""Par finanšu līdzekļu piešķiršanu no valsts budžeta programmas "Līdzekļi neparedzētiem gadījumiem"" </t>
  </si>
  <si>
    <t>Noteikumi Nr.256 "Grozījums Ministru kabineta 2009.gada 22.decembra noteikumos Nr.1643 "Kārtība, kādā piešķir un izmaksā pabalstu aizbildnībā esoša bērna uzturēšanai""</t>
  </si>
  <si>
    <t>Rīkojums Nr.219 "Par valsts akciju sabiedrības"Starptautiskā lidosta "Rīga"" pamatkapitāla palielināšanu"</t>
  </si>
  <si>
    <t>MK rīk. Nr.271 "Par finanšu līdzekļu piešķiršanu no valsts budžeta programmas "Līdzekļi neparedzētiem gadījumiem""</t>
  </si>
  <si>
    <t>V ES fondu finansējuma atbalsts</t>
  </si>
  <si>
    <t>Iekšlietu ministrijas padotības iestādēm un amatpersonām</t>
  </si>
  <si>
    <t xml:space="preserve">MK noteikumi Nr.234 "Grozījumi Ministru kabineta 2020.gada 31.marta noteikumos Nr.179 "Noteikumi par dīkstāves pabalstu pašnodarbinātām personām, kuras skārusi Covid-19 izplatība"" </t>
  </si>
  <si>
    <t>Cabinet Regulation No. 234 "Amendments to Cabinet Regulation No. 179 of 31 March 2020 "Regulations on Downtime Benefits for Self-Employed Persons Affected by the Spread of Covid-19 ""</t>
  </si>
  <si>
    <t>For education and science</t>
  </si>
  <si>
    <t>V Support related to EU funds</t>
  </si>
  <si>
    <t>Information report on measures to overcome the Covid-19 crisis and economic recovery</t>
  </si>
  <si>
    <t xml:space="preserve">Working capital loan:
- traders, farmers and fishermen affected by Covid-19;
- up to 1 million EUR with a term of up to 3 years.
</t>
  </si>
  <si>
    <t>Credit holiday guarantee:
- SMEs and large companies that have experienced objective difficulties in making loan payments to banks due to the spread of Covid-19 have access to a credit guarantee that will allow the bank to defer payment of the principal amount;
- available to economic operators, farmers and the fisheries and aquaculture sector.</t>
  </si>
  <si>
    <t>ALTUM investment fund for modernization</t>
  </si>
  <si>
    <t>Human capital</t>
  </si>
  <si>
    <t>Support for passenger and freight carriers</t>
  </si>
  <si>
    <t>Support for the sports sector</t>
  </si>
  <si>
    <t>Demography</t>
  </si>
  <si>
    <t>Institutions and officials subordinate to the Ministry of the Interior</t>
  </si>
  <si>
    <t>Support for the cultural sector</t>
  </si>
  <si>
    <t>Support for the fisheries sector</t>
  </si>
  <si>
    <t>Over - commitments for agricultural funds</t>
  </si>
  <si>
    <t>Over - commitments of EU funds</t>
  </si>
  <si>
    <t>Redistribution of EU funding to support companies in the fisheries sector</t>
  </si>
  <si>
    <t>Additional Redistribution of EU funding to support companies in the fisheries sector</t>
  </si>
  <si>
    <t>For the information center of Ministry of Interior</t>
  </si>
  <si>
    <t>Purchase of uniforms for border guards, firefighters</t>
  </si>
  <si>
    <t>Cultural infrastructure</t>
  </si>
  <si>
    <t>Culture - for a development plan</t>
  </si>
  <si>
    <t>Grozījums likumā "Par valsts apdraudējuma un tā seku novēršanas un pārvarēšanas pasākumiem sakarā ar Covid-19 izplatību"</t>
  </si>
  <si>
    <t>MK rīkojums Nr.303 "Par finanšu līdzekļu piešķiršanu no valsts budžeta programmas "Līdzekļi neparedzētiem gadījumiem""</t>
  </si>
  <si>
    <t>MK rīk. Nr.136 "Par finanšu līdzekļu piešķiršanu no valsts budžeta programmas "Līdzekļi neparedzētiem gadījumiem""</t>
  </si>
  <si>
    <t>Atbalsts jaunajiem speciālistiem</t>
  </si>
  <si>
    <t>Subsidētās darba vietas eksportējošiem uzņēmumiem</t>
  </si>
  <si>
    <t>FM
(VID)</t>
  </si>
  <si>
    <t>LM
(VSAA)</t>
  </si>
  <si>
    <t>EM, LM
(VSAA)</t>
  </si>
  <si>
    <t>Lai segtu izdevumus, kas radušies saistībā ar “Covid-19” uzliesmojumu un seku novēršanu - Nacionālajam veselības dienestam 0,67 mEUR, Neatliekamās medicīniskās palīdzības dienestam 0,0 9 mEUR; Nacionālajam veselības dienestam  1,43 mEUR, lai segtu izdevumus RAKUS.</t>
  </si>
  <si>
    <t>SIF, lai nodrošinātu Mediju atbalsta fonda darbību un iespēju sabiedrībai saņemt daudzpusīgu informāciju un viedokļus par Covid-19 krīzes pārvarēšanu, kā arī nodrošinātu valsts informatīvās telpas drošību drukātajā presē un komerciālajos interneta ziņu portālos, sniegtu atbalstu saistībā ar abonēto preses izdevumu piegādes izmaksām (valsts akciju sabiedrībai "Latvijas Pasts") un elektronisko plašsaziņas līdzekļu programmu apraides izmaksām.</t>
  </si>
  <si>
    <t>Atbalsts zinātnei un izglītībai</t>
  </si>
  <si>
    <t>Finansējums 5 000 000 eiro apmērā valsts pētījumu programmas izveidei cīņā ar COVID-19 sekām.</t>
  </si>
  <si>
    <t>Reliģiskajām savienībām (baznīcām), lai nodrošinātu šo reliģisko savienību (baznīcu) garīgajam un kalpojošajam personālam krīzes pabalstu un mazinātu ar Covid-19 izplatību radītos zaudējumus.</t>
  </si>
  <si>
    <t xml:space="preserve">MK rīkojums Nr.260 "Par finanšu līdzekļu piešķiršanu no valsts budžeta programmas "Līdzekļi neparedzētiem gadījumiem" </t>
  </si>
  <si>
    <t>LM 
EM</t>
  </si>
  <si>
    <t>Finansējums, lai PTAC varētu segt repatriācijas izmaksas tūrisma operatoriem, kuru darbību ietekmējusi Covid-19 izplatība.</t>
  </si>
  <si>
    <t>Ambulatorajiem un stacionārajiem veselības aprūpes pakalpojumiem, laboratorisko izmeklējumu organizēšanai un veikšanai - 672 139 euro,
Aanalīžu paņemšanas mobilo punktu izveidei - 91 984 euro, 
RAKUS izdevumu segšanai (reaģentu komplektu iegādei, video intubācijas komplekta iegādei, būvdarbiem,  pacientu asins paraugu paņemšanas, transportēšanas piederumu un ārstniecības preču iegādei) - 1 428 081 euro.</t>
  </si>
  <si>
    <t>MK rīk. Nr 363 Par finanšu līdzekļu piešķiršanu no valsts budžeta programmas "Līdzekļi neparedzētiem gadījumiem"</t>
  </si>
  <si>
    <t>Lai mazinātu Covid-19 krīzes radīto negatīvo seku ietekmi uz sporta nozari, tai skaitā 2,0 milj. eiro LOK, 1,9 milj. eiro Latvijas Sporta federāciju padomei utt.</t>
  </si>
  <si>
    <t xml:space="preserve">MK rīkojums Nr. 334 "Par finanšu līdzekļu piešķiršanu no valsts budžeta programmas "Līdzekļi neparedzētiem gadījumiem"" </t>
  </si>
  <si>
    <t>02.06.2020
18.06.2020</t>
  </si>
  <si>
    <t>Atbalsts KM kapitālsabiedrībām, LNB, Latvijas Nacionālajam arhīvam, muzejiem zaudējumu segšanai. 
Radošo personu nodarbinātības programma.</t>
  </si>
  <si>
    <t>MK noteikumi Nr. 299 "Noteikumi par valsts atbalstu īstermiņa aizdevumiem lauksaimniecībā Covid-19 izplatības negatīvās ietekmes mazināšanai"</t>
  </si>
  <si>
    <t>MK 02.06.2020 noteikumi Nr.347 "Valsts un Eiropas Savienības atbalsta piešķiršanas kārtība pasākumā "Zvejas darbību pagaidu pārtraukšana"";
MK 02.06.2020 noteikumi Nr.348 "Grozījumi Ministru kabineta 2015. gada 11. augusta noteikumos Nr. 458 "Valsts un Eiropas Savienības atbalsta piešķiršanas kārtība pasākumā "Zvejas un akvakultūras produktu apstrāde"";
MK 02.06.2020 noteikumi Nr.349 "Valsts un Eiropas Savienības atbalsta piešķiršanas kārtība pasākumā "Pasākumi sabiedrības veselības jomā" Covid-19 izplatības negatīvās ietekmes mazināšanai";
MK 02.06.2020 noteikumi Nr.350 "Valsts un Eiropas Savienības atbalsta piešķiršanas kārtība pasākumā "Uzglabāšanas atbalsts""</t>
  </si>
  <si>
    <t>Izdevumu segšanai Nacionālajam veselības dienestam, kas radušies  saistībā ar Covid-19 uzliesmojumu un seku novēršanu</t>
  </si>
  <si>
    <t>Ēku siltināšanai</t>
  </si>
  <si>
    <t>Finansējums paaugstinātas energoefektivitātes daudzdzīvokļu dzīvojamo ēku tipveida būvprojektu izstrādei</t>
  </si>
  <si>
    <t>Piešķirt Ekonomikas ministrijai finansējumu, kas nepārsniedz 426 084 euro, paaugstinātas energoefektivitātes daudzdzīvokļu dzīvojamo ēku tipveida būvprojektu izstrādei, izmantojot Latvijā ražotus vai iegūstamus būvizstrādājumus un būvkonstrukcijas, lai mazinātu Covid-19 krīzes radīto negatīvo ietekmi uz tautsaimniecību un stimulētu tautsaimniecības attīstību. Pārdalīts EM resora ietvaros.</t>
  </si>
  <si>
    <t>LM (VSAA)</t>
  </si>
  <si>
    <t>Informatīvais ziņojums "Par COVID-19 pandēmijas ietekmi uz airBaltic darbību" (IP) un MK 08.05.2020. rīk.256 "Par akciju sabiedrības "Air Baltic Corporation" pamatkapitāla palielināšanu"</t>
  </si>
  <si>
    <t>08.05.2020 14.07.2020</t>
  </si>
  <si>
    <t>IEROBEŽOTA PIEJAMĪBA. Informējam, ka atbilstoši Eiropas Parlamenta un Padomes Regulas (ES) Nr. 549/2013 ( 2013. gada 21. maijs) par Eiropas nacionālo un reģionālo kontu sistēmu Eiropas Savienībā  4.165 punkta (b) apakšpunktam paredzēto ieguldījumu kapitālsabiedrības pamatkapitālā 250 milj. euro apmērā kompetentās statistikas iestādes var uzskaitīt, kā vispārējās valdības izdevumus, tādējādi radot negatīvu ietekmi uz vispārējās valdības budžeta bilanci 2020.gadā. 
Apropriācijas palielinājums atbilstoši likuma "Par valsts apdraudējuma un tā seku novēršanas un pārvarēšanas pasākumiem sakarā ar Covid-19 izplatību" 22.pantā noteiktajam.</t>
  </si>
  <si>
    <t>MK rīk. 160 07.04.2020. Tiek finansēts no  LNG no apropriācijas palielinājuma par 300 milj. atbilstoši MK rīk. Nr.121 25.03.2020. Minētajā rīkojumā veikti divi grozījumi.
Nr.177 16.04.2020. (prot. Nr.24 59.§) un Nr.367 30.06.2020 (prot. Nr.42 54.§)</t>
  </si>
  <si>
    <t>14.07.2020.</t>
  </si>
  <si>
    <t>Lai kompensētu zaudējumus, kas radušies reģionālās nozīmes pārvadājumos ar autobusiem un vilcieniem sakarā ar Covid-19 izplatības ierobežošanai noteiktajiem drošības un sociālās distancēšanās pasākumiem sabiedriskajā transportā ārkārtējās situācijas laikā, kā arī ārkārtējās situācijas seku mazināšanai (6 325 393 euro).
Lai kompensētu izdevumus saistībā ar pasažieru pārvadājumu pakalpojuma nodrošināšanu personām, kas ierodas no ārvalstīm ar repatriācijas reisiem (16 365 euro).</t>
  </si>
  <si>
    <t>Lai nodrošinātu normatīvajos aktos noteikto izdevumu kompensēšanu par valsts publiskās lietošanas dzelzceļa infrastruktūras izmantošanu dzelzceļa pasažieru pārvadājumiem, ko sniedz saistībā ar sabiedrisko pakalpojumu līgumu (14 225 226 euro).
Lai nodrošinātu normatīvajos aktos noteikto infrastruktūras pārvaldītāja finanšu līdzsvara avansa maksājumu (13 011 000 euro).</t>
  </si>
  <si>
    <t>VAS "Latvijas dzelzceļš " pamatkapitāla palielināšana, ieguldot tajā finanšu līdzekļus 32 422 016 euro apmērā publiskās lietošanas dzelzceļa infrastruktūras uzturēšanai un attīstībai, ko konvertēt akcijās, lai nodrošinātu finanšu situācijas stabilizēšanu nozarē.</t>
  </si>
  <si>
    <t xml:space="preserve">Informatīvais ziņojums
“Par pasākumiem, kas tiek finansēti no Eiropas Lauksaimniecības fonda lauku attīstībai un Eiropas Jūrlietu un zivsaimniecības fonda virssaistību ietvaros”
</t>
  </si>
  <si>
    <t>ZM virssaistības 2014.–2020. gada plānošanas periodā LAP 2014–2020 pasākumos ar finansējumu 58 000 000 euro apmērā, tajā skaitā četru procentu apmērā M20. pasākumam “Tehniskā palīdzība” jeb 2 320 000 euro, šādos pasākumos: 
2.1. M4. pasākumā “Ieguldījumi materiālajos aktīvos” ar virssaistību finansējumu 47 570 018 euro apmērā;
2.2. M8. pasākumā “Ieguldījumi meža platību paplašināšanā un mežu dzīvotspējas uzlabošanā” ar virssaistību finansējumu 8 109 982 euro apmērā.</t>
  </si>
  <si>
    <t>Increase of the share capital of SJSC Latvijas dzelzceļš by investing financial resources in the amount of EUR 32,422,016 for the maintenance and development of public railway infrastructure, which should be converted into shares in order to ensure stabilization of the financial situation in the sector.</t>
  </si>
  <si>
    <t>TOTAL</t>
  </si>
  <si>
    <t>% of GDP</t>
  </si>
  <si>
    <t>Papildus KP ES fondu virssaistību apjoms</t>
  </si>
  <si>
    <t>KP ES fondu valsts budžeta virssaistības *-  Ēku siltināšana, veselības infrastruktūra, atbalsts uzņēmumiem (ALTUM). * (1) Saskaņā ar ES fondu 2014.–2020.gada plānošanas perioda vadības likuma 1.panta 15.punktu “virssaistības” ir “papildu saistības veikt maksājumus no valsts budžeta attiecināmo izdevumu segšanai, kas pārsniedz ES fonda finansējuma un attiecināmā valsts budžeta līdzfinansējuma summu” – t.i. papildu saistības veikt maksājumus no valsts budžeta attiecināmo izdevumu segšanai ar mērķi plānošanas perioda beigās nodrošināt ES fondu finansējuma pilnīgu izmantošanu, ņemot vērā potenciālos neatbilstoši veiktos izdevumus, pārtrauktos projektus, ietaupījumus, kavējumus un citus riskus, kas var radīt negatīvu ietekmi. Virssaistības ietver ES fondu finansējumu un valsts budžeta līdzfinansējumu, kur nepieciešams. (2) Likumā Par vidēja termiņa budžeta ietvaru 2020., 2021. un 2022. gadam 21. pants. Lai nodrošinātu virssaistību neitrālu ietekmi uz vispārējās valdības budžeta bilanci ES struktūrfondu un Kohēzijas fonda darbības programmas "Izaugsme un nodarbinātība" ietvaros, virssaistības tiek kompensētas no ES fondu finansējuma līdz plānošanas perioda beigām atbilstoši MK lēmumam.</t>
  </si>
  <si>
    <t xml:space="preserve">Pašvaldību aizņēmumu kopējais palielinājums par 150  milj. euro, lai 2020.gadā nodrošinātu aizdevumu pieejamību pašvaldībām ES fondu un pārējās ārvalstu finanšu palīdzības līdzfinansētajos augstas gatavības projektos ar tautsaimniecības nozīmi, Vides aizsardzības un reģionālās attīstības ministrijas  pieteiktajos augstas gatavības attiecīgo jomu investīciju projektos, kā arī jaunas pirmsskolas izglītības iestādes būvniecībai vai esošas pirmsskolas izglītības iestādes paplašināšanai, kas saistīti ar demogrāfijas pasākumu īstenošanu, mazinot rindas pirmsskolas izglītības iestādē, un valstiski nozīmīga investīciju projekta "Mežaparka Lielās estrādes rekonstrukcija" īstenošanai. </t>
  </si>
  <si>
    <t>Noteikumi par kapitāla ieguldījumiem komersantos, kuru darbību ietekmējusi Covid-19 izplatība</t>
  </si>
  <si>
    <t>Noteikumi par garantijām lielajiem komersantiem, kuru darbību ietekmējusi Covid-19 izplatība</t>
  </si>
  <si>
    <t>Pabalsts ģimenēm (personai) krīzes situācijā, t.sk. piemaksa pie pabalsta</t>
  </si>
  <si>
    <t>Benefit for families (person) in a crisis situation, incl. Supplement</t>
  </si>
  <si>
    <t>"Regulations on capital investments in merchants whose activities have been affected by the spread of Covid-19"</t>
  </si>
  <si>
    <t>"Regulations on Guarantees for Large Merchants Affected by the Spread of Covid-19"</t>
  </si>
  <si>
    <t>NEPLP, lai nodrošinātu sabiedrībai iespēju saņemt daudzpusīgu informāciju un viedokļus par Covid-19 krīzespārvarēšanu, kā arī nodrošinātu valsts informatīvās telpasdrošību komerciālajos elektroniskajos plašsaziņas līdzekļos.</t>
  </si>
  <si>
    <t>A total increase of municipal loans by EUR 150 million to ensure the availability of loans to local governments in 2020 in high-readiness projects co-financed by EU funds and other foreign financial assistance with economic significance, high-readiness investment projects applied by the Ministry of Environmental Protection and Regional Development, and new pre-schools for the construction of an educational institution or the expansion of an existing pre-school educational institution, which are related to the implementation of demographic measures by reducing the queues in pre-school educational institutions, and for the implementation of a nationally significant investment project "Reconstruction of Mežaparks Grand Stage".</t>
  </si>
  <si>
    <t>LIMITED ACCESS.
Please be informed that, in accordance with Regulation of the European Parliament and of the Council Commission Regulation (EU) No 549/2013 of 21 May 2013 on the European system of national and regional accounts in the European Union for an investment in share capital of EUR 150,0 million under point 4.165 (b) Competent statistical authorities can account as general government expenditure, thus having a negative impact on the general government budget balance in 2020.
Increase of appropriation according to Article 22 of the Law "On Measures for Prevention and Management of State Threats and Its Consequences due to Proliferation of Covid-19"</t>
  </si>
  <si>
    <t>Allowances for interior sector employees</t>
  </si>
  <si>
    <t>Cabinet of Ministers 160 07.04.2020. It is financed from "Funds for National Emergencies" from the increase of the appropriation by 300 mln. according to the Cabinet of Ministers No.121 25.03.2020. Two amendments have been made to that order.
No.177 16.04.2020. (protocol No. 24 59 §) and No. 367 30.06.2020 (protocol No. 42 54 §)</t>
  </si>
  <si>
    <t>In order to reduce the negative consequences of the Covid-19 crisis on the sports sector, including 2.0 million euros for the Latvian Olympic Committee, 1.9 million euros euro to the Council of Latvian Sports Federations, etc.</t>
  </si>
  <si>
    <t>Support for capital companies of the Ministry of Culture, LNL, Latvian National Archives, museums to cover losses.
Creative persons employment program.</t>
  </si>
  <si>
    <t>20.03.2020 05.06.2020</t>
  </si>
  <si>
    <t>Lai 2020.gadā nodrošinātu Covid-19 izplatības un masveida inficēšanās gadījumu novēršanu un saslimšanas risku mazināšanu Labklājības ministrijas pakļautībā esošajos valsts sociālās aprūpes centros</t>
  </si>
  <si>
    <t>P.2, P.51</t>
  </si>
  <si>
    <t>1.  118 583 euro, lai kompensētu izdevumus saistībā ar īstenotajiem Covid-19 pretepidēmijas pasākumiem, no tiem izdevumiem atlīdzībai 1825 euro (izdevumi saistībā ar piemaksu par darbu īpašos apstākļos un papildu darbu) un izdevumiem precēm un pakalpojumiem 116 758 euro (dezinfekcijas līdzekļu un individuālo aizsardzības līdzekļu iegādes izdevumi);
2.  405 462 euro izdevumiem pamatkapitāla veidošanai, lai veicinātu klientu drošību un mazinātu risku inficēties ar Covid-19, no tiem videonovērošanas sistēmu atjaunošanai (izbūvei) 277 500 euro, automātisko vārtu iegādei un uzstādīšanai 36 365 euro, aktivitāšu laukumu ierīkošanai valsts sociālās aprūpes centra “Rīga” filiālē “Teika” un filiālē “Ezerkrasti” 21 430 euro, automātisko virsmu dezinfekcijas iekārtu iegādei 49 167 euro un dezinfekcijas lampu iegādei 21 000 euro.</t>
  </si>
  <si>
    <t xml:space="preserve">MK rīkojums Nr. 399 "Par finanšu līdzekļu piešķiršanu no valsts budžeta programmas "Līdzekļi neparedzētiem gadījumiem"" </t>
  </si>
  <si>
    <t>MK rīk. Nr.413 "Par finanšu līdzekļu piešķiršanu no valsts budžeta programmas "Līdzekļi neparedzētiem gadījumiem""</t>
  </si>
  <si>
    <t>No valsts budžeta programmas 02.00.00 “Līdzekļi neparedzētiem gadījumiem” piešķirts Veselības ministrijai (Nacionālajam veselības dienestam) finansējums, kas nepārsniedz 2 054 926 euro, lai nodrošinātu zāļu krājumus ārstniecības iestādēm saistībā ar Covid-19 infekcijas izplatību valstī.</t>
  </si>
  <si>
    <t>MK rīkojums Nr.423 "Par finanšu līdzekļu piešķiršanu no valsts budžeta programmas "Līdzekļi neparedzētiem gadījumiem""</t>
  </si>
  <si>
    <t>Ar MK 13.08.2020. rīkojumu Nr.423 veikti grozījumi MK 2020.gada 16.aprīļa rīkojumā Nr.181 “Par finanšu līdzekļu piešķiršanu no valsts budžeta programmas “Līdzekļi neparedzētiem gadījumiem””, precizējot Iekšlietu ministrijai finansējumu 667 103 euro apmērā (bija 2 590 703 euro), lai Iekšlietu ministrijas padotības iestāžu amatpersonām, kas bijušas tieši iesaistītas Covid-19 seku novēršanā nodrošinātu piemaksas.</t>
  </si>
  <si>
    <t>Lai nodrošinātu attālinātā mācību procesu un klātienes studijas un lai nodrošinātu neatliekamu kultūras infrastruktūras sakārtošanas darbu veikšanu</t>
  </si>
  <si>
    <t>Sākotnēji ietekme paredzēta 22,1 milj. eiro, bet precizēta uz 51 milj. eiro, izskatot Noteikumu projektu "Noteikumi par atbalstu eksportējošiem nodokļu maksātājiem Covid-19 krīzes seku pārvarēšanai". Ar MK 11.08.2020. rīkojumu Nr.415 no LNG piešķirts Ekonomikas ministrijai (Latvijas Investīciju un attīstības aģentūrai) finansējums, kas nepārsniedz 70 200 000 euro, tai skaitā:
51 000 000 euro, lai atbalstītu krīzes skartos nodokļu maksātājus – preču un pakalpojumu eksportētājus –, kuru darbību ietekmējusi Covid-19 izplatība. Ietekme atbilstoši MK 02.09.2020. Informatīvajam ziņojumam "Par pasākumiem Covid-19 krīzes pārvarēšanai un ekonomikas atlabšanai 2020. un 2021.gadam" .</t>
  </si>
  <si>
    <t>Attālinātajam mācību procesam nepieciešamo viedtālruņu un planšetu iegādei pašvaldību vispārējās pamata un vidējās izglītības iestāžu izglītojamiem.</t>
  </si>
  <si>
    <t xml:space="preserve">Rīkojums Nr.384 "Par finanšu līdzekļu piešķiršanu no valsts budžeta programmas "Līdzekļi neparedzētiem gadījumiem"" </t>
  </si>
  <si>
    <t>Ar MK 30.06.2020. rīkojumu Nr.363 no programmas 02.00.00 "Līdzekļi neparedzētiem gadījumiem" piešķirti Izglītības un zinātnes ministrijai 5 000 000 euro, lai mazinātu Covid-19 krīzes radīto negatīvo seku ietekmi uz sporta nozari</t>
  </si>
  <si>
    <t>Finansējums pasākumiem rezrvēts ar MK 02.06.2020. sēdē izskatīto informatīvo ziņojumu "Par pasākumiem Covid-19 krīzes pārvarēšanai un ekonomikas atlabšanai" - 66 milj. euro pasākumam "Latvijas Dzelzceļš, u.c.  pārvadātājiem (pasažieru pārvadājumiem, finanšu līdzsvaram, pamatkapitāla palielināšanai, sabiedriskajam transportam dēļ COVID)". Ietekme atbilstoši MK 02.09.2020. Informatīvajam ziņojumam "Par pasākumiem Covid-19 krīzes pārvarēšanai un ekonomikas atlabšanai 2020. un 2021.gadam" .</t>
  </si>
  <si>
    <t>Valsts administrācijas skolai finanšu stabilizēšanai</t>
  </si>
  <si>
    <t>Piešķirt Valsts administrācijas skolai finansējumu  74 992 euro, lai mazinātu Covid-19 krīzes radīto negatīvo ietekmi un stabilizētu finanšu situāciju Valsts administrācijas skolā</t>
  </si>
  <si>
    <t xml:space="preserve">MK rīkojums Nr. 443 "Par finanšu līdzekļu piešķiršanu no valsts budžeta programmas "Līdzekļi neparedzētiem gadījumiem"" </t>
  </si>
  <si>
    <t>666 267 euro, lai nodrošinātu attālinātā mācību procesu un klātienes studijas, ņemot vērā Covid-19 infekcijas izplatības ierobežošanai noteiktos pasākumus</t>
  </si>
  <si>
    <t>Atbilstoši aprēķiniem tiks skarti 52 000 uzņēmumi, kuri nodarbina 465 000 darbiniekus. Pieņemot, ka maksimums pabalsts tiks pieprasīts par visiem nodarbinātajiem vidēji par 700 euro uz atbalstu varētu pretendēt 20% no visiem komersantiem, līdz kopumā minētās izmaksas mēnesī sastāda 93 000 x 700 = 65 100 000 euro 
Izmaksa plānota par 2 mēnešiem, sastādot 130 200 000  euro.‬ Ņemot vērā izpildi, pārrēķināts nepieciešamais finansējums.</t>
  </si>
  <si>
    <t>Rīgas austrumu klīniskās universitātes slimnīcas (RAKUS) pamatkapitāla palielināšana.</t>
  </si>
  <si>
    <t>Aizsardzības ministrijas centralizētais iepirkums aizsardzības līdzekļiem</t>
  </si>
  <si>
    <t>Lai nodrošinātu funkciju īstenošanu un veselības aprūpes pakalpojumu sniegšanas nepārtrauktību - RAKUS 0,66 mEUR un P.Stradiņa klīniskās universitātes slimnīca (PSKUS) 0,66 mEUR</t>
  </si>
  <si>
    <t xml:space="preserve">Piešķirts no LNG, tiek finansēts no LNG apropriācijas palielinājuma 300 milj. euro apmērā. </t>
  </si>
  <si>
    <t>MK 15.07.2020. rīk. Nr.381"Par finanšu līdzekļu piešķiršanu no valsts budžeta programmas 02.00.00 Līdzekļi neparedzētiem gadījumiem"</t>
  </si>
  <si>
    <t>MK 15.07.2020. rīk. Nr.391 "Par finanšu līdzekļu piešķiršanu valsts akciju sabiedrībai "Latvijas dzelzceļš""</t>
  </si>
  <si>
    <t>MK 15.07.2020. rīk. Nr.392 "Par valsts akciju sabiedrības "Latvijas dzelzceļš" pamatkapitāla palielināšanu"</t>
  </si>
  <si>
    <t>Iekšlietu ministrijas Informācijas centram</t>
  </si>
  <si>
    <t>To ensure distance learning and full-time studies and to ensure urgent improvement of cultural infrastructure</t>
  </si>
  <si>
    <t>14.05.2020
20.05.2020</t>
  </si>
  <si>
    <t>Par laikposmu, kamēr valstī ir izsludināta ārkārtējā situācija sakarā ar Covid-19 izplatību, personām, kurām šajā periodā ir tiesības uz šo noteikumu 3.punktā minēto piemaksu pie ģimenes valsts pabalsta par bērnu invalīdu, Valsts sociālās apdrošināšanas aģentūra līdz 2020. gada 30. jūnijam izmaksā vienreizējo piemaksu 150 euro apmērā. T.sk.23 595 EUR sistēmu modernizēšanai.</t>
  </si>
  <si>
    <t xml:space="preserve">MK rīk. Nr.141 "Par finanšu līdzekļu piešķiršanu no valsts budžeta programmas "Līdzekļi neparedzētiem gadījumiem"" </t>
  </si>
  <si>
    <t>Lai kompensētu saistībā ar Covid-19 izplatību radītos zaudējumus, nodrošinātu sabiedrības likviditāti ilgtermiņā un ekonomiskās krīzes pārvarēšanu un stabilizēšanu nozarē, atbalstīt akciju sabiedrības "Air Baltic Corporation" pamatkapitāla palielināšanu, ieguldot tajā finanšu līdzekļus 250 000 000 euro apmērā</t>
  </si>
  <si>
    <t>MK rīkojums Nr.548 "Par finanšu līdzekļu piešķiršanu no valsts budžeta programmas "Līdzekļi neparedzētiem gadījumiem""</t>
  </si>
  <si>
    <t>Covid - 19 krīzes pārvarēšanai un ekonomikas atslabšanai, tai skaitā veselības infrastruktūrai, e-veselības sistēmas pilnveidošanai  un ātrās molekulārās diagnostikas iekārtu iegādei</t>
  </si>
  <si>
    <t>Dīkstāves palīdzības pabalsts un piemaksa par bērnu</t>
  </si>
  <si>
    <t xml:space="preserve">MK rīk. Nr.415 "Par finanšu līdzekļu piešķiršanu no valsts budžeta programmas "Līdzekļi neparedzētiem gadījumiem"" </t>
  </si>
  <si>
    <t>Atbalsts valsts sociālās aprūpes centriem</t>
  </si>
  <si>
    <t xml:space="preserve">ES fondu finansējuma pārdales, lai sniegtu atbalstu zivsaimniecības nozres uzņēmumiem. </t>
  </si>
  <si>
    <t>Atbalsts ārlietu politikas nodrošināšanai</t>
  </si>
  <si>
    <t>Ārlietu ministrijas pasākumi</t>
  </si>
  <si>
    <t>ĀM</t>
  </si>
  <si>
    <t>MK rīk Nr.118 20.03.2020. Tiks finansēts no LNG  apropriācijas palielinājuma 300 milj. euro apmērā. Precizēts atbalsta apmērs uz 258 036 euro ņemot vērā MK 14.07.2020. lēmumu http://tap.mk.gov.lv/doc/2020_07/IEMRik_030620_groz118.1160.doc</t>
  </si>
  <si>
    <t>Continuation of the necessary measures for the treatment and diagnosis of COVID-19 patients until 31 December 2020.</t>
  </si>
  <si>
    <t>Support for foreign policy</t>
  </si>
  <si>
    <t>Activities of the Ministry of Foreign Affairs</t>
  </si>
  <si>
    <t>Impact on the General Government Budget Balance</t>
  </si>
  <si>
    <t>GDP, mln euro</t>
  </si>
  <si>
    <t>Item No.</t>
  </si>
  <si>
    <t>Piešķirt Ārlietu ministrijai finansējumu, kas nepārsniedz 211 000 euro, lai nodrošinātu informācijas un komunikācijas tehnoloģiju funkcionalitāti pieaugošo kiberdraudu apstākļos</t>
  </si>
  <si>
    <t>29.09.2020.</t>
  </si>
  <si>
    <t xml:space="preserve">MK rīkojums Nr. 552 "Par finanšu līdzekļu piešķiršanu no valsts budžeta programmas "Līdzekļi neparedzētiem gadījumiem"" </t>
  </si>
  <si>
    <t>Ekonomikas ministrijai 346 970 euro  Energoresursu informācijas sistēmas izstrādei ar mērķi mazināt administratīvo slogu energoefektivitātes monitoringa sistēmas dalībniekiem nodrošinot datu kvalitāti iesniedzot, kā arī datortehnikas nomaiņai  Ekonomikas ministrijas resorā.</t>
  </si>
  <si>
    <t xml:space="preserve">MK rīkojums Nr. 573 "Par finanšu līdzekļu piešķiršanu no valsts budžeta programmas "Līdzekļi neparedzētiem gadījumiem"" </t>
  </si>
  <si>
    <t xml:space="preserve">Piešķirt Iekšlietu ministrijai (Nodrošinājuma valsts aģentūrai) finansējumu 245 391 euro apmērā, lai segtu izdevumus, kas saistīti ar papildu drošības pasākumiem Covid – 19 izplatības mazināšanai – telpu papildu uzkopšanu ārkārtējās situācijas laikā, kā arī aizsargbarjeru, aizsargstiklu un piekļuves kontroles sistēmu uzstādīšanu.  </t>
  </si>
  <si>
    <t>Piešķirt Iekšlietu ministrijai (Valsts policijai) finansējumu 66 123 euro apmērā, lai segtu izdevumus, kas saistīti ar samaksu par dienesta pienākumu izpildi virs noteiktā dienesta pienākumu izpildes laika (virsstundu darbu) Covid-19 izplatības ierobežošanas pasākumos iesaistītajām amatpersonām ar speciālajām dienesta pakāpēm laika periodā no 2020.gada 1.maija līdz 2020. gada 9.jūnijam</t>
  </si>
  <si>
    <t>FinansējumsNodrošinājuma valsts aģentūrai</t>
  </si>
  <si>
    <t xml:space="preserve">MK rīkojums Nr. 560 "Par finanšu līdzekļu piešķiršanu no valsts budžeta programmas "Līdzekļi neparedzētiem gadījumiem"" </t>
  </si>
  <si>
    <t xml:space="preserve">MK rīkojums Nr. 619 "Par finanšu līdzekļu piešķiršanu no valsts budžeta programmas "Līdzekļi neparedzētiem gadījumiem"" </t>
  </si>
  <si>
    <t>MK rīk. Nr. 136 27.03.2020. Finansēts no LNG no apropriācijas palielinājuma LNG par 300 milj. atbilstoši MK rīk. Nr.121 25.03.2020. Ietekme precizēta.</t>
  </si>
  <si>
    <t>Piešķirt Nacionālajai elektronisko plašsaziņas līdzekļu padomei 30 930  euro, tai skaitā:
1. 13 832 euro, lai kompensētu izdevumus, kas saistīti ar sabiedriskā pasūtījuma komerciālajos medijos izvērtējuma veikšanu;
2. 17 098 euro VSIA „Latvijas Radio”, lai segtu izdevums par papildus satura ražošanu un izplatīšanu vīrusa Covid-19 izplatības dēļ.</t>
  </si>
  <si>
    <t>Piešķirt Nacionālajai elektronisko plašsaziņas līdzekļu padomei, lai kompensētu izdevumus, kas saistīti ar sabiedriskā pasūtījuma komerciālajos medijos izvērtējuma veikšanu;
VSIA „Latvijas Radio”, lai segtu izdevums par papildus satura ražošanu un izplatīšanu vīrusa Covid-19 izplatības dēļ.</t>
  </si>
  <si>
    <t>MK rīk. Nr.607 "Par finanšu līdzekļu piešķiršanu no valsts budžeta programmas "Līdzekļi neparedzētiem gadījumiem""</t>
  </si>
  <si>
    <t>Piešķirt Veselības ministrijai 1 638 064 euro apmērā,  lai veiktu papildu iemaksas Ārkārtas atbalsta instrumentā plašāka Covid-19 vakcīnu portfeļa pieejamības nodrošināšanai</t>
  </si>
  <si>
    <t>Finansējums medikamentu iegādei</t>
  </si>
  <si>
    <t xml:space="preserve">MK rīkojums Nr. 608 "Par finanšu līdzekļu piešķiršanu no valsts budžeta programmas "Līdzekļi neparedzētiem gadījumiem"" </t>
  </si>
  <si>
    <t>Finansējums Valsts policijai</t>
  </si>
  <si>
    <t>To provide funds to the National Electronic Media Council to reimburse the expenses related to the evaluation of public procurement in commercial media;_x000D_
State limited liability company "Latvijas Radio" to cover the publication for the production and distribution of additional content due to the spread of the Covid-19 virus. "</t>
  </si>
  <si>
    <t>Funding for the National Security Agency</t>
  </si>
  <si>
    <t>Funding for the State Police</t>
  </si>
  <si>
    <t>Provide the Ministry of the Interior (National Security Agency) with funding of EUR 245 391 to cover the costs of additional security measures to reduce the spread of Covid - 19 - additional cleaning of the premises during an emergency, as well as the installation of security barriers, safety glazing and access control systems.</t>
  </si>
  <si>
    <t>To provide the Ministry of the Interior (National Police) with funding in the amount of EUR 66 123 to cover expenses related to the payment of duties in excess of the specified duty hours (overtime) to officials involved in Covid-19 containment measures with special grades from May 1, 2020 to June 9, 2020</t>
  </si>
  <si>
    <t>346,970 euros to the Ministry of Economics for the development of the Energy Resources Information System with the aim to reduce the administrative burden for the participants of the energy efficiency monitoring system by ensuring data quality upon submission, as well as for replacing computer equipment in the Ministry of Economics.</t>
  </si>
  <si>
    <t>Ar budžeta finansējumu, kas nepārsniedz 800 000 euro kopumā plānots izsniegt grantus orientējošio 6 tūrisma operatoriem (indikatīvās izmaksas, kas apkopotas, aptaujājot tūrisma operatorus, izmaksas tiks precizētas, saņemot no operatoriem zvērinātu revidentu apliecinātus aprēķinus). Nepieciešamais finansējums samazināts par 160 000 euro, ņemot vērā izpildi.</t>
  </si>
  <si>
    <t>03.11.2020.</t>
  </si>
  <si>
    <t>Finansējums mediķu virsstundu apmaksai</t>
  </si>
  <si>
    <t>Finansējums 1 246 071 euro apmērā, lai nodrošinātu atbildīgo institūciju ārstniecības personām un pārējiem nodarbinātajiem virsstundu darba, kas saistīts ar “Covid-19” jautājumu risināšanu un seku novēršanu, apmaksas kompensēšanu no 2020.gada 1.marta līdz 2020.gada 9.jūnijam</t>
  </si>
  <si>
    <t xml:space="preserve">MK rīkojums Nr. 656 "Par finanšu līdzekļu piešķiršanu no valsts budžeta programmas "Līdzekļi neparedzētiem gadījumiem"" </t>
  </si>
  <si>
    <t>Piemaksas atbildīgo institūciju ārstniecības personām un citiem nodarbinātajiem par darbu paaugstināta riska un slodzes apstākļos.</t>
  </si>
  <si>
    <t xml:space="preserve">Piešķirt Veselības ministrijai finansējumu, kas nepārsniedz 2 926 570 euro, lai nodrošinātu piemaksas no 2020.gada 1.oktobra līdz 2020.gada 30.oktobrim atbildīgo institūciju ārstniecības personām un citiem nodarbinātajiem par darbu paaugstināta riska un slodzes apstākļos ārkārtas sabiedrības veselības apdraudējumā saistībā ar Covid-19 uzliesmojumu un seku novēršanu. </t>
  </si>
  <si>
    <t>02.06.2020 10.11.2020</t>
  </si>
  <si>
    <t>Atbalsts paredz nepilnu darba laiku strādājošo darbinieku atlīdzības kompensēšanai tiek izmaksāts kā atbalsts darba algu subsīdijai darba devējam 50 % apmērā no deklarētās mēneša vidējās bruto darba samaksas par periodu no 2020.gada 1.augusta līdz 31.oktobrim, bet ne vairāk kā 500 euro apmērā par kalendāra mēnesi par darbinieku. Vienlaikus ar Noteikumu projektu noteikts pienākums darba devējam izmaksāt darbiniekam starpību starp saņemtā atbalsta apmēru un darba samaksas apmēru, tādējādi nodrošinot, ka darbinieks saņems 100% atlīdzību.</t>
  </si>
  <si>
    <t>Grants (jeb atbalsta pieejamā summa) uzņēmumam noteikts 30% apmērā no uzņēmuma bruto darba algas, par kuru nomaksāti darba algas nodokļi 2020. gada augustā, septembrī un oktobrī, kopsummas, bet ne vairāk kā 50 000 euro par atbalsta periodu, un ne vairāk kā 800 000 euro saistītai personu grupa</t>
  </si>
  <si>
    <t>Piešķirt Tieslietu ministrijai (Ieslodzījuma vietu pārvaldei) finansējumu, kas nepārsniedz 518 730 euro, lai Tieslietu ministrijas Ieslodzījuma vietu pārvaldes nodarbinātajiem, kuri ir bijuši tieši iesaistīti Covid-19 seku novēršanā, nodrošinātu piemaksas no 2020. gada 1. aprīļa līdz 2020.  gada 31. maijam par darbu paaugstināta riska un slodzes apstākļos sabiedrības veselības apdraudējuma situācijā saistībā ar Covid-19 uzliesmojumu un tā seku novēršanu.</t>
  </si>
  <si>
    <t>Nacionālajam veselības dienestam, lai segtu izdevumus, kas radušies saistībā ar Covid-19 uzliesmojumu un seku novēršanu</t>
  </si>
  <si>
    <t xml:space="preserve">MK rīkojums Nr.640  "Par finanšu līdzekļu piešķiršanu no valsts budžeta programmas "Līdzekļi neparedzētiem gadījumiem"" </t>
  </si>
  <si>
    <t>The aid provides for the compensation of part-time employees to be paid as aid to a wage subsidy to the employer in the amount of 50% of the declared average monthly gross wage for the period from 1 August to 31 October 2020, but not more than EUR 500 per calendar month per employee. Simultaneously with the draft Regulations, the employer is obliged to pay the employee the difference between the amount of support received and the amount of salary, thus ensuring that the employee will receive 100% compensation.</t>
  </si>
  <si>
    <t>Cabinet of Ministers No.383 15.07.2020. (Protocol No. 44 § 19) 3256905 euros, Cabinet of Ministers No. 414 11.08.2020 (Protocol No. 47 § 61) 2946255 euros, Cabinet of Ministers No. 484 04.09.2020 (Protocol No. 51 § 21) 2278397 euros, Cabinet of Ministers No. 613 20.10.2020 (protocol No. 62 § 18) 3009855 euros, Cabinet of Ministers No. 641 03.11.2020 (protocol No. 67 § 6) 16807205 euros. Cabinet of Ministers No.657 06.11.2020 (protocol No. 69 § 6) 3104531 euros</t>
  </si>
  <si>
    <t>Izdevumi, lai kompensētu reģionālās nozīmes pārvadājumos radušos zaudējumus saistībā ar Covid-19 infekcijas izplatības mazināšanu un ierobežojošo pasākumu seku rezultātā pasažieru skaita mazināšanos reģionālās nozīmes pārvadājumos ar autobusiem un vilcieniem.</t>
  </si>
  <si>
    <t>Lai kompensētu reģionālās nozīmes pārvadājumos radušos zaudējumus saistībā ar Covid-19 infekcijas izplatības mazināšanu un ierobežojošo pasākumu seku rezultātā pasažieru skaita mazināšanos reģionālās nozīmes pārvadājumos ar autobusiem un vilcieniem.</t>
  </si>
  <si>
    <t>17.11.2020.</t>
  </si>
  <si>
    <t>Kopā</t>
  </si>
  <si>
    <t>MK rīkojums Nr.697 "Par finanšu līdzekļu piešķiršanu no valsts budžeta programmas "Līdzekļi neparedzētiem gadījumiem""</t>
  </si>
  <si>
    <t>Izdevumu kompensēšana mobilo sakaru operatoriem</t>
  </si>
  <si>
    <t>24.11.2020.</t>
  </si>
  <si>
    <t xml:space="preserve">MK rīkojums Nr. 675 "Par finanšu līdzekļu piešķiršanu no valsts budžeta programmas "Līdzekļi neparedzētiem gadījumiem"" </t>
  </si>
  <si>
    <t>20.03.2020 05.06.2020 24.11.2020</t>
  </si>
  <si>
    <t>IIN maksātājs par 2020. un 2021. taksācijas gadu neveic IIN  avansa maksājumus no saimnieciskās darbības ienākuma. Nosacījums attiecināms uz avansa maksājumiem, sākot ar 2020. gada 1. janvāri un 2021.gada 1.janvāri. IIN  avansa maksājumus par 2020. un 2021. taksācijas gadu var veikt labprātīgi.</t>
  </si>
  <si>
    <t>"Latvijas Nacionālā opera un balets" pamatkapitāla palielināšana</t>
  </si>
  <si>
    <t>MK rīkojums Nr.708 Par apropriācijas palielināšanu Kultūras ministrijai</t>
  </si>
  <si>
    <t>Atbalsts Covid-19 krīzes ietekmētajiem kultūras pasākumu rīkotājiem</t>
  </si>
  <si>
    <t>Informatīvais ziņojums „Par atbalsta pasākumu Covid-19 krīzes ietekmētajiem kultūras pasākumu rīkotājiem”</t>
  </si>
  <si>
    <t>Apzinot biļešu izplatīšanas tīklu sniegto informāciju par to sistēmās iegādātajām biļetēm uz kultūras pasākumiem laikā no 2020.gada 9.novembra līdz 6.decembrim, biļešu kompensēšanai nepieciešamais finansējuma apjoms un atbalsta pasākuma administrēšanas izdevumi veido ap 1 083 481 euro.  Atbalsts tiks sniegts  2021.gadā,  veicot  apropriācijas pārdali no programmas „Latvijas skolas soma” 2021.gada finansējuma, ņemot vērā ietaupītos resursus 2020.gadā.</t>
  </si>
  <si>
    <t>FM (VID)</t>
  </si>
  <si>
    <t>Piemaksas atbildīgo institūciju ārstniecības personām un citiem nodarbinātajiem novembrī-decembrī 100% apmērā par darbu paaugstināta riska un slodzes apstākļos.</t>
  </si>
  <si>
    <t>Piemaksas vispārējās izglītības iestāžu pedagogiem, profesionālās pamatizglītības, arodizglītības un profesionālās vidējās izglītības programmu pedagogiem, kuri īsteno attālināto mācību procesu</t>
  </si>
  <si>
    <t>Par finansējuma sadalījumu atbalsta sniegšanai attālinātā mācību procesa nodrošināšanai vispārējās izglītības un profesionālās izglītības iestāžu pedagogiem</t>
  </si>
  <si>
    <t xml:space="preserve">Noteikumu projekts "Grozījumi Ministru kabineta 2018.gada 28.augusta noteikumos Nr.555 "Veselības aprūpes pakalpojumu organizēšanas un samaksas kārtība"" </t>
  </si>
  <si>
    <t>Nepieciešamo pasākumu COVID-19 pacientu ārstēšanai un diagnostikai turpināšana līdz 2020.gada 31.decembrim.</t>
  </si>
  <si>
    <r>
      <t xml:space="preserve">16,0 milj. eiro - noteikumu 243.5., 243.6.apkšpunkts, 245., 248.punkts un 3.pielikuma 60.punkts - </t>
    </r>
    <r>
      <rPr>
        <b/>
        <sz val="11"/>
        <rFont val="Calibri"/>
        <family val="2"/>
        <charset val="186"/>
        <scheme val="minor"/>
      </rPr>
      <t>VM nodrošinās esošo līdzekļu ietvaros.</t>
    </r>
  </si>
  <si>
    <t>Vakcīnām</t>
  </si>
  <si>
    <t xml:space="preserve">MK rīkojums Nr. 676 "Par finanšu līdzekļu piešķiršanu no valsts budžeta programmas "Līdzekļi neparedzētiem gadījumiem"" </t>
  </si>
  <si>
    <t>94 604 euro, lai nodrošinātu sociālās apdrošināšanas informācijas sistēmas (SAIS) funkcionalitāti.</t>
  </si>
  <si>
    <t>Lai nodrošinātu VSAA sociālās apdrošināšanas informācijas sistēmas (SAIS) funkcionalitāti</t>
  </si>
  <si>
    <t>MK rīkojums Nr. 663 "Par apropriācijas pārdali neatliekamu pasākumu īstenošanai labklājības nozarē"</t>
  </si>
  <si>
    <t>P.2, D.1</t>
  </si>
  <si>
    <t>1 064 652 euro  - valsts sociālās aprūpes centros nodarbināto motivēšanai;
198 958 euro - valsts sociālās aprūpes centriem aizsardzības līdzekļu krājumu papildināšanai Covid-19 masveida infekcijas izplatības novēršanai;
izdevumu kompensēšanai saistībā ar īstenotajiem Covid-19 pretepidēmijas pasākumiem  valsts sociālās aprūpes centros 16 458 euro;
Sociālās integrācijas valsts aģentūrai izdevumu kompensēšanai saistībā ar īstenotajiem Covid-19 pretepidēmijas pasākumiem 7 546 euro apmērā (dezinfekcijas līdzekļu un individuālo aizsardzības līdzekļu iegādes izdevumi).</t>
  </si>
  <si>
    <t>Lai segtu vakcīnas pret Covid-19 iegādes, loģistikas un ievades izdevumus</t>
  </si>
  <si>
    <t>MK 01.12.2020. sēdes prot. Nr.78 3.§, "Informatīvais ziņojums "Par Covid-19 vakcīnu ieviešanas stratēģiju""</t>
  </si>
  <si>
    <t>Piemaksu pie dīkstāves atbalsta  maksā VSAA 50 euro apmērā par katru apgādībā esošu bērnu vecumā līdz 24 gadiem, par kuru darbiniekam uz dīkstāves atbalsta piešķiršanas dienu tiek piemērots iedzīvotāju ienākuma nodokļa atvieglojums</t>
  </si>
  <si>
    <t>Pašvaldībām 2020. un 2021. gadā ir tiesības noteikt no likuma par nekustamā īpašuma nodokli atšķirīgus nekustamā īpašuma nodokļa nomaksas termiņus, tos pārceļot uz vēlāku laiku.</t>
  </si>
  <si>
    <t xml:space="preserve">Dīkstāves palīdzības pabalstu personām nodrošina vismaz 180 euro apmērā – kuriem pabalsts zem 180 euro, piemaksā starpību. Ietekme 3 353 748 EUR. Ietver arī piemaksu pie dīkstāves palīdzības pabalsta 50 euro apmērā par katru apgādībā esošu bērnu vecumā līdz 24 gadiem. Ņemot vērā izpildi, pārrēķināts nepieciešamais finansējums.
Finansējums, atsākoties krīzes situācijai, netiek atjaunots.  </t>
  </si>
  <si>
    <t>The PIT payer for the 2020/2021 taxation year does not make PIT advance payments from economic income. The condition applies to advance payments from 1 January 2020/2021. PIT advance payments for the 2020/2021 taxation year can be made voluntarily.</t>
  </si>
  <si>
    <t>Local governments in years 2020/2021 have the right to set real estate tax payment terms different from the real estate tax law by postponing them to a later time.</t>
  </si>
  <si>
    <t>It is indicatively estimated that the fiscal impact is forecasted: in 2021 - EUR 75 million; In 2022 +7.5 million euros; +15 million euros in 2023 and +30 million euros in 2024. The fiscal impact is forecasted, assuming that the amount of extensions granted in the first half of next year will be 50% of the ~ 150 million euros granted in 2020. Accordingly, a total of 70% of the granted extensions will be reimbursed over the next three years.</t>
  </si>
  <si>
    <t>Of which - 28.0 mln. Euro in the local government budget 2020. Given that the single united account and the accrual principle have not yet been introduced, it is not possible to determine precisely the actual aid.
According to the SRS data, the amount of PIT advance payments to be made in 2019 was 31.81 million. EUR, in 2020 they are only 4.30 mln. EUR. At the same time, the amount of PIT payable after the results of annual income declarations has decreased. If the amount to be paid in the declarations for 2018 was 45.07 million. EUR, then for 2019 it is 42.74 mln. EUR. The support has also been extended to 2021</t>
  </si>
  <si>
    <t>Ministry of Finance
(SSIA)</t>
  </si>
  <si>
    <t>Ministry of Finance,
Local Governments</t>
  </si>
  <si>
    <t>The downtime assistance allowance for individuals is provided in the amount of at least 180 euros - for those the benefit is less than 180 euros, the difference is paid. Impact EUR 3 353 748. Also includes a supplement to the downtime allowance of EUR 50 for each dependent child under the age of 24. Taking into account the execution, the required funding has been recalculated.
Funding is not restored once the crisis resumes.</t>
  </si>
  <si>
    <t>Taking into account the data of the State Social Insurance Agency in April-July 2020, when renewing the continuation of parental benefit, the planned number of recipients of parental benefit continuation is 700 persons per month on average, the average amount to be paid per month is 220 euros (average in August-October). Planned expenditure: EUR 154 000 per month on average. The actual costs for the continuation of parental benefit can also be covered in 2021.</t>
  </si>
  <si>
    <t>Ministry of Welfare</t>
  </si>
  <si>
    <t>Ministry of Welfare (SSIA)</t>
  </si>
  <si>
    <t>Ministry of Economics; Ministry of Finance
(State Revenue Service)</t>
  </si>
  <si>
    <t>Ministry of Culture;
Ministry of Finance
(State Revenue Service)</t>
  </si>
  <si>
    <t>Ministry of Economics; Ministry of Welfare (SSIA)</t>
  </si>
  <si>
    <t>Ministry of Economics</t>
  </si>
  <si>
    <t>Ministry of Finance
(State Revenue Service)</t>
  </si>
  <si>
    <t>Cabinet of Ministers 01.12.2020. sitting prot. No.78 § 3, "Information report" On the implementation strategy of Covid-19 vaccines ""</t>
  </si>
  <si>
    <t>Allowances for medical practitioners and other employees of the responsible institutions in November-December in the amount of 100% for work in conditions of increased risk and workload.</t>
  </si>
  <si>
    <t>For Vaccines</t>
  </si>
  <si>
    <t>On the distribution of funding for the provision of support for the provision of distance learning process for teachers of general education and vocational education institutions</t>
  </si>
  <si>
    <t>To provide allowances from 1 October 2020 to 30 November 2020 to officials of subordinate institutions of the Ministry of the Interior with special service ranks for work in conditions of increased risk and workload in a situation of public health threat related to the Covid-19 outbreak and its consequences</t>
  </si>
  <si>
    <t>To compensate for the losses caused by regional transport due to the reduction of the spread of Covid-19 infection and the reduction of the number of passengers in regional transport by bus and train as a result of the restrictive measures.</t>
  </si>
  <si>
    <t>Expenditure to compensate for regional transport losses due to the reduction of the Covid-19 infection and the reduction in the number of passengers in regional bus and train transport as a result of the restrictive measures.</t>
  </si>
  <si>
    <t>Cabinet Order No. 708 On Increasing the Appropriation for the Ministry of Culture</t>
  </si>
  <si>
    <t>Support for organizers of cultural events affected by the Covid-19 crisis</t>
  </si>
  <si>
    <t>Increase of the share capital of the "Latvian National Opera and Ballet"</t>
  </si>
  <si>
    <t>Cabinet of Ministers Order No. 663 "On the reallocation of appropriations for emergency measures in the welfare sector"</t>
  </si>
  <si>
    <t>It is estimated that 52,000 companies with 465,000 employees will be affected. Assuming a maximum benefit of € 700 for all employees on average, 20% of all businesses could be eligible for support, up to a total of 93,000 x 700 per month = EUR 65 100 000
The disbursement is planned for 2 months, amounting to 130,200,000 euros.
Taking into account the actual performance, the required funding has been recalculated.</t>
  </si>
  <si>
    <t xml:space="preserve">12,221 self-employed persons, assuming that they will all claim a downtime benefit up to a maximum of € 700, the total monthly costs will be 12,221 persons x € 700 = € 8,554,700. In two months, the total expenditure is 17 109 400 euros.
There are 13,000 micro-enterprise taxpayers in the sectors affected by the crisis. The monthly costs will be 13,000 persons x € 700 = € 9,100,000. EUR 18 200 000 in two months.
</t>
  </si>
  <si>
    <t>For the period when a state of emergency has been declared in the country due to the spread of Covid-19, the SSIA pays a benefit for a child under the age of seven - 161.25 euros per month and for a child from the age of seven - 193.50 euros per month. The amount of the SSIA benefit is calculated for the period from March 12, 2020 and is paid until June 30, 2020. Actual estimate according to actual performance. Taking into account the actual performance, the required funding has been recalculated. Funding is not to be restored once the crisis resumes.</t>
  </si>
  <si>
    <t>For the period while a state of emergency has been declared in the country due to the spread of Covid-19, persons who in this period are entitled to the supplement referred to in Paragraph 3 of these Regulations to the state family benefit for a disabled child, the State Social Insurance Agency until 30 June 2020 one additional payment of EUR 150 shall be paid. Including 23 595 EUR for system modernization</t>
  </si>
  <si>
    <t>Initially, the impact is estimated at 22.1 million. euro, but adjusted to 51 mln. euro, considering the draft Regulations "Regulations on support for exporting taxpayers to overcome the consequences of the Covid-19 crisis". By the Cabinet of Ministers 11.08.2020. Order No. 415 from the LNG has granted funding to the Ministry of Economics (Latvian Investment and Development Agency) not exceeding EUR 70,200,000, including:
EUR 51 000 000 to support taxpayers affected by the crisis - exporters of goods and services - affected by the proliferation of Covid-19. Impact according to the Cabinet of Ministers 02.09.2020. For the information report "On measures to overcome the Covid-19 crisis and economic recovery for 2020 and 2021".</t>
  </si>
  <si>
    <t>Cabinet of Ministers No. 120 "On the increase of the share capital of the state joint stock company"Latvian air Traffic "</t>
  </si>
  <si>
    <t>Ministry of Transport</t>
  </si>
  <si>
    <t>Ministry of Health</t>
  </si>
  <si>
    <t>Ministry of Interior</t>
  </si>
  <si>
    <t>Ministry of Defence</t>
  </si>
  <si>
    <t>Ministry of Education and Science</t>
  </si>
  <si>
    <t>State Chancellery</t>
  </si>
  <si>
    <t>National Electronic Mass Media Council</t>
  </si>
  <si>
    <t>Society Integration Foundation</t>
  </si>
  <si>
    <t>Ministry of Justice</t>
  </si>
  <si>
    <t>Ministry of Economics, Ministry of Welfare, Ministry of Education and Science</t>
  </si>
  <si>
    <t>Ministry of Welfare, 
Ministry of Economics</t>
  </si>
  <si>
    <t>Ministry of Foreign Affairs</t>
  </si>
  <si>
    <t>Ministry of Economics,Ministry of Finance (State Revenue Service)</t>
  </si>
  <si>
    <t>Funding for the measures was reserved by the Cabinet of Ministers on 02.06.2020 The informative report "On measures to overcome the Covid-19 crisis and economic recovery" considered at the meeting - 66 mln. euro for the measure "Latvijas Dzelzceļš, etc. for carriers (passenger transport, financial balance, increase of share capital, public transport due to COVID)" Impact according to the Cabinet of Ministers Information Report of 02.09.2020 "On Measures for Overcoming the Covid-19 Crisis and Economic Recovery for 2020 and 2021".</t>
  </si>
  <si>
    <t>11.12.2020.</t>
  </si>
  <si>
    <t xml:space="preserve">MK rīkojums Nr. 756 "Par finanšu līdzekļu piešķiršanu no valsts budžeta programmas "Līdzekļi neparedzētiem gadījumiem"" </t>
  </si>
  <si>
    <t>Piemaksas Valsts probācijas dienesta darbiniekiem</t>
  </si>
  <si>
    <t>Nodrošinot naudas balvas Valsts probācijas dienesta nodarbinātajiem paaugstinātas intensitātes un slodzes  apstākļos Covid-19 infekcijas izplatības ierobežošanai nepieciešamo pasākumu īstenošanas laikā</t>
  </si>
  <si>
    <t>Nepieciešamais papildu finansējums naudas balvu izmaksai 319 nodarbinātajiem un valsts sociālās apdrošināšanas obligāto iemaksu veikšanai valsts budžetā (393 291 euro) normatīvajos aktos noteiktajā kārtībā tiks pārdalīts no budžeta resora 74. programmas 02.00.00 "Līdzekļi neparedzētiem gadījumiem" uz TM pamatbudžeta programmu 99.00.00 "Līdzekļu neparedzētiem gadījumiem izlietojums". Savukārt, finansējums naudas balvu izmaksai 73 nodarbinātajiem (107 522 euro) tiks nodrošināts TM budžeta apakšprogrammā 04.03.00 "Probācijas īstenošana" piešķirto līdzekļu ietvaros, ņemot vērā finanšu līdzekļu atlikumu saistībā ar amata vietu periodiskām vakancēm un nodarbināto pārejošu darba nespēju (B lapas).</t>
  </si>
  <si>
    <t>18.06.2020 03.11.2020 10.12.2020</t>
  </si>
  <si>
    <t>02.04.2020 17.12.2020</t>
  </si>
  <si>
    <t>Atbalsts darbojas līdz 2021. gada 30.jūnijam</t>
  </si>
  <si>
    <t>24.03.2020 17.12.2020</t>
  </si>
  <si>
    <t>14.07.2020 17.12.2020</t>
  </si>
  <si>
    <t>2020.gadā izdevumos tiek uzskaitīti ALTUM rezerves kapitālā ieguldītie līdzekļi 25 milj. euro apmērā. 17.12. MK lēmis 2,5 milj. eiro novirzīt citām programmām, tāpat pagarināt programmas darbību līdz 30.06.2021. Uz 07.12. ALTUM garantiju apjoms veido 93 milj. eiro, kopā plānots programmā 340 milj. eiro (2020.g. martā bija plānoti 415 milj. eiro).</t>
  </si>
  <si>
    <t xml:space="preserve">2020.gadā izdevumos tiek uzskaitīti ALTUM rezerves kapitālā ieguldītie līdzekļi 25 milj. euro apmērā. 17.12. MK lēmis pagarināt programmas darbību līdz 31.12.2021. </t>
  </si>
  <si>
    <t>Pasākumiem, kas ir  radušies saistībā ar Covid - 19 uzliesmojumu un seku novēršanu</t>
  </si>
  <si>
    <t>11 680 957 euro  apmērā  tiks nodrošināti Veselības ministrijai piešķirto budžeta līdzekļa ietvaros</t>
  </si>
  <si>
    <t>Veselības ministrijas pieprasījumu 2 605 241 euro apmērā (2021. gadā), lai  segtu izdevumus saistībā ar vakcīnas pret Covid-19 iegādi.</t>
  </si>
  <si>
    <t>MK 14.07.2020. noteikumi Nr.455 "Covid-19 skarto tūrisma nozares saimnieciskās darbības veicēju atbalsta piešķiršanas kārtība" tūrisma nozares atbalstam paredzēti 19,2 milj. euro. Ietekme atbilstoši MK 02.09.2020. Informatīvajam ziņojumam "Par pasākumiem Covid-19 krīzes pārvarēšanai un ekonomikas atlabšanai 2020. un 2021.gadam" . Precizēta ietekme atbilstoši faktiskai izpildei. 11.12.2020. rīkojums nr.759</t>
  </si>
  <si>
    <t>Garantijas saimnieciskās darbības veicējiem</t>
  </si>
  <si>
    <t>Valsts budžeta finansējums garantiju izmaksai</t>
  </si>
  <si>
    <t>“Grozījumi Ministru kabineta 2020.gada 19.marta noteikumos Nr.150 “Noteikumi par garantijām saimnieciskās darbības veicējiem, kuru darbību ietekmējusi Covid-19 izplatība””, kuri paredz 2,5 milj. euro finansējuma pārdali uz Noteikumiem, lai nodrošinātu garantijas lielajiem saimnieciskās darbības veicējiem.
“Grozījumi Ministru kabineta 2020.gada 14.jūlija noteikumos Nr.454 “Noteikumi par garantijām lielajiem komersantiem, kuru darbību ietekmējusi Covid-19 izplatība”” par 2 milj. euro pārdali uz Noteikumiem garantiju sniegšanai lielajiem saimnieciskās darbības veicējiem.</t>
  </si>
  <si>
    <t>Laikposmā no 2020.gada 30.novembra līdz 2020.gada 31.decembrim tiesības uz vienreizēju slimības palīdzības pabalstu par 14 kalendāra dienām un laikposmā no 2021.gada 1.janvāra līdz 2021.gada 30.jūnijam tiesības uz slimības palīdzības pabalstu ir vienam no bērna vecākiem, vienam no adoptētājiem, aizbildnim vai citai personai. Vienreizējo slimības palīdzības pabalstu izmaksās 60% apmērā no pabalsta pieprasītāja vidējās apdrošināšanas iemaksu algas par iepriekšējiem 12 kalendārajiem mēnešiem.</t>
  </si>
  <si>
    <t>Līdzekļu pārdale LM resorā, lai piešķirtu līdzekļus valsts sociālās aprūpes centriem piemaksu nodrošināšanai un individuālās aizsardzības līdzekļiem</t>
  </si>
  <si>
    <t>Piemaksas līdz 50% apmērā no mēnešalgas paaugstināta riska apstākļos aprūpē iesaistītajam personālam</t>
  </si>
  <si>
    <t>Lai nodrošinātu Ziemassvētku dievkalpojumu translāciju komerciālajos medijos</t>
  </si>
  <si>
    <t>Piešķirt Iekšlietu ministrijai finansējumu ne vairāk kā 36 300 euro informācijas sistēmas "Ieceļotāju uzskaites kontroles informācijas sistēmas (IECIS)" izstrādei 2020. gadā un 30 000 euro 2021. gadā</t>
  </si>
  <si>
    <t>18.08.2020 13.10.2020 10.12.2020.</t>
  </si>
  <si>
    <t xml:space="preserve">Informācijas sistēmas "Ieceļotāju uzskaites kontroles informācijas sistēmas (IECIS)" izstrādei </t>
  </si>
  <si>
    <t>Individuālo aizsardzības līdzekļu un medicīnisko sejas masku testēšanas laboratorijas izveidieun akreditācija uz Rīgas Tehniskās universitātes bāzes 2020.-2021.gadā, lai steidzamības kārtībā sniegtu ieguldījumu Covid-19 krīzes pārvarēšanai un ekonomikas atlabšanai, kā arī nodrošinātu speciālo aizsargtērpu un speciālā apģērba testēšanas vajadzības Latvijā</t>
  </si>
  <si>
    <t>Pagarināts bērnu kopšanas pabalsts un piemaksa</t>
  </si>
  <si>
    <t xml:space="preserve">Pabalsts aizbildnim lielākā apmērā par bērna uzturēšanu </t>
  </si>
  <si>
    <t>Vienreizēja piemaksa pie ģimenes valsts pabalsta par bērnu invalīdu</t>
  </si>
  <si>
    <t>Atbalsts tautsaimniecībai, milj. eiro</t>
  </si>
  <si>
    <t>Plāns</t>
  </si>
  <si>
    <t>Plāns (18.12.2020)</t>
  </si>
  <si>
    <t>Piemaksa pie dīkstāves atbalsta  par bērniem</t>
  </si>
  <si>
    <t>Slimības pabalsta apmaksa no valsts budžeta no 1./2.dienas</t>
  </si>
  <si>
    <t>Personai, kurai tiek izsniegta darbnespējas lapa par Covid-19 vai atrašanos karantīnā no 2020. gada 22. marta līdz 2020. gada 31.decembrim, slimības pabalstu piešķir un izmaksā par laiku no darbnespējas 2. dienas (80% apmērā no vidējās apdrošināšanas iemaksu algas).</t>
  </si>
  <si>
    <t>Atbalsts dīkstāvē esošu darbinieka atlīdzības kompensēšanai tiek izmaksāts darbiniekam 70 % apmērā no deklarētās mēneša vidējās bruto darba samaksas par periodu no 2020. gada 1. augusta līdz 30. oktobrim, vai no to deklarēto mēnešu vidējo bruto darba samaksas pēc 2020. gada 1. augusta, kuros darbinieks faktiski strādājis, bet ne mazāk kā 330 euro apmērā un ne vairāk kā 1000 euro apmērā par kalendāra mēnesi. Atbalsta periods līdz 2021. gada 30.jūnijam.</t>
  </si>
  <si>
    <t>Tiek aplēsts, ka no valdības ārkārtas situācijas lēmumu rezultātā ietekmētajiem nozares uzņēmumiem uz dīkstāves atbalstu pieteiksies 70% uzņēmumi no 1.pielikumā ietvertajās nozarēs kopējā ietekmētā nozaru uzņēmumu skaita (saskaņā ar VID datiem apmēram 43 000 subjektu, 45 000 darba ņēmēju un vidējā mēneša bruto darba samaksa 2020.gada 3.ceturksnī 644,58 euro) un uz algu subsīdiju atbalstu 30% no 2.pielikumā ietvertajās nozarēs kopējā ietekmētā nozaru uzņēmumu skaita (saskaņā ar VID datiem apmēram 112 000 uzņēmumi, 135 000 darba ņēmēju).
Dīkstāves atbalstam: 45 000 (darbinieki) x 70% x 644,58 euro = 20 304 270,00 euro mēnesī. 2021.gadam EM prognozē 97,6 milj. eiro.</t>
  </si>
  <si>
    <t>Pēc CSP datiem pavisam nodarbināti ir 867 tūkstoši darbinieku, no kuriem privātajā sektorā 607 tūkstoši darbinieku. Bez darba ienākumiem ir 63 tūkstoši. Ņemot vērā programmas nosacījumus, ja tiktu pieteikti pilnīgi visi darbinieki (~543 tūkstoši), tad kopējā atbalsta summa pārsniegtu 190 milj eiro. 
Pieņemot ka 30% no darba kolektīva tiks pieteikta darba algu subsīdijai (jo daļa darbinieku tiks pieteikti dīkstāves pabalstam un daļai uzņēmumu nav apgrozījuma krituma) kopējā ietekme uz budžetu veidosies ap 39 milj eiro mēnesī, kopējam  atbalsta sākotnēji veidojot 78 milj. eiro. Ņemot vērā izpildi 2020.g. un nosacījumu maiņu, EM paredz, ka 2021.gadam būs nepieciešami 75,7 milj. eiro</t>
  </si>
  <si>
    <t>10.11.2020 07.01.2021 12.01.2021</t>
  </si>
  <si>
    <t>27.04.2020 07.01.2021</t>
  </si>
  <si>
    <t>Ātrāka PVN pārmaksas atmaksa</t>
  </si>
  <si>
    <t>Nekustamā īpašuma nodokļa termiņa pagarinājums</t>
  </si>
  <si>
    <t>Iespēja nemaksāt IIN avansa maksājumus</t>
  </si>
  <si>
    <t>Nodokļu samaksas termiņa pagarināšana vai sadalīšana termiņos līdz 3 gadiem</t>
  </si>
  <si>
    <t>Atbalsts uzņēmumu nomas maksai</t>
  </si>
  <si>
    <t>Atbalsts algu subsīdijai nepilna laika darbiniekiem</t>
  </si>
  <si>
    <t>Dīkstāves atbalsts uzņēmumu darbiniekiem, patentmaksātājiem, pašnodarbinātajiem</t>
  </si>
  <si>
    <t>Slimības palīdzības pabalsts, bērnu aprūpei</t>
  </si>
  <si>
    <t>Grants apgrozāmajiem līdzekļiem</t>
  </si>
  <si>
    <t>Kapitāla fonds lielajiem komersantiem</t>
  </si>
  <si>
    <t>22.12.2020.</t>
  </si>
  <si>
    <t xml:space="preserve">MK rīkojums Nr. 796 "Par finanšu līdzekļu piešķiršanu no valsts budžeta programmas "Līdzekļi neparedzētiem gadījumiem"" </t>
  </si>
  <si>
    <t>45 (euro) x 14 (dienas) x 1150 (personu skaits) x 3 (mēneši)  = 2 173 500 eiro euro</t>
  </si>
  <si>
    <t>Rik. Nr.1 Par apropriācijas palielināšanu Veselības ministrijai</t>
  </si>
  <si>
    <t>1 793 053 euro apmērā, valsts sabiedrības ar ierobežotu atbildību "Bērnu klīniskā universitātes slimnīca" pamatkapitāla palielināšanu, ieguldot tajā finanšu līdzekļus 4 500 euro apmērā, un sabiedrības ar ierobežotu atbildību "Rīgas Austrumu klīniskā universitātes slimnīca" pamatkapitāla palielināšanu, ieguldot tajā finanšu līdzekļus 2 963 895 euro apmērā, medicīnisko iekārtu un papildaprīkojuma iegādei</t>
  </si>
  <si>
    <t>Ieguldījumi slimīcu pamatkapitālā medicīnisko iekārtu un papildaprīkojuma iegādei</t>
  </si>
  <si>
    <t xml:space="preserve">MK rīkojums Nr. 2 "Par finanšu līdzekļu piešķiršanu no valsts budžeta programmas "Līdzekļi neparedzētiem gadījumiem"" </t>
  </si>
  <si>
    <t>Finansējums papildus Covid-19 gultas vietu izveidei</t>
  </si>
  <si>
    <t>Finansējums slimnīcām, lai palielinātu Covid-19 pacientu aprūpei izmantojamo gultu skaitu.</t>
  </si>
  <si>
    <t>Atbalsts, ko piešķir saimnieciskās darbības veicējam darba samaksas un citu operacionālo izmaksu kompensēšanai Covid-19 krīzes seku pārvarēšanai</t>
  </si>
  <si>
    <t xml:space="preserve">MK rīkojums Nr. 21 "Par finanšu līdzekļu piešķiršanu no valsts budžeta programmas "Līdzekļi neparedzētiem gadījumiem"" </t>
  </si>
  <si>
    <t>Mērķprogrammas īstenošanai plānots finansējums 3 000 000 euro apmērā, paredzot, ka finansējums tiks piešķirts vidēji 110 organizācijām mēnesī sešu mēnešu periodā, vidēji 4 469 euro vienai organizācijai mēnesī. No mērķprogrammas finansējuma tiks apmaksāts arī neatkarīga vērtētāja pakalpojums, kura izmaksas tiks noskaidrotas iepirkuma rezultātā, šobrīd šim mērķim tiek plānoti izdevumi 50 460 euro apmērā (ieskaitot pievienotās vērtības nodokli).</t>
  </si>
  <si>
    <t>14.07.2020 14.01.2021</t>
  </si>
  <si>
    <t>Medikamenta Veclury ar aktīvo vielu remdesivīrs pieejamībai</t>
  </si>
  <si>
    <t xml:space="preserve">MK rīkojums Nr. 22 "Par finanšu līdzekļu piešķiršanu no valsts budžeta programmas "Līdzekļi neparedzētiem gadījumiem"" </t>
  </si>
  <si>
    <t xml:space="preserve">2020.gadā kopējais finansējums īstermiņa aizdevumu izsniegšanai plānots 59 840 000 euro apmērā. Noteikumu projektā ir paredzēta minimālā aizdevuma summa 700 euro un kopējais pretendentu skaits ir apmēram 15 249 ar kopējo vienotam platības maksājumam pieteikto platību 1 496 000 ha. Vienan pretendentam aizdevuma kopējo summu aprēķina ar likmi 40 euro par 1 ha. LAD 2020.gadā ir izmaksājis vienoto platības maksājumu aizdevumu 1533 lauksaimniekiem par kopējo summu 11,06 milj.EUR. </t>
  </si>
  <si>
    <t>Garantijas lielajiem komersantiem</t>
  </si>
  <si>
    <t>Finanšu instruments, garantijas lielo komersantu atbalstam (ALTUM) modernizācijai</t>
  </si>
  <si>
    <t>Aizdevumi un procentu likmju subsīdijas lielajiem komersantiem</t>
  </si>
  <si>
    <t>Noteikumi par aizdevumiem un to procentu likmju subsīdijām komersantiem konkurētspējas veicināšanai</t>
  </si>
  <si>
    <t>Lielo komersantu atbalstam (ALTUM) modernizācijai, aizdevumi un procentu likmju subsīdijas</t>
  </si>
  <si>
    <t>16.06.2020. 17.12.2020</t>
  </si>
  <si>
    <t>Grozījumi Ministru kabineta 2020.gada 16.jūnija noteikumos Nr.383 "Noteikumi par garantijām saimnieciskās darbības veicējiem konkurētspējas uzlabošanai"</t>
  </si>
  <si>
    <r>
      <t xml:space="preserve">"Covid-19 infekcijas izplatības seku pārvarēšanas likums"; </t>
    </r>
    <r>
      <rPr>
        <u/>
        <sz val="11"/>
        <color rgb="FFFF0000"/>
        <rFont val="Calibri"/>
        <family val="2"/>
        <charset val="186"/>
        <scheme val="minor"/>
      </rPr>
      <t>Likums "Par valsts apdraudējuma un tā seku novēršanas un pārvarēšanas pasākumiem sakarā ar Covid-19 izplatību" [zaudējis spēku]</t>
    </r>
  </si>
  <si>
    <t>Valsts budžeta mērķdotācijas pašvaldībām. Sākotnēji kā nepieciešams finansējums noteikts 18 000 personas x 40,00 euro x 3 mēneši = 2,16 milj. euro. 16.04.2020. lēmums par pabalsta izmakstas termiņa pagarināšanu par vienu mēnesi. Ņemot vērā izpildi, pārrēķināts nepieciešamais finansējums.
Pabalsts turpinās  līdz vienam kalendārajam mēnesim pēc ārkārtas situācijas beigām.</t>
  </si>
  <si>
    <t xml:space="preserve">MK rīk. Nr.11 "Par finanšu līdzekļu piešķiršanu no valsts budžeta programmas "Līdzekļi neparedzētiem gadījumiem"" </t>
  </si>
  <si>
    <t>Pagarināta slimības pabalsta izmaksa no valsts budžeta (līdz 2021.gada 30.jūnijam) gadījumos, kad konstatēta saslimšana ar Covid-19 vai noteikta karantīna, kā arī paredzēts terminēt kārtību, kādā tiek izmaksāts slimības pabalsts un izsniegta darbnespējas lapa gadījumā, ja personai ir elpošanas sistēmas saslimšana, motivējot personas pašizolāciju. Izsniedz par laiku no darbnespējas pirmās līdz darbnespējas trešajai dienai un par šo periodu piešķir slimības pabalstu 80 procentu apmērā no pabalsta saņēmēja vidējās apdrošināšanas algas, bet pēc 3.dienas pozitīva Covid-19 testa gadījumā pagarina.</t>
  </si>
  <si>
    <t>MK not. Nr. 165 "Noteikumi par Covid-19 krīzē skartiem uzņēmumiem, kuri kvalificējas dīkstāves pabalstam un nokavēto nodokļu maksājumu samaksas sadalei termiņos vai atlikšanai uz laiku līdz trim gadiem" [zaudējis spēku]</t>
  </si>
  <si>
    <t>MK rīkojums Nr.15 "Par finanšu līdzekļu piešķiršanu no valsts budžeta programmas "Līdzekļi neparedzētiem gadījumiem""</t>
  </si>
  <si>
    <t xml:space="preserve">MK rīk. Nr.12 ""Par finanšu līdzekļu piešķiršanu no valsts budžeta programmas "Līdzekļi neparedzētiem gadījumiem"" </t>
  </si>
  <si>
    <t>Pagarināts par periodu no 2020. gada 9.novembra līdz dienai, kad persona sāk gūt ienākumus kā darba ņēmējs vai pašnodarbinātais, bet ne ilgāk kā līdz sakarā ar Covid-19 izsludinātās ārkārtējās situācijas beigām (līdz 700 EUR).</t>
  </si>
  <si>
    <t xml:space="preserve">MK rīk. Nr.16 ""Par finanšu līdzekļu piešķiršanu no valsts budžeta programmas "Līdzekļi neparedzētiem gadījumiem"" </t>
  </si>
  <si>
    <t xml:space="preserve">MK rīk. Nr.20 "Par finanšu līdzekļu piešķiršanu no valsts budžeta programmas "Līdzekļi neparedzētiem gadījumiem"" </t>
  </si>
  <si>
    <t>MK rīk. Nr.368 "Par finanšu līdzekļu piešķiršanu no valsts budžeta programmas "Līdzekļi neparedzētiem gadījumiem""</t>
  </si>
  <si>
    <t>Pabalstu izmaksā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 Lai segtu izdevumus saistībā ar sociālās apdrošināšanas informācijas sistēmas (SAIS) funkcionalitātes nodrošināšanu.</t>
  </si>
  <si>
    <t>MK rīk. Nr.14 "Par finanšu līdzekļu piešķiršanu no valsts budžeta programmas "Līdzekļi neparedzētiem gadījumiem""</t>
  </si>
  <si>
    <r>
      <t xml:space="preserve">IEROBEŽOTA PIEEJAMĪBA. Rīkojums paredz atbalstīt VAS "Latvijas gaisa satiksme" pamatkapitāla palielināšanu, ieguldot tajā finanšu līdzekļus 6 000 000 </t>
    </r>
    <r>
      <rPr>
        <i/>
        <sz val="11"/>
        <rFont val="Calibri"/>
        <family val="2"/>
        <scheme val="minor"/>
      </rPr>
      <t>euro</t>
    </r>
    <r>
      <rPr>
        <sz val="11"/>
        <rFont val="Calibri"/>
        <family val="2"/>
        <scheme val="minor"/>
      </rPr>
      <t xml:space="preserve"> apmērā, lai nodrošinātu ekonomiskā šoka absorbēšanu, krīzes pārvarēšanu un ekonomiskās situācijas nozarē stabilizēšanu.
Atbilstoši Eiropas Parlamenta un Padomes Regulas (ES) Nr. 549/2013 ( 2013. gada 21. maijs ) par Eiropas nacionālo un reģionālo kontu sistēmu Eiropas Savienībā  4.165 punkta (b) apakšpunktam paredzēto ieguldījumu kapitālsabiedrības pamatkapitālā kompetentās statistikas iestādes var uzskaitīt, kā vispārējās valdības izdevumus, tādējādi radot negatīvu ietekmi uz vispārējās valdības budžeta bilanci 2020.gadā. 
Apropriācijas palielinājums atbilstoši likuma "Par valsts apdraudējuma un tā seku novēršanas un pārvarēšanas pasākumiem sakarā ar Covid-19 izplatību" 22.pantā noteiktajam.</t>
    </r>
  </si>
  <si>
    <t>Lai segtu izdevumus (medicīnisko iekārtu iegādei), kas radušies saistībā ar Covid-19 uzliesmojumu, tai skaitā:  valsts sabiedrībai ar ierobežotu atbildību "Bērnu klīniskā universitātes slimnīca" 3 611 547 euro, valsts sabiedrībai ar ierobežotu atbildību "Paula Stradiņa klīniskā universitātes slimnīca" 3 698 365 euro, sabiedrībai ar ierobežotu atbildību "Rīgas Austrumu klīniskā universitātes slimnīca" 6 798 925 euro.</t>
  </si>
  <si>
    <t>1.1. polimerāzes ķēdes reakcijas (PĶR) reālā laika iekārtu iegādei - nepārsniedzot 110 300 euro;
1.2. ekstrakorporālās membrānu oksigenācijas iekārtu, vidējās ārstēšanas setu (ECMO), mākslīgās plaušu ventilācijas iekārtu un neinvazīvās ventilācijas iekārtu iegādei - nepārsniedzot 775 505 euro.</t>
  </si>
  <si>
    <t>MK rīk. Nr.220 "Par finanšu līdzekļu piešķiršanu no valsts budžeta programmas "Līdzekļi neparedzētiem gadījumiem""</t>
  </si>
  <si>
    <t>MK rīk. Nr.18"Par finanšu līdzekļu piešķiršanu no valsts budžeta programmas "Līdzekļi neparedzētiem gadījumiem""</t>
  </si>
  <si>
    <t>MK rīk. Nr.79  "Par finanšu līdzekļu piešķiršanu no valsts budžeta programmas "Līdzekļi neparedzētiem gadījumiem" un Nr.118  "Par finanšu līdzekļu piešķiršanu no valsts budžeta programmas "Līdzekļi neparedzētiem gadījumiem""</t>
  </si>
  <si>
    <t xml:space="preserve">Piešķirt VM finansējumu, kas nepārsniedz 10 000 000 euro, lai segtu izdevumus, kas radušies saistībā ar Covid-19 uzliesmojumu un tā seku novēršanu. Pilnvarot veselības ministru lemt par finansējuma izlietojumu atbilstoši faktiskajai nepieciešamībai.
Piešķirt Veselības ministrijai finansējumu, kas nepārsniedz 1 742 420 euro, lai segtu izdevumus, kas radušies saistībā ar koronavīrusa "Covid-19" uzliesmojumu. </t>
  </si>
  <si>
    <t>09.06.2020 15.07.2020 11.08.2020 04.09.2020 20.10.2020 03.11.2020 06.11.2020</t>
  </si>
  <si>
    <t>Noteikumi Nr.367 "Grozījumi Ministru kabineta 2018.gada 28.augusta noteikumos Nr.555 "Veselības aprūpes pakalpojumu organizēšanas un samaksas kārtība""</t>
  </si>
  <si>
    <t>Pārdales no LNG ar MK Nr.383 15.07.2020. (prot. Nr. 44 19.§) 3256905 euro, MK Nr.414 11.08.2020 (prot. Nr.47 61.§)  2946255 euro, MK Nr.484 04.09.2020 (prot. Nr.51 21.§) 2278397 euro, MK Nr.613 20.10.2020 (prot. Nr.62 18.§) 3009855 euro, MK Nr.641 03.11.2020 (prot. Nr.67 6.§) 16807205 euro. MK Nr.657 06.11.2020 (prot. Nr.69 6.§) 3104531 euro</t>
  </si>
  <si>
    <t>02.06.2020 02.09.2020 22.09.2020</t>
  </si>
  <si>
    <t>MK rīkojums Nr.508 Par apropriācijas palielināšanu Veselības ministrijai</t>
  </si>
  <si>
    <t xml:space="preserve">MK rīkojums Nr. 509 "Par finanšu līdzekļu piešķiršanu no valsts budžeta programmas "Līdzekļi neparedzētiem gadījumiem"" </t>
  </si>
  <si>
    <t>Informatīvais ziņojums "Par pasākumiem Covid-19 krīzes pārvarēšanai un ekonomikas atlabšanai"</t>
  </si>
  <si>
    <t>FM vērtējumā faktiskā ietekme no šī pasākuma saglabājas iepriekš plānotajā līmenī.</t>
  </si>
  <si>
    <t>MK rīkojums Nr. 614 "Par finanšu līdzekļu piešķiršanu no valsts budžeta programmas "Līdzekļi neparedzētiem gadījumiem""</t>
  </si>
  <si>
    <t>Papildus nepieciešamais finansējums veselības nozares kapacitātes celšanai un noturības stiprināšanai</t>
  </si>
  <si>
    <t>2020.gadā izdevumos tiek uzskaitīti ALTUM rezerves kapitālā ieguldītie līdzekļi 50 milj. euro apmērā. 
Papildu ietekme vidējā termiņā novērtēta, ņemot vērā prognozētos  klientu procentu maksājumus, komisijas ieņēmumus, izdevumus par resursu piesaisti un administratīvos izdevumus. 17.12. MK lēmis par 10 milj. eiro palielināt programmas finansējumu, tāpat pagarināt programmas darbību līdz 30.06.2021. Kopējais programmas finansējums ar MK 17.12. lēmumu palielināts līdz 210 milj. eiro.</t>
  </si>
  <si>
    <t>MK rīk. Nr.498 "Par finanšu līdzekļu piešķiršanu no valsts budžeta programmas "Līdzekļi neparedzētiem gadījumiem""</t>
  </si>
  <si>
    <t>02.06.2020 02.09.2020</t>
  </si>
  <si>
    <t>MK rīkojums Nr.446 "Par finanšu līdzekļu piešķiršanu no valsts budžeta programmas "Līdzekļi neparedzētiem gadījumiem""</t>
  </si>
  <si>
    <t>02.06.2020 19.08.2020 02.09.2020</t>
  </si>
  <si>
    <t>Cilvēkkapitāls - lai organizētu sabiedrības informēšanas kampaņu iedzīvotāju motivēšanai mācīties visas dzīves garumā. Tāpat paredz finansējumu CSP augstskolu absolventu monitorēšanai</t>
  </si>
  <si>
    <r>
      <t xml:space="preserve">Augstskolu un profesionālās izglītības iestāžu absolventu monitorings. Sabiedrības informēšanas kampaņa, iedzīvotāju motivēšana mācīties visas dzīves garumā un uzņēmumiem veikt ieguldījumus cilvēkkapitālā. Ietekme atbilstoši MK 02.09.2020. Informatīvajam ziņojumam "Par pasākumiem Covid-19 krīzes pārvarēšanai un ekonomikas atlabšanai 2020. un 2021.gadam" . </t>
    </r>
    <r>
      <rPr>
        <sz val="11"/>
        <color rgb="FFFF0000"/>
        <rFont val="Calibri"/>
        <family val="2"/>
        <charset val="186"/>
        <scheme val="minor"/>
      </rPr>
      <t>2021.g. finansējums budžeta bāzēs</t>
    </r>
  </si>
  <si>
    <t>Rīkojums Nr.669 "Par finanšu līdzekļu piešķiršanu no valsts budžeta programmas 02.00.00 "Līdzekļi neparedzētiem gadījumiem""</t>
  </si>
  <si>
    <t>Demogrāfijas uzlabošanai atvēlētais finansējums 2021.gadā</t>
  </si>
  <si>
    <r>
      <t xml:space="preserve">16.06.2020. MK lēmis -  Lai nodrošinātu paredzēto mājokļu garantiju programmas paplašināšanu turpmākajos trijos (2021.-2023.) budžeta gados, piešķirt tai nepieciešamo finansējumu (ikgadēji 534 460 euro un kopsummā 1 603 380 euro apmērā). Pārējais finansējums ierezervēts pārdalāmajā finansējumā. </t>
    </r>
    <r>
      <rPr>
        <sz val="11"/>
        <color rgb="FFFF0000"/>
        <rFont val="Calibri"/>
        <family val="2"/>
        <charset val="186"/>
        <scheme val="minor"/>
      </rPr>
      <t>Finansējums budžeta bāzēs</t>
    </r>
  </si>
  <si>
    <r>
      <t>Valsts robežsardzes un Valsts ugunsdzēsības un glābšanas dienesta amatpersonu ar speciālajām dienesta pakāpēm nodrošināšana ar nepieciešamo formas tērpu. Ietekme atbilstoši MK 02.09.2020. Informatīvajam ziņojumam "Par pasākumiem Covid-19 krīzes pārvarēšanai un ekonomikas atlabšanai 2020. un 2021.gadam" .</t>
    </r>
    <r>
      <rPr>
        <sz val="11"/>
        <color rgb="FFFF0000"/>
        <rFont val="Calibri"/>
        <family val="2"/>
        <charset val="186"/>
        <scheme val="minor"/>
      </rPr>
      <t xml:space="preserve"> Finansējums budžeta bāzēs</t>
    </r>
  </si>
  <si>
    <t>Finansējums tūrisma saimnieciskās darbības veicējiem (viesnīcām)</t>
  </si>
  <si>
    <t>Ar tūrisma nozari saistītais atbalsts</t>
  </si>
  <si>
    <t>IT sistēmu nodrošināšanai</t>
  </si>
  <si>
    <r>
      <t xml:space="preserve">Ārlietu ministrijas pasākumi. </t>
    </r>
    <r>
      <rPr>
        <sz val="11"/>
        <color rgb="FFFF0000"/>
        <rFont val="Calibri"/>
        <family val="2"/>
        <charset val="186"/>
        <scheme val="minor"/>
      </rPr>
      <t>Iekļauts budžeta bāzēs</t>
    </r>
  </si>
  <si>
    <t>Rīkojums Nr.17 "Par finanšu līdzekļu piešķiršanu no valsts budžeta programmas "Līdzekļi neparedzētiem gadījumiem"</t>
  </si>
  <si>
    <t xml:space="preserve">Noteikumi "Grozījumi Ministru kabineta 2020.gada 14.jūlija noteikumos Nr.455 "Covid-19 skarto tūrisma nozares saimnieciskās darbības veicēju atbalsta piešķiršanas kārtība"" </t>
  </si>
  <si>
    <t>Valsts kultūrkapitāla fondam mērķprogrammas īstenošanai par periodu no 2021.gada 1.janvāra līdz 2021.gada 30.jūnijam, daļēji kompensējot organizācijām ierobežojumu pastāvēšanas laikā radušos kārtējos izdevumus, lai nodrošinātu to darbības nepārtrauktību</t>
  </si>
  <si>
    <t>Līdzekļi vakcīnu pret Covid-19 iegādei</t>
  </si>
  <si>
    <t>Vakcīnas pret Covid-19 iegādes, loģistikas un ievades izdevumiem</t>
  </si>
  <si>
    <t xml:space="preserve">MK rīkojums Nr. 34 "Par finanšu līdzekļu piešķiršanu no valsts budžeta programmas "Līdzekļi neparedzētiem gadījumiem"" </t>
  </si>
  <si>
    <t>Vakcinācijas projekta biroja darbības nodrošināšanai</t>
  </si>
  <si>
    <t>Lai samazinātu ilglaicīgu negatīvo ietekmi uz sabiedrības psihisko veselību, ko rada COVID-19 pandēmija</t>
  </si>
  <si>
    <t>1.1. Nacionālajam veselības dienestam 7 057 226 euro, tai skaitā:
1.1.1. psiholoģiskās palīdzības un psihiskās veselības aprūpes pakalpojumu pieejamības uzlabošanai Latvijas iedzīvotājiem – 5 332 095 euro;
1.1.2. speciālistu savstarpējās sadarbības uzlabošanai psihiskās veselības aprūpes nozarē, t.sk. ģimenes ārstu prakšu motivēšanai iesaistīties savu pacientu psihiskās veselības novērtēšanā un uzraudzīšanā – 156 156 euro;
1.1.3. esošā medicīniskā personāla psihoemocionālajām atbalstam un tā monitoringam – 1 568 975 euro;
1.2. Neatliekamās medicīniskās palīdzības dienestam psihoemocionālās komandas izveidei – 53 982 euro.</t>
  </si>
  <si>
    <t>Lai nodrošinātu piemaksu par apgādājamiem,VSAA nepieciešams finansējums 2 908 280 euro apmērā.  
72 707 personas (kuras saņemtu dīkstāves pabalstu) x 0,4* (vidējais bērnu skaits ģimenē) x 50 euro (piemaksas apmērs) x 2 mēneši = 2 908 280 euro.  Ņemot vērā izpildi, pārrēķināts nepieciešamais finansējums.</t>
  </si>
  <si>
    <t>Ņemot vērā Valsts sociālās apdrošināšanas aģentūras datus 2020.gada aprīlis – jūlijs, atjaunojot vecāku pabalsta turpinājumu, plānotais vecāku pabalsta turpinājuma saņēmēju skaits – 700 personas vidēji mēnesī, vidējais izmaksājamais apmērs mēnesī – 220 euro (vidējais rādītājs periodā augusts – oktobris). Plānotie izdevumi: 154 000 euro vidēji mēnesī. Faktiskās izmaksas vecāku pabalsta turpinājumam  tiks segtas  2021.gadā.</t>
  </si>
  <si>
    <t>Sākotnēji paredzēts 6 532 750 euro jaunā speciālista pabalstiem un 64 651 euro, lai pielāgotu IT sistēmas. Ietekme precizēta, ņemot vērā faktisko izpildi un pārdalīto finansējumu (FM 02.11.2020. rīkojums Nr.448 ). Atsākoties krīzes situācijai, pabalsta izmaksa pagarināta līdz 2021.gada 30.jūnijam.</t>
  </si>
  <si>
    <t>Atbalsts vaučeru veidā (līdz 45 eiro) par izolēšanos viesnīcās. Atbalsta mērķis ir samazināt inficēšanās risku mājsaimniecībās</t>
  </si>
  <si>
    <t>Pašvaldību aizņēmumu kopējais palielinājums par 150  milj. euro paredzēts, lai 2020.gadā nodrošinātu aizdevumu pieejamību pašvaldībām  ES fondu un pārējās ārvalstu finanšu palīdzības līdzfinansētajos augstas gatavības projektos ar tautsaimniecības nozīmi, lai segtu  attiecināmos izdevumus, vienlaikus pārskatot attiecināmo/neattiecināmo izmaksu sadalījumu, kas nozīmē kopējo izdevumu pašvaldību pusē nepalielināšanos, Vides aizsardzības un reģionālās attīstības ministrijas  pieteiktajos augstas gatavības attiecīgo jomu investīciju projektos atbilstoši Ministru kabienta 14.07.2020. noteikumiem Nr. 456 "Noteikumi par nosacījumiem un kārtību, kādā pašvaldībām izsniedz valsts aizdevumu ārkārtējās situācijas ietekmes mazināšanai un novēršanai saistībā ar Covid-19 izplatību", valstiski nozīmīga investīciju projekta "Mežaparka Lielās estrādes rekonstrukcija" īstenošanai (Ministru kabineta 2020.gada 5.maija sēdes protokollēmuma Nr.30., 37§ “Informatīvais ziņojums “Par valstiski nozīmīga investīciju projekta “Mežaparka Lielās estrādes Ostas prospektā 11, Rīgā, rekonstrukcija” B daļas 2.posma īstenošanu””), kā arī  jaunas pirmsskolas izglītības iestādes būvniecībai vai esošas pirmsskolas izglītības iestādes paplašināšanai saskaņā ar Ministru kabineta 2020.gada 2.jūnija rīkojumu Nr. 299  un 2020.gada 22.septembra rīkojumu Nr.544 “Par atbalstītajiem pašvaldību investīciju projektiem jaunas pirmsskolas izglītības iestādes būvniecībai vai esošas pirmsskolas izglītības iestādes paplašināšanai , kuriem piešķirams valsts budžeta aizdevums" .  Ņemot vērā pašvaldību faktiski izņemto aizņēmumu  dinamiku, tika pieņemts, ka ietekme uz budžetu veidosies divos gados. 50 milj. euro 2020.g. un 72 milj. euro 2021.g. Ietekme precizēta atbilstoši Valsts kases faktiskajiem datiem.</t>
  </si>
  <si>
    <t xml:space="preserve">MK rīk. Nr.707 "Par finanšu līdzekļu piešķiršanu no valsts budžeta programmas "Līdzekļi neparedzētiem gadījumiem"" </t>
  </si>
  <si>
    <t>MK rīkojums Nr.706 "Par finanšu līdzekļu piešķiršanu no valsts budžeta programmas "Līdzekļi neparedzētiem gadījumiem""</t>
  </si>
  <si>
    <t>24.11.2020
01.12.2020 10.12.2020 07.01.2021 11.01.2021</t>
  </si>
  <si>
    <t>05.05.2020 30.06.2020 10.12.2020 21.12.2020 07.01.2021 11.01.2021</t>
  </si>
  <si>
    <t>Par laikposmu, kamēr valstī ir izsludināta ārkārtējā situācija sakarā ar Covid-19 izplatību, personām, kurām šajā periodā ir tiesības uz šo piemaksu pie ģimenes valsts pabalsta par bērnu invalīdu, Valsts sociālās apdrošināšanas aģentūra līdz 2020. gada 30. jūnijam izmaksā vienreizējo piemaksu 150 euro apmērā. T.sk.23 595 EUR sistēmu modernizēšanai. Ņemot vērā izpildi, pārrēkināts nepieciešamais finansējums. Atsākoties krīzes situācijai  netiek plānots atjaunot.</t>
  </si>
  <si>
    <t>Par laikposmu, kad valstī sakarā ar Covid-19 izplatību ir izsludināta ārkārtējā situācija, VSAA izmaksā pabalstu par bērnu līdz septiņu gadu vecuma sasniegšanai – 161,25 euro mēnesī un par bērnu vecumā no septiņiem gadiem – 193,50 euro mēnesī. VSAA pabalsta apmēru aprēķina par laikposmu no 2020. gada 12. marta un izmaksā to līdz 2020. gada 30. jūnijam. Ņemot vērā izpildi, pārrēķināts nepieciešamais finansējums. Atsākoties krīzes situācijai  netiek plānots atjaunot.</t>
  </si>
  <si>
    <t>Plānotais pabalsta saņēmēju skaits vidēji mēnesī – 11 148 (pieņēmums veikts izmaksai 3 mēnešu periodam); 
- pabalsta apmēra palielinājums no 42,69 euro uz 171 euro  – papildus 128,31 euro.
Lai nodrošinātu pabalsta izmaksu 3 mēnešu periodā (periodā 12.marts līdz 9.jūnijs), nepieciešams finansējums no valsts budžeta līdzekļiem 4 291 200 EUR (izdevumi sociāla rakstura maksājumiem un kompensācijām). Ņemot vērā izpildi, pārrēķināts nepieciešamais finansējums. Atsākoties krīzes situācijai  netiek plānots atjaunot.</t>
  </si>
  <si>
    <t>Noteikumi Nr.294 "Grozījums Ministru kabineta 2009.gada 22.decembra noteikumos Nr.1517 "Noteikumi par ģimenes valsts pabalstu un piemaksām pie ģimenes valsts pabalsta"; MK rīk. Nr.276 “Par finanšu līdzekļu piešķiršanu no valsts budžeta programmas “Līdzekļi neparedzētiem gadījumiem””</t>
  </si>
  <si>
    <t>30.06.2020 24.11.2020 07.01.2021 11.01.2021</t>
  </si>
  <si>
    <r>
      <t xml:space="preserve">Veicot izdevumu aprēķinus tika pieņemts, ka Covid-19 scenārijā ar šo infekciju saslimušo skaits sasniegs 50% no sociāli apdrošināto personu kopskaita (papildus izdevumi normas ietekmē 86,3 milj. eiro). Izdevumu izpilde būtiski zemāka. </t>
    </r>
    <r>
      <rPr>
        <sz val="11"/>
        <color rgb="FFFF0000"/>
        <rFont val="Calibri"/>
        <family val="2"/>
        <charset val="186"/>
        <scheme val="minor"/>
      </rPr>
      <t>Netiek iekļauts finansējums finansējums 17 774 131 euro apmērā, ko atbilstoši MK 01.12.2020. rīkojumam Nr.705 “Par finanšu līdzekļu piešķiršanu no valsts budžeta programmas “Līdzekļi neparedzētiem gadījumiem”” (lai segtu izdevumus par slimības pabalstiem saistībā ar Covid-19 izplatības sekām) pārdalīja LM, jo uzskatām to par  stabilizācijas mehānismu ekonomiskai situācijai valstī pasliktinoties, bet tas nav uzskatāms par specifiski Covid-19 atbalsta pasākumu.</t>
    </r>
  </si>
  <si>
    <r>
      <t xml:space="preserve">LM prognozē indikatīvo ietekmi uz speciālā budžeta izdevumiem  1 368 400 euro  ampērā (500 saņēmēji x 342.10 euro x 8 mēneši). Aktualizēts novērtējums atbilstoši izpildei. </t>
    </r>
    <r>
      <rPr>
        <sz val="11"/>
        <color rgb="FFFF0000"/>
        <rFont val="Calibri"/>
        <family val="2"/>
        <charset val="186"/>
        <scheme val="minor"/>
      </rPr>
      <t>Netiek iekļauts  finansējums 20 145 240 euro apmērā, atbilstoši MK 05.05.2020 rīkojumam Nr.238 “Par finanšu līdzekļu piešķiršanu no valsts budžeta programmas “Līdzekļi neparedzētiem gadījumiem”” un MK 30.06.2020 rīkojumam Nr. 366 “Grozījums Ministru kabineta 2020.gada 5.maija rīkojumā Nr.238 “Par finanšu līdzekļu piešķiršanu no valsts budžeta programmas “Līdzekļi neparedzētiem gadījumiem”” (lai nodrošinātu bezdarbnieka pabalsta izdevumu nepārtrauktības risku novēršanu), ko pārdalīja LM, jo uzskatām to par  stabilizācijas mehānismu ekonomiskai situācijai valstī pasliktinoties, bet tas nav uzskatāms par specifiski Covid-19 atbalsta pasākumu.</t>
    </r>
  </si>
  <si>
    <t>Finansējums vakcīnu iegādei</t>
  </si>
  <si>
    <t>Piešķirt Veselības ministrijai (Nacionālajam veselības dienestam) finansējumu, kas nepārsniedz 1 449 387, tai skaitā: 2020.gada 1 101 240 euro apmērā un 2021.gadā  348 147 EUR apmērā, lai nodrošinātu medikamenta Veclury ar aktīvo vielu remdesivīrs pieejamību COVID-19 medikamentozās ārstēšanas procesā. Ņemot vērā MK 14.01.2021. rīkojumā Nr.22 paredzēto, finansējums 0,3 milj. euro apmērā 2021.gadā nav norādāms.</t>
  </si>
  <si>
    <t>MK 20.10.2020. sēdes prot.62 40.§ "Informatīvais ziņojums "Par Latvijas dalību Eiropas Komisijas noslēgtajā Covid-19 vakcīnas iepirkuma līgumā""</t>
  </si>
  <si>
    <t>Noteikumi "Grozījumi Ministru kabineta 2018.gada 28.augusta noteikumos Nr.555 "Veselības aprūpes pakalpojumu organizēšanas un samaksas kārtība""; MK 17.12.2020. sēdes prot. Nr.84 78.§</t>
  </si>
  <si>
    <t xml:space="preserve">MK rīkojums Nr. 35 "Par finanšu līdzekļu piešķiršanu no valsts budžeta programmas "Līdzekļi neparedzētiem gadījumiem"" </t>
  </si>
  <si>
    <t xml:space="preserve">Lai kompensētu mobilo sakaru operatoru izdevumus, kas radušies, nosūtot viesabonentiem,  kuri ir reģistrējušies Latvijas mobilo sakaru operatoru tīklā SMS paziņojumu laika periodā no 2020.gada 28.septembra līdz 2020.gada 31.decembrim. </t>
  </si>
  <si>
    <t>Piešķirts no LNG, tiek finansēts no LNG apropriācijas palielinājuma 300 milj. euro apmērā. MK 19.03.2020. prot. Nr.16 5.§. MK 29.12.2020. prot. Nr.88 5.paragrāfs, kas paredz, ka izdevumus informatīvajam tālrunim ( TET izmaksas) sedz no LNG 2021.gadā nepārsniedzot 85 000 euro</t>
  </si>
  <si>
    <t>MK noteikumi "Noteikumi par atbalstu par dīkstāvi nodokļu maksātājiem to darbības turpināšanai Covid-19 izraisītās krīzes apstākļos"</t>
  </si>
  <si>
    <t>25.11.2020 17.12.2020 21.12.2020</t>
  </si>
  <si>
    <t>MK rīkojums Nr.598 "Par finanšu līdzekļu piešķiršanu no valsts budžeta programmas "Līdzekļi neparedzētiem gadījumiem""</t>
  </si>
  <si>
    <r>
      <t xml:space="preserve">Pasākuma “Inovatīvu tehnoloģiju ilgtspējīga attīstība Iekšlietu ministrijas resorā” īstenošanai. Ietekme atbilstoši MK 02.09.2020. Informatīvajam ziņojumam "Par pasākumiem Covid-19 krīzes pārvarēšanai un ekonomikas atlabšanai 2020. un 2021.gadam". </t>
    </r>
    <r>
      <rPr>
        <sz val="11"/>
        <color rgb="FFFF0000"/>
        <rFont val="Calibri"/>
        <family val="2"/>
        <charset val="186"/>
        <scheme val="minor"/>
      </rPr>
      <t>Finansējums budžeta bāzēs</t>
    </r>
  </si>
  <si>
    <t>12.03.2020 01.04.2020</t>
  </si>
  <si>
    <t>MK rīk. Nr.142 "Par finanšu līdzekļu piešķiršanu no valsts budžeta programmas "Līdzekļi neparedzētiem gadījumiem""</t>
  </si>
  <si>
    <r>
      <t xml:space="preserve">Ietekme atbilstoši MK 02.09.2020. Informatīvajam ziņojumam "Par pasākumiem Covid-19 krīzes pārvarēšanai un ekonomikas atlabšanai 2020. un 2021.gadam" .  lai nodrošinātu platjoslu infrastruktūru (broadband) “vidējā jūdze”, internetu skolām, mācību satura digitalizāciju </t>
    </r>
    <r>
      <rPr>
        <sz val="11"/>
        <color rgb="FFFF0000"/>
        <rFont val="Calibri"/>
        <family val="2"/>
        <charset val="186"/>
        <scheme val="minor"/>
      </rPr>
      <t>2021.gada finansējums 2,8 milj. eiro ir IZM budžetā</t>
    </r>
  </si>
  <si>
    <t>05.06.2020 MK rīk. Nr. 303 ar grozījumiem Nr.394 16.07.2020. (prot. Nr.44 48.§) un Nr.630 30.10.2020 (prot. Nr.65 20.§)  10 613 063 EUR finansējuma piešķiršana 5 980 320 euro, lai stabilizētu finanšu situāciju kapitālsabiedrībās, kurās Kultūras ministrija ir valsts kapitāla daļu turētāja, 2 696 743 euro, lai stabilizētu finanšu situāciju Latvijas Nacionālajā bibliotēkā, Latvijas Nacionālajā arhīvā un Kultūras ministrijas padotībā esošajos muzejos un 1 936 000 euro Valsts kultūrkapitāla fondam mērķprogrammas „Radošo personu nodarbinātības programma” īstenošanai no 2020.gada 1.jūlija līdz 2020.gada 30.septembrim</t>
  </si>
  <si>
    <t>Ieguldījums pamatkapitālā 220 000 euro apmērā tiek novirzīts lokālās tāmes Nr.1-1 paredzētajiem mērķiem – automātiskās ugunsgrēka atklāšanas un trauksmes sistēmas izbūve Vēsturiskajā ēkā.</t>
  </si>
  <si>
    <r>
      <t>Piešķirt Ekonomikas ministrijai 346 970 euro, t.sk.: 
1. 260 000 euro Energoresursu informācijas sistēmas izstrādei ar mērķi mazināt administratīvo slogu energoefektivitātes monitoringa sistēmas dalībniekiem nodrošinot datu kvalitāti iesniedzot dokumentāciju un informāciju attālināti;</t>
    </r>
    <r>
      <rPr>
        <sz val="11"/>
        <rFont val="Calibri"/>
        <family val="2"/>
        <scheme val="minor"/>
      </rPr>
      <t xml:space="preserve">
2. 86 970 euro datortehnikas nomaiņai  Ekonomikas ministrijas resorā.</t>
    </r>
  </si>
  <si>
    <t>MK rīkojums Nr.472 "Par finanšu līdzekļu piešķiršanu no valsts budžeta programmas "Līdzekļi neparedzētiem gadījumiem""</t>
  </si>
  <si>
    <t>MK rīkojums Nr.473 "Par finanšu līdzekļu piešķiršanu no valsts budžeta programmas "Līdzekļi neparedzētiem gadījumiem""</t>
  </si>
  <si>
    <t>Palielinātu stipendiju skaitu un apmēru pirmā līmeņa profesionālās augstākās izglītības (koledžas), bakalaura un maģistra līmeņa studijām valsts augstskolās un koledžās un mazinātu Covid-19 krīzes radīto negatīvo seku ietekmi uz izglītības nozari</t>
  </si>
  <si>
    <t>1.1. 1 440 928 euro Izglītības un zinātnes ministrijai;
1.2. 257 064 euro Veselības ministrijai;
1.3. 202 745 euro Zemkopības ministrijai;
1.4. 137 612 euro Kultūras ministrijai;
1.5. 1 651 euro Labklājības ministrijai.</t>
  </si>
  <si>
    <t>Lai nodrošinātu līdzfinansējumu dalībai Eiropas Savienības pētniecības un tehnoloģiju attīstības programmās, tai skaitā "Apvārsnis 2020", un mazinātu Covid-19 krīzes radīto negatīvo seku ietekmi uz zinātnes nozari</t>
  </si>
  <si>
    <t>MK rīkojums Nr.499 "Par finanšu līdzekļu piešķiršanu no valsts budžeta programmas "Līdzekļi neparedzētiem gadījumiem""</t>
  </si>
  <si>
    <t>MK rīkojums Nr.507 "Par finanšu līdzekļu piešķiršanu no valsts budžeta programmas "Līdzekļi neparedzētiem gadījumiem""</t>
  </si>
  <si>
    <t>Lai uzlabotu tehnoloģisko nodrošinājumu vispārējās izglītības iestādēs un mazinātu Covid-19 krīzes radīto negatīvo seku ietekmi uz izglītības nozari.</t>
  </si>
  <si>
    <t>Lai nodrošinātu zinātnisko institūciju finansējumu pētniecības specializācijas, izcilības un ietekmes stiprināšanai - vienotas akadēmiskās un zinātniskās karjeras sistēmas reformas ieviešanai un zinātnes un inovācijas lomas palielināšanai, īstenojot fundamentālo un lietišķo pētījumu projektus.</t>
  </si>
  <si>
    <t>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t>
  </si>
  <si>
    <t>Stipendiju apmēra un skaita palielinājums pirmā līmeņa profesionālās augstākās izglītības (koledžas), bakalaura un maģistra līmeņa studijām</t>
  </si>
  <si>
    <t>14.07.2020 11.08.2020</t>
  </si>
  <si>
    <r>
      <t xml:space="preserve">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 </t>
    </r>
    <r>
      <rPr>
        <sz val="11"/>
        <color rgb="FFFF0000"/>
        <rFont val="Calibri"/>
        <family val="2"/>
        <charset val="186"/>
        <scheme val="minor"/>
      </rPr>
      <t>IZM 2021.g. budžeta bāzē</t>
    </r>
  </si>
  <si>
    <r>
      <t xml:space="preserve">Līdzfinansējuma nodrošinājums dalībai Eiropas Savienības pētniecības un tehnoloģiju attīstības programmās, t.sk. Apvārsnis. </t>
    </r>
    <r>
      <rPr>
        <sz val="11"/>
        <color rgb="FFFF0000"/>
        <rFont val="Calibri"/>
        <family val="2"/>
        <charset val="186"/>
        <scheme val="minor"/>
      </rPr>
      <t>IZM 2021.g. budžeta bāzē</t>
    </r>
  </si>
  <si>
    <r>
      <t xml:space="preserve">Stipendiju apmēra un skaita palielinājums pirmā līmeņa profesionālās augstākās izglītības (koledžas), bakalaura un maģistra līmeņa studijām IZM (2 161 390 eiro), VM (385 596 eiro), ZM (304 118 eiro), LM (2 477 eiro) un KM (206 419 eiro) padotībā esošajām koledžām un augstskolām. </t>
    </r>
    <r>
      <rPr>
        <sz val="11"/>
        <color rgb="FFFF0000"/>
        <rFont val="Calibri"/>
        <family val="2"/>
        <charset val="186"/>
        <scheme val="minor"/>
      </rPr>
      <t>Ministriju  2021.g. budžeta bāzē</t>
    </r>
  </si>
  <si>
    <t>MK 14.07.2020 sēdē izskatīts NP "Noteikumi par garantijām lielajiem komersantiem, kuru darbību ietekmējusi Covid-19 izplatībaa", kur paredzēts ALTUM rezerves kapitālā ieguldīt 40 000 000 euro. Atbalsta apmērsprecizēts uz 20 milj. eiro 17.12. MK sēdē, tāpat pagarināts atbalsta termiņš līdz 30.06.2021. Kopā ar ALTUM piesaistīto līdzfinansējumu kopējais atbalsts var sasniegt 80 milj. eiro (25% prognozētie zaudējumi veido 20 milj. eiro valsts budžeta piešķrto finansējumu).</t>
  </si>
  <si>
    <t>Atbalsts paredzētajam saņēmēju lokam  sastāda orientējoši 200 viesnīcas, kam plānots novirzīt finansējumu 4 746 290 EUR apmērā, jeb vidēji 23 731 EUR vienam pieteicējam.</t>
  </si>
  <si>
    <t>14.07.2020. 11.08.2020 03.11.2020 11.12.2020</t>
  </si>
  <si>
    <t>Atbalsts NVO Covid-19 krīzes radīto negatīvo seku mazināšanai</t>
  </si>
  <si>
    <t xml:space="preserve">MK rīkojums Nr. 43 "Par finanšu līdzekļu piešķiršanu no valsts budžeta programmas "Līdzekļi neparedzētiem gadījumiem"" </t>
  </si>
  <si>
    <t>Programmas mērķis ir sniegt atbalstu NVO darbībai, tostarp tādām aktivitātēm, kas tiek īstenotas papildus valsts un pašvaldību institūciju veiktajām darbībām, lai mazinātu Covid 19 krīzes radītās negatīvās sekas visos Latvijas reģionos. Programmas finansējuma 600 000 euro apmērā sadalījums:
1) Programmā projektu īstenošanai pieejamais finansējums – 564 000 euro;
2) Programmas administrēšanai paredzētais finansējums – 36 000 euro.</t>
  </si>
  <si>
    <t>Lai nodrošinātu piemaksas no 2021. gada 1. janvāra līdz 2021. gada 31. martam atbildīgo institūciju ārstniecības personām un citiem nodarbinātajiem</t>
  </si>
  <si>
    <t xml:space="preserve">MK rīkojums Nr. 37 "Par finanšu līdzekļu piešķiršanu no valsts budžeta programmas "Līdzekļi neparedzētiem gadījumiem"" </t>
  </si>
  <si>
    <t>Papildus vakcīnu pret Covid-19 devu iegāde no vakcīnu ražotāja CUREVAC AG</t>
  </si>
  <si>
    <t xml:space="preserve">Ņemot vērā jau piešķirto finansējumu 300 000 ražotāja “CureVac AG” vakcīnu iegādei, loģistikas izdevumiem un ievades nodrošināšanai papildus nepieciešams finansējums 646 510 (946 510-300 000=646 510 vakcīnu devas) vakcīnu devu iegādei 7 998 120 EUR (11 358 120-3 360 000=7 998 120 EUR), loģistikai 98 211 EUR (143 784-45 573=98 211 EUR) un vakcīnu ievades nodrošināšanai 6 311 156 EUR (8 153 616-1 842 460= 6 311 156 EUR). Ņemot vērā minēto, papildus nepieciešams finansējums 14 407 487 EUR. </t>
  </si>
  <si>
    <t>Lai nodrošinātu piemaksas no 2021. gadā Iekšlietu ministrijas padotības iestāžu amatpersonām ar speciālajām dienesta pakāpēm par darbu paaugstināta riska un slodzes apstākļos sabiedrības veselības apdraudējuma situācijā saistībā ar Covid-19 uzliesmojumu un tā seku novēršanu</t>
  </si>
  <si>
    <t>Covid-19 izraisītās krīzes pārvarēšanai pašvaldībām</t>
  </si>
  <si>
    <t>Lai Covid-19 izraisītās krīzes pārvarēšanas un seku novēršanas pasākumu īstenošanai  nodrošinātu vienreizēju papildu dotācijas piešķiršanu pašvaldībām, kurām izlīdzinātie ieņēmumi ir vismaz par 10% zemāki salīdzinājumā ar vidējiem izlīdzinātiem ieņēmumiem valstī un bezdarba līmenis ir augstāks par vidējo valstī.</t>
  </si>
  <si>
    <t xml:space="preserve">Finansējums tiek piešķirts pašvaldībām, kurām izlīdzinātie ieņēmumi uz vienu izlīdzināmo vienību 2021.gadā ir zemāki par 427 euro un bezdarba līmenis 2020.gada pēdējos piecos mēnešos ir augstāks par 6,0%.
Ņemot vērā minētos nosacījumus, finansējums tiek piešķirts 33 pašvaldībām. </t>
  </si>
  <si>
    <t>Slimību profilakses un kontroles centra kapacitātes stiprināšani</t>
  </si>
  <si>
    <t xml:space="preserve">MK rīkojums Nr. 55 "Par finanšu līdzekļu piešķiršanu no valsts budžeta programmas "Līdzekļi neparedzētiem gadījumiem"" </t>
  </si>
  <si>
    <t>Piemaksas piešķiršanai pirmsskolas izglītības iestāžu  un speciālās izglītības iestāžu pedagogiem, tai skaitā pedagogu palīgiem, par darbu Covid-19 pandēmijas laikā, piemaksas piešķiršanai personām, kuras sniedz aukles pakalpojumus pirmsskolas izglītības iestādēs un speciālās izglītības iestādēs (aukle, auklis, skolotāja palīgs), par darbu Covid-19 pandēmijas laikā, 300,00 EUR</t>
  </si>
  <si>
    <t>MK rīk. Nr.56 "Par finanšu līdzekļu piešķiršanu no valsts budžeta programmas "Līdzekļi neparedzētiem gadījumiem""</t>
  </si>
  <si>
    <r>
      <t xml:space="preserve">18.06.2020 MK rīk. Nr. 340 ar grozījumiem Nr.722 02.12.2020. (prot. Nr.78 14.§) 246 900 EUR finansējuma piešķiršana 204 800 euro Latvijas Etnogrāfiskajam brīvdabas muzejam – apkures sistēmas atjaunošanai un muzeja eksponātēku restaurācijas darbiem un 42 100 euro pārskaitīšanai valsts sabiedrībai ar ierobežotu atbildību "Latvijas Nacionālā opera un balets", lai nodrošinātu tās lietošanā nodotā valsts nekustamā īpašuma Aspazijas bulvārī 3, Rīgā, pirmsavārijas stāvoklī esošās ugunsdzēsības un apziņošanas sistēmas daļēju izbūvi, tai skaitā ārējā zibensnovedēja uzstādīšanu un pievienošanu atbilstoši izstrādātajam projektam. </t>
    </r>
    <r>
      <rPr>
        <b/>
        <sz val="11"/>
        <color rgb="FFFF0000"/>
        <rFont val="Calibri"/>
        <family val="2"/>
        <charset val="186"/>
        <scheme val="minor"/>
      </rPr>
      <t>Finansējums KM budžeta bāzē</t>
    </r>
  </si>
  <si>
    <r>
      <t xml:space="preserve">18.06.2020 MK rīk. Nr. 339  ar grozījumiem Nr.631 30.10.2020. (prot. Nr.65 21.§) un Nr.721 02.12.2020 (prot. Nr.78 13.§)  9 638 089 EUR finansējuma piešķiršanu 4 765 000 euro Valsts kultūrkapitāla fondam kultūras piedāvājuma attīstīšanai un kultūras institūciju ilgtspējas nodrošināšanai; 2 873 089 euro Kultūras ministrijai kultūras piedāvājuma attīstīšanai, tostarp Kultūras ministrijas padotības iestādēs un 2 000 000 euro Nacionālajam kino centram jaunu Latvijas filmu, tai skaitā daudzsēriju filmu, ražošanai un filmu ražošanas vides uzlabojumiem. </t>
    </r>
    <r>
      <rPr>
        <b/>
        <sz val="11"/>
        <color rgb="FFFF0000"/>
        <rFont val="Calibri"/>
        <family val="2"/>
        <charset val="186"/>
        <scheme val="minor"/>
      </rPr>
      <t>Finansējums KM budžeta bāzē</t>
    </r>
  </si>
  <si>
    <r>
      <t xml:space="preserve">Ministru kabineta informatīvi tehnoloģiskās vides renovācija. </t>
    </r>
    <r>
      <rPr>
        <sz val="11"/>
        <color rgb="FFFF0000"/>
        <rFont val="Calibri"/>
        <family val="2"/>
        <charset val="186"/>
        <scheme val="minor"/>
      </rPr>
      <t>Budžeta bāzēs 2021.gadam</t>
    </r>
  </si>
  <si>
    <t>Ministru kabineta informatīvi tehnoloģiskās vides renovācija</t>
  </si>
  <si>
    <t>Vakcinācijas sistēmas efektīvai darbībai, kā arī ērtam un elastīgam vakcinācijas procesam, izveidojot speciālu IT risinājumu vakcinācijas procesa pārvaldībai.</t>
  </si>
  <si>
    <t>Piešķirt Veselības ministrijai (Nacionālajam veselības dienestam) finansējumu ne vairāk kā 1 450 330 euro apmērā, lai nodrošinātu vakcinācijas sistēmas efektīvu darbību, kā arī ērtu un elastīgu vakcinācijas procesu, izveidojot speciālu IT risinājumu vakcinācijas procesa pārvaldībai.</t>
  </si>
  <si>
    <t>Piešķirt Izglītības un zinātnes ministrijai 2 110 000 euro individuālo aizsardzības līdzekļu un medicīnisko sejas masku testēšanas laboratorijas izveidei uz Rīgas Tehniskās universitātes bāzes un laboratorijas akreditācijai, lai steidzamības kārtībā sniegtu ieguldījumu Covid-19 krīzes pārvarēšanai un ekonomikas atlabšanai, kā arī nodrošinātu speciālo aizsargtērpu un speciālā apģērba testēšanu Latvijā.</t>
  </si>
  <si>
    <t>Piešķirt Veselības ministrijai (Nacionālajam veselības dienestam)  finansējumu, kas nepārsniedz 40 254 832 euro, medicīnisko iekārtu un papildaprīkojuma iegādei, operatīvā datu paneļa izveidei, kā arī, lai nodrošinātu piemaksas observācijas gultām un intensīvās terapijas gultām</t>
  </si>
  <si>
    <t>Pamatkapitāla palielināšanai  Veselības ministrijai 26 407 684 euro apmērā (VSIA PSKUS, VSIA BKUS, SIA RAKUS , VSIA “Slimnīca “Ģintermuiža””, VSIA “Strenču psihoneiroloģiskā slimnīca”)   - intensīvo terapijas gultu izveidei, medicīnisko iekārtu un papildaprīkojuma iegādei, kā arī epidemioloģisko pasākumu īstenošanai, nodalot pacientu plūsmas un aptieku izveidi.</t>
  </si>
  <si>
    <t>Medicīnisko iekārtu un papildaprīkojuma iegādei, operatīvā datu paneļa izveidei un piemaksām par observācijas gultām un intensīvās terapijas gultām</t>
  </si>
  <si>
    <t>Intensīvo terapijas gultu izveidei, medicīnisko iekārtu un papildaprīkojuma iegādei, kā arī epidemioloģisko pasākumu īstenošanai, nodalot pacientu plūsmas un aptieku izveidi</t>
  </si>
  <si>
    <t>Komersantiem, kuri organizē pastāvīgu publisku mākslas, izklaides un atpūtas pasākumu norisi</t>
  </si>
  <si>
    <t xml:space="preserve">Piešķirt Veselības ministrijai finansējumu ne vairāk kā 14 328 990 euro vakcīnas pret Covid-19 iegāde, loģistika un ievade </t>
  </si>
  <si>
    <t>Piešķirt Veselības ministrijai finansējumu ne vairāk kā 14 210 679 euro.vakcīnas pret Covid-19 iegāde, loģistika un ievade</t>
  </si>
  <si>
    <t>Vakcīnu iegādei</t>
  </si>
  <si>
    <t>Piešķirt Veselības ministrijai finansējumu ne vairāk kā 4 157 335 euro apmērā vakcīnu pret Covid-19 iegādei, loģistikai un ievade</t>
  </si>
  <si>
    <t>10.11.2020. MK sēdē izskatīts moteikumu projekts "Noteikumi par aizdevumiem un to procentu likmju subsīdijām komersantiem konkurētspējas veicināšanai". Finansējums 50 000 000 euro apmērā tiks nodrošināts, Finanšu ministrijai palielinot  Ekonomikas ministrijai resursus no dotācijas no vispārējiem ieņēmumiem ieskaitīšanai sabiedrības “Altum” rezerves kapitālā krīzes aizdevumu  izsniegšanai un aprēķinātajiem sagaidāmo kredītrisku zaudējumiem 45 130 000 euro apmērā, kā arī no līdzekļiem neparedzētiem gadījumiem sabiedrības “Altum” saistībām 4 870 000 euro apmērā aizdevumu procentu likmju subsīdijām. Finansējums paredzēts diviem gadiem, ik gadu pa 25 milj. eiro. Kopā ar ALTUM piesaistīto līdzfinansējumu kopējais atbalsts var sasniegt 100 milj. eiro.</t>
  </si>
  <si>
    <t>19.03.2020 29.12.2020 04.02.2021</t>
  </si>
  <si>
    <t>01.12.2020 22.01.2021</t>
  </si>
  <si>
    <t>Antigēna noteikšanas testu un pulsa oksimetru iegādes</t>
  </si>
  <si>
    <t>1. atbalstam ražotājiem cūkkopības nozarē  14 500 000 euro;
2. atbalstam ražotājiem mājputnu nozarē  11 000 000 euro; 
3. uzņēmumu likviditātes un naudas plūsmas saglabāšanai, kredītsaistību izpildes nodrošināšanai un finansiālā sloga mazināšanai lauku saimniecībām un uzņēmumiem   12 000 000 euro; 
4. lauksaimniecības, zivsaimniecības un lauku attīstības garantiju programmas īstenošanai, nodrošinot nozares uzņēmumiem finanšu līdzekļu aizņemšanās iespējas kredītiestādēs  7 000 000 euro;
5. sadarbības formu attīstībai, stiprinot mazo un vidējo kooperatīvo sabiedrību tirgus varu, administratīvo un ekonomisko kapacitāti, kā arī atbalstam īso piegādes ķēžu digitālās platformas pieejamībai  1 000 000 euro</t>
  </si>
  <si>
    <t>Covid-19 krīzes seku mazināšanai un kapacitātes stiprināšanai lauksaimniecībā. Atbalsts paredzēts Covid-19 ietekmē radušos finansiālo grūtību mazināšanai, nozares uzņēmumu dzīvotspējas un potenciāla saglabāšanai un lauksaimniecības un pārtikas produktu ražošanas nepārtrauktības nodrošināšanai.</t>
  </si>
  <si>
    <t>VARAM</t>
  </si>
  <si>
    <t>Piešķirt Vides aizsardzības un reģionālās attīstības ministrijai (Valsts reģionālās attīstības aģentūrai) finansējumu 127 631 euro, lai segtu izdevumus, kas radušies saistībā ar fizisko personu elektroniskās identifikācijas rīka “Vienotais pieteikšanās modulis” pilnveidošanu vakcinācijas procesa nodrošināšanai pret Covid-19 infekciju</t>
  </si>
  <si>
    <t>Lai segtu izdevumus, kas radušies saistībā ar fizisko personu elektroniskās identifikācijas rīka “Vienotais pieteikšanās modulis” pilnveidošanu vakcinācijas procesa nodrošināšanai pret Covid-19 infekciju</t>
  </si>
  <si>
    <t xml:space="preserve">20.03.2020
01.04.2020 
16.04.2020 07.01.2021 11.01.2021 11.02.2021
</t>
  </si>
  <si>
    <t>18.12.2020 07.01.2021 11.01.2021</t>
  </si>
  <si>
    <t>17.12.2020. 29.01.2021</t>
  </si>
  <si>
    <t>MK rīk. Nr.60 "Par finanšu līdzekļu piešķiršanu no valsts budžeta programmas "Līdzekļi neparedzētiem gadījumiem""</t>
  </si>
  <si>
    <t>Lai nodrošinātu Ziemassvētku dievkalpojumu translāciju komerciālajos medijos.</t>
  </si>
  <si>
    <t>MK rīkojums Nr.73 "Par finanšu līdzekļu piešķiršanu no valsts budžeta programmas "Līdzekļi neparedzētiem gadījumiem""</t>
  </si>
  <si>
    <t>Piešķirt Iekšlietu ministrijai finansējumu 1 062 893 euro, tai skaitā, Valsts policijai 748 953 euro, Valsts policijas koledžai 6 143 euro, Valsts robežsardzei 307 256 euro un Valsts robežsardzes koledžai  541 euro, lai segtu izdevumus, kas saistīti ar Iekšlietu ministrijas padotības iestāžu amatpersonu ar speciālajām dienesta pakāpēm virsstundu darbu (samaksa par dienesta pienākumu izpildi virs noteiktā dienesta pienākumu izpildes laika) ārkārtas uzdevumu veikšanai Covid-19 izplatības ierobežošanai atbilstoši faktiskajam virsstundu apjomam, kas izveidojies laika periodā no 2020. gada 1. oktobra līdz 2020. gada 31. decembrim. Kā arī izdevumus, kas saistīti ar piemaksu amatpersonām par darbu paaugstināta riska un slodzes apstākļos sabiedrības veselības apdraudējuma situācijā saistībā ar Covid-19 uzliesmojumu un seku novēršanu laikposmā no 2020. gada 1. decembra līdz 2020. gada 31. decembrim</t>
  </si>
  <si>
    <t>Piemaksu aprēķina 75 procentu apmērā no amatpersonai noteiktās stundas algas likmes, ievērojot noteiktos kritērijus. Izdevumus, kas saistīti ar piemaksu Iekšlietu ministrijas padotības iestāžu amatpersonām ar speciālajām dienesta pakāpēm par darbu paaugstināta riska un slodzes apstākļos sabiedrības veselības apdraudējumā saistībā ar Covid-19 uzliesmojumu un seku novēršanu par laika periodu no 2020.gada 1.decembra līdz 2020.gada 31.decembrim, segt no LNG 2021.gadā.</t>
  </si>
  <si>
    <r>
      <t xml:space="preserve">Informatīvais ziņojums “ Veselības nozares kapacitātes celšana un noturības stiprināšana Covid-19 apstākļos Latvijā” </t>
    </r>
    <r>
      <rPr>
        <u/>
        <sz val="11"/>
        <color rgb="FFFF0000"/>
        <rFont val="Calibri"/>
        <family val="2"/>
        <charset val="186"/>
        <scheme val="minor"/>
      </rPr>
      <t>(MK 08.12.2020. MK sēdes prot. Nr.81 7.§)</t>
    </r>
  </si>
  <si>
    <r>
      <t xml:space="preserve">Informatīvais ziņojums "Par Covid-19 vakcīnu iepirkšanu" </t>
    </r>
    <r>
      <rPr>
        <u/>
        <sz val="11"/>
        <color rgb="FFFF0000"/>
        <rFont val="Calibri"/>
        <family val="2"/>
        <charset val="186"/>
        <scheme val="minor"/>
      </rPr>
      <t>(MK 8.01.2021. sēdes prot..Nr. 3 1.§)</t>
    </r>
  </si>
  <si>
    <r>
      <t xml:space="preserve">Informatīvais ziņojums “Par Moderna ražoto vakcīnu pret Covid-19 iegādi"  </t>
    </r>
    <r>
      <rPr>
        <u/>
        <sz val="11"/>
        <color rgb="FFFF0000"/>
        <rFont val="Calibri"/>
        <family val="2"/>
        <charset val="186"/>
        <scheme val="minor"/>
      </rPr>
      <t>(MK 14.01.2021. sēdes prot. Nr. 5 37.§)</t>
    </r>
  </si>
  <si>
    <r>
      <t>Informatīvais ziņojums "Par CureVac ražoto vakcīnu pret Covid-19 devu iegādi"</t>
    </r>
    <r>
      <rPr>
        <u/>
        <sz val="11"/>
        <color rgb="FFFF0000"/>
        <rFont val="Calibri"/>
        <family val="2"/>
        <charset val="186"/>
        <scheme val="minor"/>
      </rPr>
      <t xml:space="preserve"> (MK 21.01.2021. sēdes prot. Nr. 8 45.§)</t>
    </r>
  </si>
  <si>
    <r>
      <t xml:space="preserve">Informatīvais ziņojums "Par vakcīnām pret Covid-19" </t>
    </r>
    <r>
      <rPr>
        <u/>
        <sz val="11"/>
        <color rgb="FFFF0000"/>
        <rFont val="Calibri"/>
        <family val="2"/>
        <charset val="186"/>
        <scheme val="minor"/>
      </rPr>
      <t>(MK 28.01.2021. sēdes prot. Nr.10 57.§)</t>
    </r>
  </si>
  <si>
    <r>
      <t>Informatīvais ziņojums "Par vakcīnām pret Covid-19"</t>
    </r>
    <r>
      <rPr>
        <u/>
        <sz val="11"/>
        <color rgb="FFFF0000"/>
        <rFont val="Calibri"/>
        <family val="2"/>
        <charset val="186"/>
        <scheme val="minor"/>
      </rPr>
      <t xml:space="preserve"> (MK 28.01.2021. sēdes prot. Nr.10 57.§)</t>
    </r>
  </si>
  <si>
    <t>MK rīk. Nr.75  "Par finanšu līdzekļu piešķiršanu no valsts budžeta programmas "Līdzekļi neparedzētiem gadījumiem""</t>
  </si>
  <si>
    <r>
      <t xml:space="preserve">Informatīvais ziņojums "Par vakcīnām pret Covid-19" </t>
    </r>
    <r>
      <rPr>
        <u/>
        <sz val="11"/>
        <color rgb="FFFF0000"/>
        <rFont val="Calibri"/>
        <family val="2"/>
        <charset val="186"/>
        <scheme val="minor"/>
      </rPr>
      <t>(MK 05.02.2021.sēdes prot. Nr.13 4.§ )</t>
    </r>
  </si>
  <si>
    <t>MK rīk. Nr.81  "Par finanšu līdzekļu piešķiršanu no valsts budžeta programmas "Līdzekļi neparedzētiem gadījumiem""</t>
  </si>
  <si>
    <t>MK rīk. Nr.80  "Par apropriācijas palielināšanu Veselības ministrijai"</t>
  </si>
  <si>
    <t>D.7, P.51</t>
  </si>
  <si>
    <t>Summary of Covid-19 crisis economic support measures and their fiscal impact</t>
  </si>
  <si>
    <t>Decision</t>
  </si>
  <si>
    <t>Economic support, % of GDP</t>
  </si>
  <si>
    <t>Economic support, mln. Euro</t>
  </si>
  <si>
    <t xml:space="preserve">Responsible authority
(institution) </t>
  </si>
  <si>
    <t>EKS revenue /
expenditure code</t>
  </si>
  <si>
    <t>mln. Euro</t>
  </si>
  <si>
    <t>Total</t>
  </si>
  <si>
    <t>Plan (18.12.2020)</t>
  </si>
  <si>
    <t>Plan</t>
  </si>
  <si>
    <t>Extension or division of the term for payment of taxes into terms of up to 3 years</t>
  </si>
  <si>
    <r>
      <rPr>
        <u/>
        <sz val="11"/>
        <color theme="4" tint="-0.249977111117893"/>
        <rFont val="Calibri"/>
        <family val="2"/>
        <scheme val="minor"/>
      </rPr>
      <t>"Law on Coping with the Consequences of Covid-19 Infection";</t>
    </r>
    <r>
      <rPr>
        <u/>
        <sz val="11"/>
        <color theme="10"/>
        <rFont val="Calibri"/>
        <family val="2"/>
        <scheme val="minor"/>
      </rPr>
      <t xml:space="preserve"> </t>
    </r>
    <r>
      <rPr>
        <u/>
        <sz val="11"/>
        <color rgb="FFFF0000"/>
        <rFont val="Calibri"/>
        <family val="2"/>
        <scheme val="minor"/>
      </rPr>
      <t>Law "On Measures for the Prevention and Management of State Threats and Their Consequences Due to the Spread of Covid-19" [repealed]</t>
    </r>
  </si>
  <si>
    <t>"From 12.03.2020 to 31.12.2020, extensions were granted for the total amount of 310.5 million euros, incl.
• in accordance with Section 24, Paragraph one, Clauses 1 and 3 of the Law “On Taxes and Duties” 82.9 mln. euro;
• in accordance with Section 24, Paragraph 4 (force majeure) of the Law “On Taxes and Duties” 67.1 mln. euro;                                                                                                                                                                                                          • in accordance with the Law "On Measures for the Prevention and Management of State Threats and Their Consequences Due to the Spread of Covid-19" or the Law on the Management of the Consequences of the Spread of Covid-19 Infection "" EUR 160.6 million (including SSIAI contributions at the 2nd pension level)</t>
  </si>
  <si>
    <t>Possibility not to pay PIT advance payments</t>
  </si>
  <si>
    <r>
      <rPr>
        <u/>
        <sz val="11"/>
        <color theme="4" tint="-0.249977111117893"/>
        <rFont val="Calibri"/>
        <family val="2"/>
        <scheme val="minor"/>
      </rPr>
      <t>"Law on Coping with the Consequences of Covid-19 Infection"</t>
    </r>
    <r>
      <rPr>
        <u/>
        <sz val="11"/>
        <color theme="10"/>
        <rFont val="Calibri"/>
        <family val="2"/>
        <scheme val="minor"/>
      </rPr>
      <t xml:space="preserve">; </t>
    </r>
    <r>
      <rPr>
        <u/>
        <sz val="11"/>
        <color rgb="FFFF0000"/>
        <rFont val="Calibri"/>
        <family val="2"/>
        <scheme val="minor"/>
      </rPr>
      <t>Law "On Measures for the Prevention and Management of State Threats and Their Consequences Due to the Spread of Covid-19" [repealed]</t>
    </r>
  </si>
  <si>
    <t>Faster VAT overpayment refund</t>
  </si>
  <si>
    <t>At valuation of the Ministry of Finance, the actual impact of this measure remains at the previously planned level.</t>
  </si>
  <si>
    <t>Cabinet Order No. 141 "On Allocation of Financial Funds from the State Budget Program "Contingency Funds""</t>
  </si>
  <si>
    <t>The municipality will provide a family (person) benefit in a crisis situation if the family (person) has no income, incurs additional expenses that it cannot cover itself, is in self-isolation or has been in quarantine and has no means of subsistence (50 percent of the family (person)) crisis benefit, but not more than EUR 40 per month (2021 fefruary - june 75 euro) per person over a period of three months)</t>
  </si>
  <si>
    <t>State budget earmarked grants to local governments. Initially, the necessary funding was set at 18,000 persons x EUR 40.00 x 3 months = EUR 2.16 million. 4/16/2020 a decision regarding the extension of the term for payment of the benefit by one month. Taking into account the execution, the required funding has been recalculated.
The benefit continues for up to one calendar month after the end of the emergency.</t>
  </si>
  <si>
    <t>Cabinet Order No. 11 "On Allocation of Financial Funds from the State Budget Program "Contingency Funds""</t>
  </si>
  <si>
    <t>A decision has been made to pay the benefit also in 2021. In order to ensure compensation of crisis benefits to local governments for five months (February 2021 (according to the planned increase of the state-provided earmarked grant from 40 euros to 75 euros), March, April, May and June), funding from the state budget of 842,080 euros is required.</t>
  </si>
  <si>
    <t>Payment of sickness benefit from the state budget from the 1st / 2nd day</t>
  </si>
  <si>
    <t>When calculating the expenses, it was assumed that in the Covid-19 scenario the number of people suffering from this infection will reach 50% of the total number of socially insured persons (additional expenses affect the norm by 86.3 million euros). Excluding funding in the amount of EUR 17,774,131, which was redistributed by the MoW in accordance with Cabinet Order No. 705 of 01.12.2020 On Allocation of Financial Resources from the State Budget Program Contingency Funds (to cover expenses for sickness benefits related to the consequences of Covid-19). It is a stabilization mechanism in the event of a deterioration of the economic situation in the country, but it cannot be considered as a specific Covid-19 support measure.</t>
  </si>
  <si>
    <t>Prolonged payment of sickness benefit from the state budget (until 30 June 2021) in cases where Covid-19 has been diagnosed or quarantine has been established, as well as it is planned to terminate the procedure by which sickness benefit is paid and an incapacity for work certificate is issued in case a person has a respiratory disease, motivating the person's self-isolation. Issued for the period from the first to the third day of incapacity for work and for this period a sickness benefit of 80 per cent of the beneficiary's average insurance salary is granted, but after the 3rd day in case of a positive Covid-19 test it is extended.</t>
  </si>
  <si>
    <t>Sickness benefit for childcare</t>
  </si>
  <si>
    <t>Cabinet Order No. 707 "On Allocation of Financial Funds from the State Budget Program "Contingency Funds""</t>
  </si>
  <si>
    <t>In the period from 30 November 2020 to 31 December 2020, the right to a lump-sum sickness benefit for 14 calendar days and in the period from 1 January 2021 to 30 June 2021, the right to sickness benefit is granted to one of the child parents, one of the adopters, a guardian or another person. The lump-sum sickness benefit will be paid at 60% of the claimant's average insurance contribution salary for the previous 12 calendar months.</t>
  </si>
  <si>
    <r>
      <t>By Cabinet Order No. 707 of 1 December 2020 “On Allocation of Financial Funds from the State Budget Program “Contingency Funds”, funding for 2020 was allocated in the amount of 10,505,162 euros. Initially, EUR 23,595 was also allocated to ensure the functionality of the SSIA Information Systems. In 2021, provided that the number of persons who cannot work remotely reaches 30% of the employees, the necessary funding in 2021 is tentatively planned in the amount of 67,554,834 euros (including 23,595 euros to ensure the functionality of the SSIA Information Systems). EUR 11 255 206 was initially allocated from Contingency funds..</t>
    </r>
    <r>
      <rPr>
        <sz val="11"/>
        <color rgb="FFFF0000"/>
        <rFont val="Calibri"/>
        <family val="2"/>
        <charset val="186"/>
        <scheme val="minor"/>
      </rPr>
      <t xml:space="preserve">
</t>
    </r>
  </si>
  <si>
    <t>Downtime support for company employees, patent payers, self-employed</t>
  </si>
  <si>
    <t>Cabinet of Ministers Rule No. 165 "Regulations on Covid-19 Crisis Affected Enterprises Qualifying for Downtime Benefit and Allocation of Deferred Tax Payments for Deferral or Deferral for Up to Three Years" [Repealed]</t>
  </si>
  <si>
    <t>Support for board members when employees are not working and for working retired employees.</t>
  </si>
  <si>
    <t>Amendment to the Law "On Measures for Prevention and Management of State Threats and Their Consequences Due to the Spread of Covid-19"</t>
  </si>
  <si>
    <t>Regulations of the Cabinet of Ministers "Regulations on Support for Downtime for Taxpayers to Continue Their Activities in the Conditions of the Crisis Caused by Covid-19"</t>
  </si>
  <si>
    <t>Aid to compensate for the remuneration of idle employees is paid to the employee in the amount of 70% of the declared average monthly gross salary for the period from 1 August to 30 October 2020, or from the declared average gross salary for the months after 1 August 2020 in which the employee actually worked, but not less than EUR 330 and not more than EUR 1000 per calendar month. Support period until June 30, 2021.</t>
  </si>
  <si>
    <t>It is estimated that 70% of the total number of affected enterprises in the sectors included in Annex 1 (according to the SRS data, approximately 43,000 subjects, 45,000 employees and the average monthly gross wages in the 3rd quarter of 2020 644.58 euros) and 30% of the total number of affected enterprises in the sectors included in Annex 2 (according to SRS data, approximately 112,000 enterprises, 135,000 employees)._x000D_
For downtime support: EUR 45 000 (employees) x 70% x EUR 644.58 = EUR 20 304 270.00 per month. For 2021, the MoE forecasts 97.6 mln. euro.</t>
  </si>
  <si>
    <t>Downtime allowance and child allowance</t>
  </si>
  <si>
    <t>Cabinet of Ministers order No 236 "On the allocation of funds from the state budget of the Contingency Funds programme"</t>
  </si>
  <si>
    <t>Idle assistance allowance for workers and self-employed persons whose idle allowance is less than EUR 180 per month or who do not qualify for idle allowance.</t>
  </si>
  <si>
    <t>Additional Downtime allowance for children</t>
  </si>
  <si>
    <t>Cabinet of Ministers order  No. 178 "On the allocation of funds from the national budget under the Contingency Funds programme"</t>
  </si>
  <si>
    <t>For a worker receiving an idle allowance, a supplement of EUR 50 per dependent child under the age of 24 for whom the worker is benefiting from personal income tax relief at the date of granting the idle allowance</t>
  </si>
  <si>
    <t>In order to provide the dependent supplement, the SSIA needs funding in the amount of 2909080 euros.
72,707 persons (who would receive downtime allowance) x 0.4 * (average number of children in the family) x 50 euros (amount of the allowance) x 2 months = 2908280 euros. Taking into account the actual performance, the required funding has been recalculated. Funding is not to be restored once the crisis resumes.</t>
  </si>
  <si>
    <t>Cabinet of Ministers order  No. 706 "On the allocation of financial resources from the state budget programme "Contingency funds""</t>
  </si>
  <si>
    <t>The idle allowance is paid by the SSIA of EUR 50 per dependent child under the age of 24 for whom the employee is benefiting from personal income tax relief at the date of granting the idle aid</t>
  </si>
  <si>
    <t>Cabinet of Ministers order  No.15 "On the allocation of financial resources from the state budget programme "Contingency funds""</t>
  </si>
  <si>
    <t>Right to unemployment status for patent and micro-enterprise taxpayers</t>
  </si>
  <si>
    <t>Amendment to the Law on the Support of The Unemployed and JobSeekers</t>
  </si>
  <si>
    <t>MoW forecasts indicative impact on special budget expenditures 1,368,400 euros per ampere (500 beneficiaries x 342.10 euros x 8 months) Updated assessment according to performance.Financing in the amount of 20 145 240 euros is not included, in accordance with the Cabinet of Ministers Order No. 238 of 05.05.2020 “On Allocation of Financial Funds from the State Budget Program“ Funds for Contingencies ”” and the Cabinet of Ministers Order No. 366 “Amendment to Cabinet Order No. 238 of 5 May 2020“ On Allocation of Financial Resources from the State Budget Program “Contingency Funds” ”(to ensure prevention of continuity risks of unemployment benefit expenditures), which was redistributed by the MoW mechanism in the event of a deterioration in the economic situation in the country, but this should not be considered as a specific Covid-19 support measure.</t>
  </si>
  <si>
    <t>Extended period of parental benefit</t>
  </si>
  <si>
    <t>Cabinet of Ministers order  No.175 "On the allocation of financial resources from the state budget programme "Contingency funds""</t>
  </si>
  <si>
    <t>A person whose benefit period ends at the time of the declaration of an emergency situation and who is unable to return to work may claim the continuation of the benefit granted after the child reaches the age of one or one and a half years. For the period from 12 March 2020 until the day when the person starts earning income as an employed or self-employed person, but not longer than until the end of the state of emergency declared by Covid-19 (up to 700 EUR).</t>
  </si>
  <si>
    <t>"Calculation:
- the average number of parental benefit recipients provisionally per month from 12 March until the end of the emergency declared by Covid-19 (assumption by 14 July, i.e. four months) is 3 780;
- for this period, the continuation of the parental benefit shall be paid in the amount of the parental benefit previously granted, but not exceeding EUR 700 per month. "</t>
  </si>
  <si>
    <t>Cabinet of Ministers order  No.12 "On the allocation of financial resources from the state budget programme "Contingency funds""</t>
  </si>
  <si>
    <t>Extended for the period from 9 November 2020 to the date on which the person starts earning income as a worker or self-employed person, but no longer than until the end of the emergency of Covid-19 (up to EUR 700).</t>
  </si>
  <si>
    <t>Unemployment assistance allowance</t>
  </si>
  <si>
    <t>Cabinet of Ministers order  No.238 "On the allocation of financial resources from the state budget programme "Contingency funds""</t>
  </si>
  <si>
    <t xml:space="preserve">
- The planned number of recipients of unemployment benefit on average per month 18,653 (for payment in April - December);
- The average amount of the assistance benefit is EUR 180 per month per person for a maximum of 4 months after the end of the unemployment benefit period.Pursuant to the Cabinet of Ministers Order No. 366 of 30.06.2020 (protocol No. 42 § 53), which amends the Cabinet of Ministers 05.05.2020. Order No. 238 (protocol No. 29 § 4) provides for ensuring the payment of unemployment benefit and preventing the risks of continuity of unemployment benefit expenses (EUR 20,145,240 redistributed to unemployment benefits). Taking into account the execution, the necessary financing has been recalculated (FM Order No. 436 of 30.10.2020). Amendments to the Law "On Unemployment Insurance" (planned to be considered at the Cabinet of Ministers sitting on 10.12.2020) the term for granting the benefit has been extended until 30.06.2020. Financial impact EUR 3,314,520 (2021 from "Contingency Funds").</t>
  </si>
  <si>
    <t>Cabinet of Ministers order  No.16 "On the allocation of financial resources from the state budget programme "Contingency funds""</t>
  </si>
  <si>
    <t>Extended childcare allowance and allowance</t>
  </si>
  <si>
    <t>Cabinet of Ministers order  No.277 "On the allocation of financial resources from the state budget programme "Contingency funds""</t>
  </si>
  <si>
    <t>Pending the declaration of a national emergency for the spread of Covid-19, ensure the payment of a childcare allowance of EUR 171 per month to a person caring for a child between one and a half years and two years and a supplement to the childcare allowance of EUR 171 per month for a person caring for twins or several children born in the same birth from the age of one and a half to two years;
An additional EUR 33 033 to cover the costs of ensuring the functionality of the social insurance information system.</t>
  </si>
  <si>
    <t xml:space="preserve">
- the planned number of beneficiaries per month on average - 11,148 (assumption made for payment for a period of 3 months);
- an increase in the amount of the benefit from EUR 42.69 to EUR 171, in addition to EUR 128.31.
In order to ensure the payment of the benefit in a 3-month period (in the period from March 12 to June 9), financing from the state budget of EUR 4,291,200 (expenses for social payments and compensations) is required. " Actual estimate according to actual performance. Taking into account the actual performance, the required funding has been recalculated. Funding is not to be restored once the crisis resumes.</t>
  </si>
  <si>
    <t>Guardian's allowance in excess of child support</t>
  </si>
  <si>
    <t>Regulation No. 256 "Amendment to Cabinet Regulation No. 1643 of 22 December 2009 "Procedure for granting and paying a benefit for the maintenance of a child under guardianship""</t>
  </si>
  <si>
    <t>For the period when a state of emergency has been declared in the country due to the spread of Covid-19, the SSIA pays a benefit for a child under the age of seven - EUR 161.25 per month and for a child from the age of seven - EUR 193.50 per month. The amount of the SSIA benefit is calculated for the period from March 12, 2020 and is paid until June 30, 2020.</t>
  </si>
  <si>
    <t>One-off supplement to the state family allowance for disabled children</t>
  </si>
  <si>
    <t>Regulation No. 294 "Amendment of Cabinet Regulation No. 1517 of 22 December 2009 "Regulations on state family benefits and family state allowances"; Cabinet of Ministers order No 276 on the allocation of financial resources from the national budget to the Contingency Funds programme</t>
  </si>
  <si>
    <t>Until 30 June 2020, the State Social Insurance Agency shall pay a lump sum for the period of time during which a state of emergency has been declared in the country due to the spread of Covid-19 a supplement of EUR 150. Including 23 595 EUR for system modernization.</t>
  </si>
  <si>
    <t>Support for wage subsidies for part-time workers</t>
  </si>
  <si>
    <t>14.07.2020. 11.08.2020 03.11.2020 11.12.2020 14.01.2021</t>
  </si>
  <si>
    <t>Cabinet of Ministers order  No.415 "On the allocation of financial resources from the state budget programme "Contingency funds""</t>
  </si>
  <si>
    <t>Aid granted to economic operators to compensate for wages and other operational costs to overcome the consequences of the Covid-19 crisis</t>
  </si>
  <si>
    <t>Cabinet Regulation No. 455 of 14 July 2020 "Procedure for Granting Support to Economic Operators of the Tourism Sector Affected by Covid-19" provides EUR 19.2 million for the support of the tourism sector. Impact according to the Information Report of the Cabinet of Ministers of 02.09.2020 "On Measures for Overcoming the Covid-19 Crisis and Economic Recovery for 2020 and 2021". Adjusted impact according to actual implementation. 11.12.2020 Order No. 759</t>
  </si>
  <si>
    <t>Subsidised jobs for exporting companies</t>
  </si>
  <si>
    <t>Cabinet rules "Rules on idle support for taxpayers in the context of the Covid-19 crisis"</t>
  </si>
  <si>
    <t>According to the CSB data, a total of 867 thousand employees are employed, of which 607 thousand are employed in the private sector. Excluding labor income is 63 thousand. Taking into account the conditions of the program, if all employees were applied for (~ 543 thousand), the total amount of support would exceed 190 million euros.
Assuming that 30% of the workforce will apply for a wage subsidy (because some employees will apply for downtime allowance and some companies do not have a drop in turnover), the total budgetary impact will be around € 39 million per month, with an initial support of € 78 million. Taking into account the budget performance of 2020 and the change of conditions, the MoE predicts that 20.7 million euros will be needed for 2021</t>
  </si>
  <si>
    <t>Support for young professionals</t>
  </si>
  <si>
    <t>Cabinet of Ministers order  No.368 "On the allocation of financial resources from the state budget programme "Contingency funds""</t>
  </si>
  <si>
    <t>The allowance shall be paid in the first two months in the amount of EUR 500, in the third and fourth months in the amount of EUR 375 to persons who have completed their studies at the university or college where they obtained their higher education during the year preceding the declaration of emergency and have acquired the status of unemployed during an emergency situation or within three months after its end.
To cover expenses related to the provision of the functionality of the Social Insurance Information System."</t>
  </si>
  <si>
    <t>Initially, EUR 6 532 750 is earmarked for new specialist allowances and EUR 64 651 for the adaptation of IT systems. The impact has been clarified taking into account the actual implementation and reallocated funding (FM Order No. 448 of 02.11.2020). When the crisis situation resumed, the payment of the benefit was extended until June 30, 2021.</t>
  </si>
  <si>
    <t>Cabinet of Ministers order  No. 14 "On the allocation of financial resources from the state budget programme "Contingency funds""</t>
  </si>
  <si>
    <t>In 2020, the funds invested in the reserve capital of ALTUM in the amount of 50 million euros are included in expenses.
The additional impact in the medium term has been assessed taking into account the projected customer interest payments, commission income, costs of raising resources and administrative expenses. On December 17, the Cabinet of Ministers decided to increase the funding of the program by 10 million euros, as well as to extend the program until 30.06.2021. Total funding of the program with the Cabinet of Ministers 17.12. decision increased to 210 million euros.</t>
  </si>
  <si>
    <t>In 2020, the funds invested in the reserve capital of ALTUM in the amount of 25 million euros are included in expenses. On December 17, the Cabinet of Ministers has decided to allocate 2.5 million euros to other programs, as well as to extend the program until 30.06.2021. As of December 7, the amount of ALTUM guarantees is 93 million euros, a total of 340 million euros is planned in the program (415 million euros were planned in March 2020).</t>
  </si>
  <si>
    <t>In 2020, expenses invested in the ALTUM reserve capital in the amount of EUR 25 million are included in expenses. On December 17, the Cabinet of Ministers decided to extend the program until 31.12.2021.</t>
  </si>
  <si>
    <t>The total increase of municipal loans by EUR 150 million is planned to ensure the availability of loans to municipalities in high-maturity projects co-financed by EU funds and other foreign financial assistance in 2020 to cover eligible expenses, while reviewing the distribution of eligible / ineligible costs in the high readiness investment projects applied by the Ministry of Environmental Protection and Regional Development in accordance with the Cabinet of Ministers Regulations No. 14.07.2020. 456 "Regulations on the Conditions and Procedures for Issuing a State Loan to Local Governments for Reducing and Preventing the Impact of an Emergency in Relation to the Spread of Covid-19", for the Implementation of a Nationally Significant Investment Project ., § 37 “Informative report“ On the implementation of the nationally significant investment project “Reconstruction of Mežaparks Grand Stage at Ostas prospekts 11, Riga, Part B, Phase 2”), as well as for the construction of a new pre-school educational institution or expansion of an existing pre-school educational institution Cabinet of Ministers Order no. 299 and Order No. 544 of 22 September 2020 “On Supported Municipal Investment Projects for the Construction of a New Pre-School Education Institution or the Expansion of an Existing Pre-School Education Institution to be Granted a State Budget Loan”. will be formed in two years: EUR 50 million in 2020 and EUR 72 million in 2021. The impact has been adjusted according to the actual data of the Treasury.</t>
  </si>
  <si>
    <t>Capital fund for large merchants</t>
  </si>
  <si>
    <t>At the sitting of the Cabinet of Ministers on 14.07.2020, the draft Regulations "Regulations on Capital Investments in Merchants Affected by the Spread of Covid-19" and the Draft Order "On the Increase of Reserve Capital" were considered. Amount of support in accordance with the Cabinet of Ministers Information Report of 02.09.2020 "On Measures for Overcoming the Covid-19 Crisis and Economic Recovery for 2020 and 2021". As of 20.11.2020, 25 million euros have actually been paid out, however, this support has no impact on the budget balance. A capital investment program that has established an alternative investment fund that operates on a commercial basis. According to the evaluation of the program, the operation of the fund will end with a positive return. The total amount of aid is divided into two years.</t>
  </si>
  <si>
    <t>Guarantees for large merchants</t>
  </si>
  <si>
    <t>Financial instrument, guarantees for the modernisation of large merchants (ALTUM)</t>
  </si>
  <si>
    <t>At the meeting of the Cabinet of Ministers on 14.07.2020, the draft Regulations "Regulations on Guarantees for Large Merchants Affected by the Spread of Covid-19" were considered, where it is planned to invest 40,000,000 euros in the reserve capital of ALTUM. The amount of support was specified to 20 million euros at the Cabinet meeting on December 17, and the term of support was also extended until 30.06.2021. Together with the co-financing attracted by ALTUM, the total support can reach 80 million euros (25% of the projected losses make up 20 million euros of state budget funding)</t>
  </si>
  <si>
    <t>Loans and interest rate subsidies to large merchants</t>
  </si>
  <si>
    <t>Rules on loans and interest rate subsidies for economic operators to promote competitiveness</t>
  </si>
  <si>
    <t>For the modernisation of large merchants (ALTUM), loans and interest rate subsidies</t>
  </si>
  <si>
    <t>10.11.2020 The Cabinet of Ministers considered the draft regulation "Regulations on Loans and their Interest Rate Subsidies to Entrepreneurs for the Promotion of Competitiveness". Funding in the amount of EUR 50,000,000 will be provided by the Ministry of Finance increasing its resources from the grant from the general revenue grant to Altum's reserve capital for crisis loans and estimated expected credit risk losses of EUR 45,130,000, as well as contingencies from Altum. ’EUR 4 870 000 in loan interest rate subsidies. Funding is planned for two years, 25 million euros annually. Together with the co-financing attracted by ALTUM, the total support can reach 150 million euros.</t>
  </si>
  <si>
    <t>Guarantees for economic operators</t>
  </si>
  <si>
    <t>Amendments to Cabinet Regulation No. 383 of 16 June 2020 "Regulations on guarantees for economic operators to improve competitiveness"</t>
  </si>
  <si>
    <t>State budget funding for the payment of guarantees</t>
  </si>
  <si>
    <t>“Amendments to Cabinet Regulation No. 150 of 19 March 2020“ Regulations on Guarantees for Economic Operators Affected by the Spread of Covid-19 ”, which provide for redistribution of 2.5 million euros of funding to the Regulations to provide guarantees to large economic operators.
"Amendments to Cabinet Regulation No. 454 of 14 July 2020" Regulations on Guarantees for Large Entrepreneurs Affected by the Spread of Covid-19 "" on the redistribution of EUR 2 million to the Regulations for Provision of Guarantees to Large Economic Operators."</t>
  </si>
  <si>
    <t>Informative Report "On the Impact of the COVID-19 Pandemic on AirBaltic's Operations" (IP) and Cabinet of Ministers 08.05.2020 Order 256 "On the Increase of the Share Capital of the Joint Stock Company" Air Baltic Corporation ""</t>
  </si>
  <si>
    <t>In order to compensate for the losses caused by the Covid-19 outbreak, ensure the long-term liquidity of the company and ensure the overcoming and stabilization of the economic crisis in the sector, support the increase of the company's share capital by investing up to 250 mln euro.</t>
  </si>
  <si>
    <t>Increase of the share capital of "Latvian Air Traffic".</t>
  </si>
  <si>
    <t>LIMITED ACCESS.
The draft order provides support for the increase of the share capital of the state-owned joint stock company "Latvian Air Traffic" by investing EUR 6,000,000 in order to absorb the economic shock, overcome the crisis and stabilize the economic situation in the sector.
Pursuant to Regulation of the European Parliament and of the Council No 549/2013 of 21 May 2013 on the European system of national and regional accounts in the European Union The competent statistical authorities may account for the investment in share capital of a share capital provided for in point 4.165 (b) as general government expenditure, thereby creating a negative impact on general government budget balance 2020.
Increase of appropriation in accordance with Article 22 of the Law "On Measures for Prevention and Management of State Threats and Its Consequences Due to the Proliferation of Covid-19"</t>
  </si>
  <si>
    <t>Order No. 219 "On the increase of the share capital of the State Joint Stock Company" Riga International Airport ""</t>
  </si>
  <si>
    <t>Healthcare-related support</t>
  </si>
  <si>
    <t>"1.1. For the purchase of real - time polymerase chain reaction (PCR) equipment, up to a maximum of EUR 110 300;
1.2. for the purchase of extracorporeal membrane oxygenation equipment, intermediate treatment kits (ECMO), artificial lung ventilation equipment and non-invasive ventilation equipment - up to a maximum of EUR 775 505. " 
Cabinet of Ministers Rule No. 80 03.03.2020.</t>
  </si>
  <si>
    <t xml:space="preserve">"To cover the costs incurred in connection with the Covid-19 outbreak, including:
1.1. to the state limited liability company "Children's Clinical University Hospital" for the purchase of medical equipment in the amount of 3,611,547 euros;
1.2. to the State Limited Liability Company "Pauls Stradiņš Clinical University Hospital" for the purchase of medical equipment in the amount of EUR 3,698,365;
1.3. for the limited liability company "Riga East Clinical University Hospital" for the purchase of medical equipment in the amount of 6 798 925 euros "
</t>
  </si>
  <si>
    <t>Cabinet of Ministers Order No. 118 20.03.2020. Will be financed from the increase of "Contingency Funds" appropriation in the amount of 300 mln. EUR. The amount of support to 258 036 euros has been specified taking into account the Cabinet of Ministers 14.07.2020. decision http://tap.mk.gov.lv/doc/2020_07/IEMRik_030620_groz118.1160.doc</t>
  </si>
  <si>
    <t>Cabinet of Ministers No. 220 "On Allocation of Financial Resources from the State Budget Program "Contingency Funds""</t>
  </si>
  <si>
    <t>Provide the Ministry of Defence with funding of EUR 45 734 760 to cover the costs of purchasing and transporting personal protective equipment and disinfectants identified in the list of priority and needs of institutions and municipalities in the context of the emergency declared for the containment of Covid-19. In 2021, an additional EUR 12,4 million euro was allocated.</t>
  </si>
  <si>
    <t>Cabinet of Ministers No. 18 "On Allocation of Financial Resources from the State Budget Program "Contingency Funds""</t>
  </si>
  <si>
    <t>Protective equipment, medicines, etc. medical equipment.</t>
  </si>
  <si>
    <t>To provide the Ministry of Health with funding not exceeding EUR 10 000 000 to cover expenditure incurred in relation to the Outbreak of Covid-19 and its consequences. Empower the Health Minister to decide on the use of the funds according to the actual need. Provide the Ministry of Health with funding not exceeding EUR 1 742 420 to cover expenditure incurred in connection with the outbreak of coronvirus Covid-19.</t>
  </si>
  <si>
    <t>Cabinet of Ministers No. 136 "On Allocation of Financial Resources from the State Budget Program" Contingency Funds "</t>
  </si>
  <si>
    <t>Cabinet of Ministers No. 136 27.03.2020 Funded from Funds for Contingencies from the increase in appropriations for Funds for Contingencies by 300 mln. No.12 25.03.2020. Impact clarified.</t>
  </si>
  <si>
    <t>Cabinet of Ministers No. 237 "On Allocation of Financial Resources from the State Budget Program "Contingency Funds""</t>
  </si>
  <si>
    <t>To ensure the implementation of functions and continuity of the provision of health services - RAKUS 0,66 mEUR and P.Stradins Clinical University Hospital (PSKUS) 0,66 mEUR</t>
  </si>
  <si>
    <t>Funding not exceeding EUR 1 323 563 to ensure the implementation of functions and continuity of the provision of health services during the outbreaks of coronvirus Covid-19.</t>
  </si>
  <si>
    <t>Cabinet of Ministers No. 271 "On Allocation of Financial Resources from the State Budget Program "Contingency Funds""</t>
  </si>
  <si>
    <t>To cover the costs incurred in preventing outbreaks and consequences of "Covid-19" - National Health Service 0,67 mEUR, Emergency Medical Service 0,09 mEUR; 1.43 mEUR for the National Health Service to cover the costs of RAKUS.</t>
  </si>
  <si>
    <t>For outpatient and hospital health services, for the organisation and conduct of laboratory examinations - EUR 672 139, for the establishment of mobile points for the collection of analyses - EUR 91 984, for the cost of RAKUS (purchase of reagent kits, purchase of video intubation kit, construction works, collection of patient blood sampling, transport supplies and medical supplies) - EUR 1 428 081.</t>
  </si>
  <si>
    <t xml:space="preserve">Draft Regulations "Amendments to Cabinet Regulation No. 555 of 28 August 2018" Procedures for Organization and Payment of Health Care Services "" </t>
  </si>
  <si>
    <t>EUR 16,0 million Euro - Article 243.5, 243.6, 245, 248 and Annex 3, paragraph 60 -Ministry of Health wille provide within the framework of existing funds.</t>
  </si>
  <si>
    <t>Regulations No. 367 "Amendments to Cabinet Regulation No. 555 of 28 August 2018" Procedures for Organization and Payment of Health Care Services ""</t>
  </si>
  <si>
    <t>the National Health Service to cover the costs incurred in preventing outbreaks and consequences of the Covid-19</t>
  </si>
  <si>
    <t>Cabinet of Ministers No. 413 "On Allocation of Financial Resources from the State Budget Program" Contingency Funds ""</t>
  </si>
  <si>
    <t>To cover the costs incurred by the National Health Service in preventing outbreaks and consequences of Covid-19</t>
  </si>
  <si>
    <t>From the State Budget Program 02.00.00 “Contingency Funds”, the Ministry of Health (National Health Service) has been allocated funding not exceeding EUR 2,054,926 to provide medical supplies to medical institutions in connection with the spread of Covid-19 infection in the country.</t>
  </si>
  <si>
    <t>EUR 57.6 million is state budget financing (provision of full functionality of PSKUS A2 building - 20 million, renovation of PSKUS buildings 15, 4, 24, 25 = 15.6 million, BKUS outpatient building with reception and observation department 10, 2 million, for expansion of intensive care units of Daugavpils, Valmiera, Liepāja, Rēzekne, Ventspils regional hospitals, establishment of isolation boxes, separation of patient flows 15 million). Part of the financing is covered from excess liabilities (16.4 million euros). The impact has been specified in accordance with the Cabinet of Ministers Information Report of 02.09.2020 "On Measures for Overcoming the Covid-19 Crisis and Economic Recovery for 2020 and 2021". By Cabinet Order No. 508 of 16.09.2020, 6,220,850 euros have been allocated for the increase of the share capital. 2,086,759 euros have been allocated by Cabinet Order No. 509 of 16 September 2020. 1. Informative report "On measures for overcoming the Covid-19 crisis and economic recovery" (Cabinet of Ministers No. 38 of 02.06.2020, § 49); 2. Informative report "On measures for overcoming the Covid-19 crisis and economic recovery" (Cabinet of Ministers No. 51 of 02.09.2020, § 55); 3. Informative report "On Proposals for State Budget Revenues and Expenditures for 2021 and the Framework for 2021-2023" (Cabinet of Ministers No. 55 of 22.09.2020, Paragraph 38, Item 33) Financing for 2021 in the base expenditures of the Ministry of Health budget.</t>
  </si>
  <si>
    <t>Cabinet of Ministers No. 509 "On Allocation of Financial Resources from the State Budget Program" Contingency Funds ""</t>
  </si>
  <si>
    <t>Cabinet of Ministers No. 608 "On Allocation of Financial Resources from the State Budget Program" Contingency Funds ""</t>
  </si>
  <si>
    <t>Financing for the purchase of vaccines</t>
  </si>
  <si>
    <t>Grant the Ministry of Health EUR 1 638 064 to make additional contributions to the Emergency Support Instrument to ensure access to a wider Covid-19 vaccine portfolio</t>
  </si>
  <si>
    <t>Cabinet of Ministers No. 614 "On Allocation of Financial Resources from the State Budget Program" Contingency Funds ""</t>
  </si>
  <si>
    <t>Financing for the purchase of medicinal products</t>
  </si>
  <si>
    <t>To provide funding to the Ministry of Health (National Health Service) not exceeding EUR 1 449 387, including: EUR 1 101 240 in 2020 and EUR 348 147 in 2021 to ensure the availability of the active ingredient Veclury with the active substance remdesivir in the process of COVID-19 medical treatment. In view of the amount of funding provided for in Order No. 22 of the Cabinet of Ministers of 14.01.2021, the funding of EUR 0,3 million shall be in 2021.</t>
  </si>
  <si>
    <t xml:space="preserve"> Cabinet of Ministers of 20.10.2020.62 § 40 "Informative report" On Latvia's participation in the Covid-19 vaccine procurement contract concluded by the European Commission ""</t>
  </si>
  <si>
    <t>Ministry of Health's request of EUR 2 605 241 (2021) to cover expenditure on the purchase of a vaccine against Covid-19.</t>
  </si>
  <si>
    <t>Cabinet of Ministers No. 640 "On Allocation of Financial Resources from the State Budget Program" Contingency Funds ""</t>
  </si>
  <si>
    <t>Funding for overtime for medical practitioners</t>
  </si>
  <si>
    <t>Funding of EUR 1 246 071 to ensure payment of the responsible institution for medical persons and other employees in the resolution and consequence of overtime related to covid-19 issues from 1 March 2020 to 9 June 2020</t>
  </si>
  <si>
    <t>Cabinet of Ministers No. 655 "On Allocation of Financial Resources from the State Budget Program" Contingency Funds ""</t>
  </si>
  <si>
    <t>Allowances for medical treatments and other workers for work under sensitive and exertion conditions.</t>
  </si>
  <si>
    <t>Grant funding not exceeding EUR 2 926 570 to the Ministry of Health to provide supplements for treatment and other workers in the institutions responsible for the treatment of covid-19 persons and other workers in the context of the emergency public health risk posed by the Covid-19 outbreak and consequences.</t>
  </si>
  <si>
    <t>To cover the purchase, logistics and use of Covid-19 vaccine</t>
  </si>
  <si>
    <t>For the creation of new hospital beds, as well as for reprofiling beds and adequate material equipment</t>
  </si>
  <si>
    <t>An additional € 370,385 is required for the optimal  bed count in medical institutions, as well as for the re-profiling of beds. In addition to the purchase and replacement of medical equipment, medical devices, as well as the implementation of the measure for the purchase of disinfectants, an additional EUR 7,672,466 is required. In order to ensure the possibility to admit additional Covid-19 patients, additional funding in the amount of 150,867 euros is required for the establishment of the Covid-19 ward at the Balvi and Gulbene Hospital Association Ltd. in Balvi.</t>
  </si>
  <si>
    <t>Informative report “Capacity building and strengthening of resilience of the health sector in the conditions of Covid-19 in Latvia” (MK 08.12.2020. Cabinet of Ministers sitting No.81 § 7)</t>
  </si>
  <si>
    <t>Additional funding needed to increase health sector capacity and strengthen resilience</t>
  </si>
  <si>
    <t>Establishment and accreditation of the Laboratory for testing personal protective equipment and medical face masks on the basis of Riga Technical University in 2020-2021 to contribute to the crisis management and economic recovery of Covid-19 in urgent order, as well as to meet the needs for testing special protective clothing and special clothing in Latvia</t>
  </si>
  <si>
    <t>Ministry of Science and Education</t>
  </si>
  <si>
    <t>Total funding needed up to EUR 2 110 000 in 2021, amounting to EUR 950 000 to ensure the establishment of an accredited testing laboratory for personal protective equipment and medical face masks, and EUR 1 160 000 to provide special protective clothing and special clothing testing in Latvia, will be provided from funds for unforeseen events, in line with the actual expenditure of Riga Technical University in 2021</t>
  </si>
  <si>
    <t>Regulations "Amendments to Cabinet Regulation No. 555 of 28 August 2018" Procedures for Organization and Payment of Health Care Services ""; MK 17.12.2020. sitting prot. No.84 § 78</t>
  </si>
  <si>
    <t>Measures taken in connection with the prevention of outbreaks and consequences of Covid-19</t>
  </si>
  <si>
    <t>EUR 65 081 781 (provisions 243.1, 243.2, 243.3, 243.4, 244, 245, 246) must be covered by the contingency funds of the national budget programme 02.00.00</t>
  </si>
  <si>
    <t>eur 11 680 957 will be provided under the budget allocated to the Ministry of Health</t>
  </si>
  <si>
    <t>Order No.1 on increasing the appropriation for the Ministry of Health</t>
  </si>
  <si>
    <t>Investments in fixed capital of hospitals for purchase of medical equipment and accessories</t>
  </si>
  <si>
    <t>In the amount of EUR 1,793,053, the increase of the share capital of the state limited liability company "Children's Clinical University Hospital" by investing financial resources in the amount of 4,500 euros, and the increase of the share capital of the limited liability company "Riga East Clinical University Hospital" in the amount of 2,963 EUR 895 for the purchase of medical equipment and supplies</t>
  </si>
  <si>
    <t>Cabinet of Ministers Order No. 2 "On the Allocation of Financial Resources from the State Budget Program" Contingency Funds ""</t>
  </si>
  <si>
    <t>Funding in addition to covid-19 beds</t>
  </si>
  <si>
    <t>Funding for hospitals to increase the number of beds used to care for Covid-19 patients.</t>
  </si>
  <si>
    <t>Information report on the purchase of Covid-19 vaccines (MK 8.01.2021. Protocol of the sitting No. 3 § 1</t>
  </si>
  <si>
    <t>for the purchase of vaccines against Covid-19</t>
  </si>
  <si>
    <t>Means for the purchase of vaccines against Covid-19</t>
  </si>
  <si>
    <t>Purchase of antigen detection tests and pulse oximeters</t>
  </si>
  <si>
    <t>Ministry od Defence</t>
  </si>
  <si>
    <t>To allocate funding to the Ministry of Defense (National Defense Logistics and Procurement Center), not more than 621,799 euros, in order to ensure the provisions of the Cabinet of Ministers of 9 June 2020 No. 380 "Regulations on the Purchase of SARS-CoV-2 Antigen Tests and Pulse Oximeters" referred to in the "Priority Institutions and Institutions on the Needs List"</t>
  </si>
  <si>
    <t>Information report on the purchase of `Moderna` vaccines against Covid-19 (MK 14.01.2021. sitting prot. No. 5 § 37</t>
  </si>
  <si>
    <t>Vaccines against covid-19 purchase, logistics and use costs</t>
  </si>
  <si>
    <t>Vaccines against Covid-19 purchase, logistics and input costs</t>
  </si>
  <si>
    <t>Cabinet of Ministers Order No. 22 "On the Allocation of Financial Resources from the State Budget Program" Contingency Funds ""</t>
  </si>
  <si>
    <t>The availability of the drug Veclury with the active substance remdesivir</t>
  </si>
  <si>
    <t>Funding of EUR 2 431 560 to ensure the availability of the active substance remdesivir in the medical treatment process from January 2021 to 30 June 2021.</t>
  </si>
  <si>
    <t>Cabinet of Ministers Order No. 35 "On the Allocation of Financial Resources from the State Budget Program" Contingency Funds ""</t>
  </si>
  <si>
    <t>In order to reduce the long-term adverse effects on public mental health caused by the COVID-19 pandemic</t>
  </si>
  <si>
    <t xml:space="preserve">1.1. For the National Health Service EUR 7,057,226, including:_x000D_
1.1.1. for the improvement of the availability of psychological assistance and mental health care services for the residents of Latvia - 5,332,095 euros;_x000D_
1.1.2. for the improvement of mutual cooperation of specialists in the field of mental health care, incl. to motivate Family Doctors practices to get involved in the assessment and monitoring of their patients' mental health - 156,156 euros;_x000D_
1.1.3. psycho-emotional support of the existing medical staff and its monitoring - 1,568,975 euros;_x000D_
1.2. EUR 53 982 for the Emergency Medical Service to set up a psycho-emotional team. </t>
  </si>
  <si>
    <t>Cabinet of Ministers Order No. 34 "On the Allocation of Financial Resources from the State Budget Program "Contingency Funds""</t>
  </si>
  <si>
    <t>For the operation of the vaccination project office</t>
  </si>
  <si>
    <t>Information report "On the purchase of a dose of Covid-19 vaccine manufactured by CureVac" (Cabinet of Ministers sitting No. 8  § 45 of 21 January 2021)</t>
  </si>
  <si>
    <t>Purchase of additional doses of Covid-19 vaccine from the vaccine manufacturer CUREVAC AG</t>
  </si>
  <si>
    <t>Taking into account the funding already allocated for the purchase of 300,000 vaccines from the manufacturer CureVac AG, additional funding is needed for logistical costs and use to ensure the purchase of 646,510 (946,510-300,000 = 646,510 vaccine doses) purchase of vaccine doses EUR 7,998,120 (EUR 11,358,120- 3,360,000 = EUR 7,998,120), EUR 98,211 for logistics (EUR 143,784-45,573 = EUR 98,211) and EUR 6,311,156 for the supply of vaccines (EUR 8,153,616-1,842,460 = EUR 6,311,156). Taking all into account, additional funding of EUR 14,407,487 is required.</t>
  </si>
  <si>
    <t>Cabinet of Ministers Order No. 37 "On the Allocation of Financial Resources from the State Budget Program" Contingency Funds ""</t>
  </si>
  <si>
    <t>In order to provide allowances from 1 January 2021 to 31 March 2021 to medical practitioners and other employees of the responsible institutions</t>
  </si>
  <si>
    <t>For the period from 1 December 2021 to 31 March 2021 - in the amount of 69,341,604 euros, including monthly 23,113,868 euros.</t>
  </si>
  <si>
    <t>Cabinet of Ministers Order No. 55 "On the Allocation of Financial Resources from the State Budget Program" Contingency Funds ""</t>
  </si>
  <si>
    <t>Strengthening the capacity of the Center for Disease Prevention and Control</t>
  </si>
  <si>
    <t>It is planned to outsource the survey of individuals with a confirmed diagnosis of Covid-19 to 300 man-hours per day. Financing for 5 months</t>
  </si>
  <si>
    <t>Informative Report "On Vaccines against Covid-19" ( of the  of the Cabinet of Ministers No. 10 § 57 of 28 January 2021)</t>
  </si>
  <si>
    <t>To provide the Ministry of Health with funding of up to EUR 14,328,990 for the purchase, logistics and administration of the Covid-19 vaccine</t>
  </si>
  <si>
    <t>Provide funding to the Ministry of Health for a maximum of EUR 14,210,679. Purchase, logistics and administration of Covid-19 vaccine</t>
  </si>
  <si>
    <t>Cabinet of Ministers Order No. 75 "On the Allocation of Financial Resources from the State Budget Program" Contingency Funds ""</t>
  </si>
  <si>
    <t>For efficient operation of vaccination systems, as well as convenient and flexible vaccination process, creating a special IT solution for managing the vaccination process.</t>
  </si>
  <si>
    <t>To provide the Ministry of Health (National Health Service) with funding in the amount of not more than 1,450,330 euros to ensure the efficient operation of the vaccination system, as well as a convenient and flexible vaccination process by creating a special IT solution for managing the vaccination process.</t>
  </si>
  <si>
    <t>Informative Report "On Vaccines against Covid-19" ( of the  of the Cabinet of Ministers No. 13 § 4 of 5 February 2021)</t>
  </si>
  <si>
    <t>To provide the Ministry of Health with funding of up to EUR 4,157,335 for the purchase, logistics and administration of Covid-19 vaccines</t>
  </si>
  <si>
    <t>Cabinet of Ministers Order No. 81 "On the Allocation of Financial Resources from the State Budget Program" Contingency Funds ""</t>
  </si>
  <si>
    <t>Purchase of medical equipment and accessories, establishment of an operational data panel and allowances for observation beds and intensive care beds</t>
  </si>
  <si>
    <t>To provide the Ministry of Health (National Health Service) with funding not exceeding EUR 40 254 832 for the purchase of medical equipment and accessories, the establishment of an operational data panel, as well as to provide allowances for observation beds and intensive care beds</t>
  </si>
  <si>
    <t>Cabinet of Ministers Order No. 80 "On the increase of appropriations for the Ministry of Health"</t>
  </si>
  <si>
    <t>Establishment of intensive care beds, purchase of medical equipment and accessories, as well as implementation of epidemiological measures, separating patient flows and establishment of pharmacies</t>
  </si>
  <si>
    <t>To increase the share capital of the Ministry of Health in the amount of 26,407,684 euros (VSIA PSKUS, VSIA BKUS, SIA RAKUS, VSIA “Hospital “Ģintermuiža””, VSIA “Strenču psychoneurological hospital”) for the establishment of intensive care beds, purchase of medical equipment and additional , separating patient flows and the establishment of pharmacies.</t>
  </si>
  <si>
    <t>Cabinet of Ministers No. 142 "On Allocation of Financial Resources from the State Budget Program "Contingency Funds""</t>
  </si>
  <si>
    <t>the creation and distribution of audiovisual content for remote learning (including distribution through free-to-air television programmes).</t>
  </si>
  <si>
    <t>Cabinet of Ministers No.142 01.04.2020. (Protocol No. 20 § 46) Granted from Contingencies Funds, from the increase in appropriations for Contingency Funds by 300 mln. according to the Cabinet of Ministers No.12 25.03.2020.</t>
  </si>
  <si>
    <t>For the purchase of smartphones and tablets necessary for the remote learning process for learners of general primary and secondary education institutions.</t>
  </si>
  <si>
    <t>Cabinet of Ministers No.117 19.03.2020 To be financed from the increase in the Contingency Funds appropriation by EUR 300 million.</t>
  </si>
  <si>
    <t>To ensure the purchase of equipment (smartphones and tablets) necessary for remote learning.</t>
  </si>
  <si>
    <t>Cabinet of Ministers No. 498 "On Allocation of Financial Resources from the State Budget Program "Contingency Funds""</t>
  </si>
  <si>
    <t>Broadband infrastructure 'vidējā jūdze', internet for schools, digitization of curricula.</t>
  </si>
  <si>
    <t>Impact according to the Information Report of the Cabinet of Ministers of 02.09.2020 "On Measures for Overcoming the Covid-19 Crisis and Economic Recovery for 2020 and 2021". in order to provide broadband infrastructure (broadband) “vidējā jūdze”, Internet for schools, digitization of study content, the funding for 2021 is 2.8 million euros in the MES budget</t>
  </si>
  <si>
    <t>Allowances for general education teachers, primary vocational, vocational education and vocational secondary education programmes for teachers implementing the remote learning process</t>
  </si>
  <si>
    <t>Cabinet of Ministers No.56 "On Allocation of Financial Resources from the State Budget Program "Contingency Funds""</t>
  </si>
  <si>
    <t>Allowances for pre-school and special education teachers, including teaching assistants, for work during the Covid-19 pandemic, for allowances for persons providing babysitting services in pre-schools and special education institutions (nanny, teaching assistant), for work During the Covid-19 pandemic, EUR 300.00</t>
  </si>
  <si>
    <t>"Number of teachers' rates - 14790,032 x 300 euros = 4 437 124 euros
EUR 4 437 124 is made up of a total amount calculated for each educational institution (a total of 1011 institutions).
Babysitters, teaching assistants (number of workloads) - 6 342.9795 x 300 = 1,902,894 euros
Total required = EUR 6 340 018, including:
➡ EUR 5,816,300 to the Ministry of Education and Science (Resor 62 "Targeted grants to local governments");
➡ EUR 523 718 for the Ministry of Education and Science (Resor 15 "Ministry of Education and Science"). "</t>
  </si>
  <si>
    <t>Support for the media and public information</t>
  </si>
  <si>
    <t>Granted from Contingency Funds, it is financed by an increase in the Contingency Funds appropriation of EUR 300 million. MK 19.03.2020. Protocol No. 16 § 5. MK 29.12.2020. Paragraph 5 of Protocol No. 88, which provides that the expenses for the information telephone (TET costs) shall be covered from Contingency Funds in 2021 not exceeding 85,000 euros</t>
  </si>
  <si>
    <t>Cabinet of Ministers No. 116 "Amendments to the Cabinet of Ministers Order No. 100 of 10 March 2020" On Allocation of Financial Resources from the State Budget Program "Contingency Funds"""</t>
  </si>
  <si>
    <t>Granted from Contingency Funds, the increase in the Contingency Funds appropriation of EUR 300 million is financed.</t>
  </si>
  <si>
    <t>Cabinet of Ministers No. 160 "On Allocation of Financial Resources from the State Budget Program"Contingency Funds"</t>
  </si>
  <si>
    <t>Cabinet of Ministers 160 07.04.2020. It is financed from Contingency Funds from the increase of 300 mln. according to the Cabinet of Ministers No.12 25.03.2020.</t>
  </si>
  <si>
    <t>Cabinet of Ministers No.607 "On Allocation of Financial Resources from the State Budget Program"Contingency Funds"</t>
  </si>
  <si>
    <t>Grant to the National Council for Electronic Media EUR 30 930, including: EUR 1.13 832 to compensate for the costs of carrying out the evaluation of the public service in commercial media; 2. EUR 17 098 vsia "Latvijas Radio" to cover the publication of the production and distribution of additional content due to the spread of the virus Covid-19.</t>
  </si>
  <si>
    <t>To ensure the broadcast of Christmas events in commercial media</t>
  </si>
  <si>
    <t>To ensure the broadcast of Christmas services in commercial media. MoF Economic Analysis Department moved this to 2021</t>
  </si>
  <si>
    <t>Aid for corporate rents</t>
  </si>
  <si>
    <t>The aid runs until 30 June 2021</t>
  </si>
  <si>
    <t>Draft Order "On the Allocation of Financial Resources from the State Budget Program "Contingency Funds""</t>
  </si>
  <si>
    <t>To mitigate the effects of the crisis and strengthen capacity in agriculture. The aid is intended to alleviate the financial difficulties caused by Covid-19, to maintain the viability and potential of companies in the sector and to ensure the continuity of agricultural and food production.</t>
  </si>
  <si>
    <t>1. EUR 14 500 000 for aid to producers in the pig farming sector;
2. aid to producers in the poultry sector EUR 11 000 000;
3. EUR 12 000 000 for maintaining the liquidity and cash flow of enterprises, ensuring the fulfillment of credit obligations and reducing the financial burden on agricultural holdings and enterprises;
4. for the implementation of the guarantee program for agriculture, fisheries and rural development by providing borrowing opportunities for companies in the sector to credit institutions in the amount of EUR 7,000,000;
5. Development of forms of cooperation by strengthening the market power, administrative and economic capacity of small and medium-sized cooperative societies, as well as support for the availability of a digital platform for short supply chains EUR 1 000 000</t>
  </si>
  <si>
    <t>Cabinet Order No. 423 "On Allocation of Financial Resources from the State Budget Program Contingency Funds""</t>
  </si>
  <si>
    <t>To provide allowances for officials of subordinates of the Ministry of the Interior for their work (from 12 March to 31 May).</t>
  </si>
  <si>
    <t>By Cabinet Order No. 423 of 13 August 2020, amendments were made to Cabinet Order No. 181 of 16 April 2020 “On Allocation of Financial Resources from the State Budget Program “Contingency Funds””, specifying funding to the Ministry of the Interior in the amount of 667,103 euros (2 EUR 590 703) to provide allowances to officials of the Ministry of the Interior who have been directly involved in dealing with the consequences of Covid-19.</t>
  </si>
  <si>
    <t>Cabinet Order No. 697 "On Allocation of Financial Funds from the State Budget Program "Contingency Funds""</t>
  </si>
  <si>
    <t>Cabinet Order No. 73 "On Allocation of Financial Resources from the State Budget Program Contingency Funds""</t>
  </si>
  <si>
    <t>To provide allowances during 2021 to officials of subordinate institutions of the Ministry of the Interior with special service ranks for work in conditions of increased risk and workload in a situation of threat to public health in connection with the Covid-19 outbreak and prevention of its consequences</t>
  </si>
  <si>
    <t>Cabinet Order No. 222 "On Allocation of Financial Funds from the State Budget Program"Contingency Funds""</t>
  </si>
  <si>
    <t>Cabinet Order No. 239 "On Allocation of Financial Funds from the State Budget Program "Contingency Funds""</t>
  </si>
  <si>
    <t>Cabinet Order No. 472 "On Allocation of Financial Funds from the State Budget Program "Contingency Funds""</t>
  </si>
  <si>
    <t>Increase the number and amount of scholarships for first-level professional higher education (colleges), bachelor's and master's level studies at public universities and colleges and mitigate the negative consequences of the Covid-19 crisis on the education sector</t>
  </si>
  <si>
    <t>1.1. EUR 1 440 928 for the Ministry of Education and Science; 1.2. EUR 257 064 for the Ministry of Health; 1.3. EUR 202 745 for the Ministry of Agriculture; 1.4. EUR 137 612 for the Ministry of Culture; 1.5. €1 651 for the Ministry of Welfare.</t>
  </si>
  <si>
    <t>Cabinet Order No. 473 "On Allocation of Financial Funds from the State Budget Program "Contingency Funds""</t>
  </si>
  <si>
    <t>To ensure co-financing of participation in the European Union's research and technological development programmes, including Horizon 2020, and to mitigate the negative impact of the Covid-19 crisis on the scientific sector</t>
  </si>
  <si>
    <t>Cabinet Order No. 499 "On Allocation of Financial Funds from the State Budget Program "Contingency Funds""</t>
  </si>
  <si>
    <t>In order to ensure funding of scientific institutions to strengthen research specialisation, excellence and influence - the introduction of a common reform of the academic and scientific career system and the enhancement of the role of science and innovation in the implementation of fundamental and applied research projects.</t>
  </si>
  <si>
    <t>Cabinet Order No. 507 "On Allocation of Financial Funds from the State Budget Program "Contingency Funds""</t>
  </si>
  <si>
    <t>In order to improve technological provision in general education institutions and to mitigate the negative impact of the Covid-19 crisis on the education sector.</t>
  </si>
  <si>
    <t>Provision of funding for scientific excellence and performance in scientific institutions to strengthen research specialisation, excellence and impact : implementing a common reform of the academic and scientific career framework and increasing the role of science and innovation</t>
  </si>
  <si>
    <t>Provision of funding for scientific excellence and performance of scientific institutions to strengthen research specialisation, excellence and impact – for the introduction of a common reform of the academic and scientific career framework and for increasing the role of science and innovation. In 2021 budget base of Ministry of Science and Education</t>
  </si>
  <si>
    <t>Provision of co-financing for participation in European Union research and technological development programmes,including Horizon</t>
  </si>
  <si>
    <t>Provision of co-financing for participation in European Union research and technological development programmes, including. Horizon.  In 2021 budget base of Ministry of Science and Education</t>
  </si>
  <si>
    <t>Increase in the size and number of scholarships for first-level professional higher education (college), bachelor's and master's level studies</t>
  </si>
  <si>
    <t>Increase in the amount and number of scholarships for first-level professional higher education (colleges), bachelor's and master's level studies at the Ministry of Education and Science (EUR 2 161 390), the Ministry of Health (EUR 385 596), the Ministry of Agriculture (EUR 304 118), the Ministry of Welfare (EUR 2 477) and the Ministry of Culture (EUR 206 419) for colleges and universities. Ministry budget base 2021</t>
  </si>
  <si>
    <t>for the provision of IT systems</t>
  </si>
  <si>
    <t>Cabinet Order No. 255 "On Allocation of Financial Resources from the State Budget Program "Contingency Funds""</t>
  </si>
  <si>
    <t>The Latvian Board of Sworn Notaries to purchase a server to ensure the continued operation of the e-apostille register, allaminating the difficulties caused by the spread of Covid-19 in the notarial.</t>
  </si>
  <si>
    <t>Latvian Board of Sworn Notaries to purchase a server to ensure the continued operation of the e-apostille register, allacing the difficulties caused by the spread of Covid-19 in the notarial</t>
  </si>
  <si>
    <t>Renovation of the information technology environment of the Cabinet of Ministers</t>
  </si>
  <si>
    <t>Renovation of the information technology environment of the Cabinet of Ministers. In the budget bases for 2021</t>
  </si>
  <si>
    <t>Cabinet Order No.522 "On Allocation of Financial Resources from the State Budget Program "Contingency Funds""</t>
  </si>
  <si>
    <t>Allocate €211,000 in funding to the Ministry of Foreign Affairs to ensure the functionality of information and communication technologies in the context of growing cyber threats</t>
  </si>
  <si>
    <t>Cabinet Order No. 573 "On Allocation of Financial Resources from the State Budget Program "Contingency Funds""</t>
  </si>
  <si>
    <t>To allocate 346 970 euros to the Ministry of Economics, including:
1. EUR 260,000 for the development of the Energy Information System with the aim of reducing the administrative burden for the participants of the energy efficiency monitoring system by ensuring the quality of data by submitting documentation and information remotely;
2. EUR 86,970 for the replacement of computer equipment in the Ministry of Economics.</t>
  </si>
  <si>
    <t>Cabinet Order No. 675 "On Allocation of Financial Resources from the State Budget Program "Contingency Funds""</t>
  </si>
  <si>
    <t>Reimbursement of costs to mobile operators</t>
  </si>
  <si>
    <t>In order to compensate mobile operators for expenses incurred in sending roaming customers who have registered on the Latvian network of mobile operators SMS notification during the period from 28 September 2020 to 31 December 2020.</t>
  </si>
  <si>
    <t>Cabinet Order No.676 "On Allocation of Financial Resources from the State Budget Program "Contingency Funds""</t>
  </si>
  <si>
    <t>In order to ensure the functionality of the Social Security Information System  of the SSIA</t>
  </si>
  <si>
    <t>eur 94 604 to ensure the functionality of the Social Security Information System</t>
  </si>
  <si>
    <t>Cabinet Order No.598 "On Allocation of Financial Resources from the State Budget Program "Contingency Funds""</t>
  </si>
  <si>
    <t>for the development of the Information System "Migrant Account Control Information System"</t>
  </si>
  <si>
    <t>Allocate funding of up to EUR 36 300 to the Ministry of Interior for the development of the Information System "Migrant Tracking Information System" in 2020 and EUR 30 000 in 2021</t>
  </si>
  <si>
    <t>To cover expenses related to the development of the electronic identification tool for natural persons “United Application Module” for the provision of the vaccination process against Covid-19 infection</t>
  </si>
  <si>
    <t>Ministry of Environmental Protection and Regional Development</t>
  </si>
  <si>
    <t>To provide the Ministry of Environmental Protection and Regional Development (State Regional Development Agency) with funding of EUR 127,631 to cover expenses incurred in connection with the development of the electronic identification tool “United Application Module” for fisical persons to ensure the vaccination process against Covid-19 infection</t>
  </si>
  <si>
    <t>Cabinet Order No. 261 "On Allocation of Financial Funds from the State Budget Program "Contingency Funds"</t>
  </si>
  <si>
    <t>Provide the Ministry of Justice (Prisons Administration) with funding of up to € 518,730 to provide allowances from 1 April 2020 to 31 May 2020 to employees of the Prisons Administration of the Ministry of Justice who have been directly involved in the aftermath of Covid-19 on work in high-risk and high-risk public health situations related to the Covid-19 outbreak and its consequences.</t>
  </si>
  <si>
    <t>Cabinet Order No. 446 "On Allocation of Financial Funds from the State Budget Program "Contingency Funds"</t>
  </si>
  <si>
    <t>Human capital - to organize a public information campaign to motivate people to learn throughout their lives. It also provides funding to CSB for the monitoring of university graduates</t>
  </si>
  <si>
    <t>Monitoring of graduates of universities and vocational education institutions. Public awareness campaign, motivating citizens to learn throughout their lives and for companies to invest in human capital. Impact according to the Cabinet of Ministers Information Report of 02.09.2020 "On Measures for Overcoming the Covid-19 Crisis and Economic Recovery for 2020 and 2021".2021 funding in Budget Bases</t>
  </si>
  <si>
    <t>Cabinet Order No. 381 of 15 July 2020 "On Allocation of Financial Funds from the State Budget Program 02.00.00 Funds for Contingencies"</t>
  </si>
  <si>
    <t>To compensate for the damage caused by regional bus and train transport as a result of the safety and social distancing measures in public transport during the emergency to limit the spread of Covid-19 and to mitigate the consequences of the emergency (EUR 6 325 393).
To compensate for the costs of providing a passenger transport service for persons arriving from abroad on repatriation flights (EUR 16 365).</t>
  </si>
  <si>
    <t>Order No. 391 of the Cabinet of Ministers of 15 July 2020 "On Allocation of Financial Funds to the State Joint Stock Company "Latvijas dzelzceļš""</t>
  </si>
  <si>
    <t>In order to ensure the reimbursement of expenses specified in regulatory enactments regarding the use of the state public use railway infrastructure for the transportation of railway passengers, which is provided in connection with a public service contract (EUR 14 225 226).
To ensure the advance payment of the financial balance of the infrastructure manager specified in regulatory enactments (EUR 13 011 000).</t>
  </si>
  <si>
    <t>Order No. 392 of the Cabinet of Ministers of 15 July 2020 "On the Increase of the Share Capital of the State Joint Stock Company "Latvijas dzelzceļš""</t>
  </si>
  <si>
    <t>Cabinet Order No. 669 of 15 July 2020 "On Allocation of Financial Funds from the State Budget Program 02.00.00 Funds for Contingencies"</t>
  </si>
  <si>
    <t>Cabinet of Ministers No. 363 On Allocation of Financial Resources from the State Budget Program "Contingency Funds"</t>
  </si>
  <si>
    <t>Cabinet Order No. 363 of 30 June 2020 allocated EUR 5,000,000 to the Ministry of Education and Science from the program 02.00.00 "Contingency Funds" to reduce the impact of the negative consequences of the Covid-19 crisis on the sports sector</t>
  </si>
  <si>
    <t>Funding for demographic improvement in 2021</t>
  </si>
  <si>
    <t>16.06.2020 The Cabinet of Ministers has decided - In order to ensure the planned expansion of the housing guarantee program in the next three (2021-2023) budget years, to allocate the necessary financing (534,460 euros per year and in the total amount of 1,603,380 euros). The remaining funding is reserved in the redeployment.Funding in budget bases</t>
  </si>
  <si>
    <r>
      <t>Sustainable development of innovative technologies in the Ministry of the Interior. Impact according to the Cabinet of Ministers Information Report of 02.09.2020 "On Measures for Overcoming the Covid-19 Crisis and Economic Recovery for 2020 and 2021"</t>
    </r>
    <r>
      <rPr>
        <sz val="11"/>
        <color theme="1"/>
        <rFont val="Calibri"/>
        <family val="2"/>
        <charset val="186"/>
        <scheme val="minor"/>
      </rPr>
      <t>. Funding in budget bases</t>
    </r>
  </si>
  <si>
    <t>Provision of the State Border Guard and State Fire and Rescue Service officials with special service ranks with the necessary uniforms. Impact according to the Cabinet of Ministers Information Report of 02.09.2020 "On Measures for Overcoming the Covid-19 Crisis and Economic Recovery for 2020 and 2021". Funding in budget bases</t>
  </si>
  <si>
    <t>Cabinet of Ministers No. 560 On Allocation of Financial Resources from the State Budget Program "Contingency Funds"</t>
  </si>
  <si>
    <t>Cabinet of Ministers No. 619 On Allocation of Financial Resources from the State Budget Program "Contingency Funds"</t>
  </si>
  <si>
    <t>Ministry of Culture</t>
  </si>
  <si>
    <t>18.06.2020 Cabinet of Ministers Order No. 340 with amendments No. 722 02.12.2020 (protocol No. 78 § 14) Allocation of EUR 246,900 financing to the Latvian Ethnographic Open-Air Museum - for the restoration of the heating system and restoration works of the museum exhibits and transfer of EUR 42,100 to the state limited liability company "Latvian National Opera and Ballet" to ensure the partial construction of the pre-emergency fire-fighting and notification system of the state-owned real estate on Aspazijas boulevard 3, Riga, including the installation and connection of an external lightning conductor in accordance with the developed project</t>
  </si>
  <si>
    <t>18.06.2020 Cabinet of Ministers Order No. 339 with amendments No. 631 30.10.2020 (protocol No. 65 § 21) and No. 721 02.12.2020 (protocol No. 78 § 13) allocation of EUR 9,638,089 funding to the State Cultural Capital Fund for Culture to develop the offer and ensure the sustainability of cultural institutions; EUR 2,873,089 to the Ministry of Culture for the development of the cultural offer, including in the institutions subordinate to the Ministry of Culture and EUR 2,000,000 to the National Cinema Center for the production of new Latvian films, including series</t>
  </si>
  <si>
    <t>Cabinet Order No. 303 "On Allocation of Financial Funds from the State Budget Program "Contingency Funds"</t>
  </si>
  <si>
    <t>05.06.2020 Cabinet Order No. 303 with amendments No. 394 16.07.2020 (protocol No. 44 § 48) and No. 630 30.10.2020 (protocol No. 65 § 20) allocation of EUR 10,613,063 financing in order to stabilize financial situation in capital companies in which the Ministry of Culture is a holder of state capital shares, 2,696,743 euros in order to stabilize the financial situation in the National Library of Latvia, the National Archives of Latvia and museums subordinate to the Ministry of Culture</t>
  </si>
  <si>
    <t>Cabinet Order No. 548 "On Allocation of Financial Funds from the State Budget Program "Contingency Funds"</t>
  </si>
  <si>
    <t>EUR 666 267 to ensure remote learning and on-site studies, taking into account the measures adopted to limit the spread of Covid-19 infection</t>
  </si>
  <si>
    <t>Cabinet Order No. 43 "On Allocation of Financial Funds from the State Budget Program "Contingency Funds"</t>
  </si>
  <si>
    <t>Support to the NGO Covid-19 to mitigate the negative effects of the crisis</t>
  </si>
  <si>
    <t xml:space="preserve">The aim of the program is to provide support to the activities of NGOs, including such activities, which are implemented in addition to the activities performed by state and local government institutions to mitigate the negative consequences of the Covid 19 crisis in all regions of Latvia._x000D_
1) Funding available for the implementation of projects in the program - 564,000 euros;_x000D_
(2) The financial envelope for the administration of the program shall be EUR 36 000. </t>
  </si>
  <si>
    <t>Identifying the information provided by the ticket distribution network on the tickets purchased in systems for cultural events during the period from 9 November to 6 December 2020, the amount of funding required to reimburse tickets and the administrative costs of the support measure amount to approximately EUR 1,083,481. Support will be provided in 2021 by reallocating appropriations from the 2021 funding of the Latvian School Bag program, taking into account the resources saved in 2020.</t>
  </si>
  <si>
    <t>The investment in the share capital in the amount of 220,000 euros is directed to the purposes provided for in local estimate No.1-1 - construction of an automatic fire detection and alarm system in the Historic Building.</t>
  </si>
  <si>
    <t>Cabinet Order No. 21 "On Allocation of Financial Funds from the State Budget Program "Contingency Funds</t>
  </si>
  <si>
    <t>The State Cultural Capital Fund for the implementation of the target programme for the period from 1 January 2021 to 30 June 2021, partially offsetting current expenditure incurred by organisations during the period of constraint to ensure their continuity</t>
  </si>
  <si>
    <t>Funding of EUR 3 000 000 is planned for the implementation of the target program, providing that funding will be allocated to an average of 110 organizations per month over a six-month period, with an average of EUR 4 469 per organization per month. The financing of the target program will also be paid for the service of an independent evaluator, the costs of which will be determined as a result of the procurement, currently for this purpose the expenditure in the amount of 50,460 euros (including value added tax) is planned.</t>
  </si>
  <si>
    <t>Draft Regulations "Support for Entrepreneurs in the Arts, Entertainment and Leisure Sectors Affected by the Spread of Covid-19"</t>
  </si>
  <si>
    <t>For entrepreneurs who organize regular public art, entertainment and recreation events</t>
  </si>
  <si>
    <t>Allocate EUR 6 000 000 to the Ministry of Culture for the transfer to Altum Development Finance Institution for support to companies organizing permanent public art, entertainment and leisure activities to mitigate the negative effects of the Covid-19 crisis on the arts, entertainment and leisure sectors.</t>
  </si>
  <si>
    <t>Support related to the tourism sector</t>
  </si>
  <si>
    <t>Cabinet Order No. 334 "On Allocation of Financial Funds from the State Budget Program "Contingency Funds</t>
  </si>
  <si>
    <t>Funding to allow the consumer rights Protection centre to cover the costs of repatriation for tour operators affected by the spread of The Covid-19.</t>
  </si>
  <si>
    <t>With budget funding not exceeding EUR 800 000 in total, it is planned to grant grants to the indicative 6 tour operators (the indicative costs collected by surveying tour operators will be adjusted by a certified calculation from the operators). The necessary funding has been reduced by EUR 160 000 in view of implementation.</t>
  </si>
  <si>
    <t>Regulations "Amendments to Cabinet Regulation No. 455 of 14 July 2020" Procedure for Granting Support to Economic Operators in the Tourism Sector Affected by Covid-19 ""</t>
  </si>
  <si>
    <t>Financing of tourism operators (hotels)</t>
  </si>
  <si>
    <t>The aid to the target group of beneficiaries is indicative of 200 hotels to which eur 4 746 290 is planned to be channelled, i.e. an average of EUR 23 731 per applicant.</t>
  </si>
  <si>
    <t>Cabinet Order No. 20 "On Allocation of Financial Funds from the State Budget Program "Contingency Funds</t>
  </si>
  <si>
    <t>Cabinet Order No. 796 "On Allocation of Financial Funds from the State Budget Program "Contingency Funds</t>
  </si>
  <si>
    <t>Support in the form of vouchers (up to 45 euros) for isolation in hotels. The aim of the aid is to reduce the risk of infection in households</t>
  </si>
  <si>
    <t>45 (euro) x 14 (days) x 1150 (number of persons) x 3 (months) = EUR 2 173 500</t>
  </si>
  <si>
    <t>Activities of the Ministry of Foreign Affairs. Included in budget bases</t>
  </si>
  <si>
    <t>For insulation of buildings</t>
  </si>
  <si>
    <t>Cabinet Order No.384 "On Allocation of Financial Funds from the State Budget Program "Contingency Funds</t>
  </si>
  <si>
    <t>Financing for the development of standard building projects for multi-apartment buildings</t>
  </si>
  <si>
    <t>To provide the Ministry of Economics with funding not exceeding EUR 426 084 for the development of standard construction projects for multi-apartment buildings using construction products and construction works manufactured or obtainable in Latvia in order to mitigate the negative impact of the Covid-19 crisis on the economy and stimulate economic development. Redistributed within the Ministry of Economics</t>
  </si>
  <si>
    <t>Support for national social care centres</t>
  </si>
  <si>
    <t>Cabinet Order No. 399 "On Allocation of Financial Funds from the State Budget Program "Contingency Funds"</t>
  </si>
  <si>
    <t>In order to ensure the prevention of covid-19 prevalence and mass infection in 2020 and the reduction of disease risks in the national social care centres under the Ministry of Welfare</t>
  </si>
  <si>
    <t>1. EUR 118 583 to cover expenditure on the Covid-19 anti-epidemic measures, of which EUR 1825 for expenditure on special conditions and additional work and EUR 116 758 for goods and services (disinfectants and personal protective equipment); purchase of protective equipment);
2. EUR 405 462 for capital formation to promote customer safety and reduce the risk of infection with Covid-19, of which EUR 277 500 for the refurbishment (construction) of video surveillance systems, EUR 36 365 for the purchase and installation of automatic gates, installation of activity areas for the State Social Care Center “Riga” branch “Teika” and branch “Ezerkrasti” 21,430 euros, for the purchase of automatic surface disinfection equipment 49,167 euros and for the purchase of disinfection lamps 21,000 euros.</t>
  </si>
  <si>
    <t>Redistribution of funds to Ministry of Welfare to allocate funds to national social care centres for the provision of supplements and personal protective equipment</t>
  </si>
  <si>
    <t>EUR 1,064,652 for motivating employees of state social care centers;
EUR 198,958 for national social care centers to replenish protective supplies of Covid-19 to prevent the spread of mass infection;
EUR 16,458 for the reimbursement of expenses related to the implemented Covid-19 anti-epidemic measures in the state social care centers;
To the State Agency for Social Inclusion for the reimbursement of expenses related to the implemented Covid-19 anti-epidemic measures in the amount of EUR 7 546 (expenses for the purchase of disinfectants and personal protective equipment).</t>
  </si>
  <si>
    <t>Cabinet Order No.17 "On Allocation of Financial Funds from the State Budget Program "Contingency Funds"</t>
  </si>
  <si>
    <t>Allowances of up to 50% of monthly salary for staff in care</t>
  </si>
  <si>
    <t>In order to provide a supplement of up to 50% of the monthly salary for high-risk care staff in the period from 1 December 2020 to 30 June 2021, if a Covid-19 infection has been detected in clients in an institution providing social services with accommodation, including:
1) in the amount of up to 3,147,212 euros in institutions where social services are provided by a social service provider established by the local government or one who has entered into an agreement with the local government regarding the provision of the services mentioned (50% of the local government's actual additional remuneration expenses);
2) in the amount of up to EUR 5,076,644 to a state-established social service provider or a service provider who has entered into an agreement with the Ministry of Welfare regarding the provision of social services (in the amount of 100% of the actual additional remuneration expenses of the institutions).</t>
  </si>
  <si>
    <t>In order to ensure from 1 January 2021 to 31 March 2021 in institutions where social services with accommodation are provided by a local government or state-founded social service provider or a service provider who has entered into an agreement with the local government or the state for the provision of the said services, personal protective equipment and disinfectants purchased for Covid-19 infection control measures</t>
  </si>
  <si>
    <t xml:space="preserve">EUR 668 811, for institutions where social services are provided by a social service provider established by the local government or a service provider who has entered into an agreement with the local government for the provision of the said services (in the amount of 50% of the local government's actual additional expenses);_x000D_
EUR 376,806 to a state-established social service provider or a service provider who has a contract with the Ministry of Welfare for the provision of social services (in the amount of 100% of the actual additional expenses of the institutions). </t>
  </si>
  <si>
    <t>School of Public Administration for financial stabilisation</t>
  </si>
  <si>
    <t>Cabinet Order No.443 "On Allocation of Financial Funds from the State Budget Program "Contingency Funds"</t>
  </si>
  <si>
    <t>Grant €74,992 in funding to the School of Public Administration to mitigate the negative impact of the Covid-19 crisis and to stabilise the financial situation at the School of Public Administration</t>
  </si>
  <si>
    <t>Grant for current assets</t>
  </si>
  <si>
    <t>Grants (or aid available amount) for the company are set at 30% of the total amount of the company's gross wages and salaries paid in August, September and October 2020, up to a maximum of EUR 50 000 per aid period, and a maximum of EUR 800 000 for a related group of persons</t>
  </si>
  <si>
    <t>Within the framework of the draft Regulations of the Cabinet of Ministers, 110 thousand companies with a total gross monthly salary fund of 256.9 million euros could apply for support. Taking into account the limit of 20% drop, the experience that usually fewer people apply than originally planned, as well as the limit of receiving no more than 50 thousand euros, the Ministry of Economics assumes that a total of 70.8 million euros may be needed to implement the program. The aid will be available to a company whose not only turnover in the month of the aid period (November or December 2020) has fallen by at least 20% compared to the average turnover in August, September and October 2020 combined, but also in a given month of the aid period (2020 November or December) is a decrease in turnover of at least 30% compared to the turnover in the respective month of 2019 (November or December 2019). 07.01.2021. the change stipulates that a company whose turnover in the month of the support period (instead of November or December 2020) has decreased by at least 20% compared to the average turnover in August, September and October 2020 together, and which in the month of the support period (not in November or December 2020) the turnover has decreased by at least 30% compared to the turnover in the respective month of 2019.</t>
  </si>
  <si>
    <t>Allowances for national probation service staff</t>
  </si>
  <si>
    <t>Cabinet Order No.756 "On Allocation of Financial Funds from the State Budget Program "Contingency Funds"</t>
  </si>
  <si>
    <t>Providing cash prizes to employees of the State Probation Service under increased intensity and load conditions during the implementation of the measures necessary to limit the spread of Covid-19 infection</t>
  </si>
  <si>
    <t>The necessary additional funding for the payment of cash prizes to 319 employees and mandatory state social insurance contributions to the state budget (393,291 euros) will be redistributed from budget department 74 program 02.00.00 "Contingency funds" to Ministry of justice basic budget program 99.00.00 "Use of contingency funds". In turn, funding for the payment of cash prizes to 73 employees (107,522 euros) will be provided within the funds allocated to the Ministry of justice budget sub-program 04.03.00 "Implementation of probation", taking into account the balance of funds related to periodic vacancies and temporary incapacity for work (Sickness pages B).</t>
  </si>
  <si>
    <t>To overcome the crisis caused by Covid-19 for local governments</t>
  </si>
  <si>
    <t>In order to ensure a one-off additional grant for the implementation of Covid-19 crisis management and mitigation measures to municipalities with adjusted income at least 10% lower than the national average income and the unemployment rate is higher than the national average.</t>
  </si>
  <si>
    <t xml:space="preserve">Funding is granted to local governments whose adjusted income per unit to be equalized in 2021 is lower than 427 euros and the unemployment rate in the last five months of 2020 is higher than 6.0%._x000D_
Taking into account the above conditions, funding is allocated to 33 municipalities. </t>
  </si>
  <si>
    <t>Cabinet Regulation No. 299 "Regulations on State Aid for Short-Term Loans in Agriculture to Reduce the Negative Impact of Covid-19"</t>
  </si>
  <si>
    <t>In order to stabilise the cash flow for agricultural producers by providing for short-term loans from the amount of the advance payment for the single area payment, or the calculated final payment for the single area payment for the current year for the area determined.</t>
  </si>
  <si>
    <t>In 2020, the total funding for short-term loans is estimated at EUR 59 840 000. The draft regulation provides for a minimum loan amount of EUR 700 and the total number of applicants is approximately 15 249, with a total area of 1 496 000 ha applied for for the single area. For one applicant, the total amount of the loan shall be calculated at a rate of EUR 40 per ha. In 2020, rural suport service paid out a single area payment loan of 1533 farmers for a total amount of EUR 11.06 million Eur.</t>
  </si>
  <si>
    <t>With the aim of making it easier and faster to react by mitigating the consequences for the most affected areas and their populations of the Member States, amendments to eu funds regulations allow Member States to restructure their investments by extending the scope of eligibility of expenditure and by allowing amendments to the operational programmes of EU funds of the Member States before an EC formal decision.</t>
  </si>
  <si>
    <t>Cabinet Regulation No. 347 of 02.06.2020 Procedures for Granting State and European Union Support  "Temporary Suspension of Fishing Activities"
Cabinet Regulation No. 348 of 2 June 2020 "Amendments to Cabinet Regulation No. 348 of 11 August 2015 458" "Procedures for Granting State and European Union Support" "Processing of Fishery and Aquaculture Products" "";
Cabinet Regulation No. 349 of 2 June 2020 "Procedure for Granting State and European Union Support" Measures in the Field of Public Health "to Reduce the Negative Impact of the Spread of Covid-19"
Cabinet Regulation No. 350 of 02.06.2020 "" Procedures for Granting State and European Union Support "" Storage Support "" ""</t>
  </si>
  <si>
    <t>EU funds state budget surplus * - Building insulation, health infrastructure, support for companies (ALTUM). * (1) In accordance with Section 1, Clause 15 of the EU Funds Management Period 2014–2020 Management Law, “excess liabilities” means “additional obligations to make payments from the state budget to cover eligible expenses that exceed EU fund financing and eligible state budget co-financing amount ”- ie additional obligations to make payments from the state budget to cover eligible expenses with the aim to ensure full use of EU funds at the end of the programming period, taking into account potential ineligible expenses, discontinued projects, savings, delays and other risks that may have a negative impact. Commitments include EU funding and co-financing from the state budget where necessary. (2) Article 21 of the Law on the Medium-Term Budget Framework for 2020, 2021 and 2022. In order to ensure the neutral impact of over-commitments on the general government budget balance within the framework of the EU Structural Funds and Cohesion Fund Operational Program "Growth and Employment", over-commitments are compensated from EU funding until the end of the programming period.</t>
  </si>
  <si>
    <t>Additional  ES funds over-commitment</t>
  </si>
  <si>
    <t>Information report on measures financed under the European Agricultural Fund for Rural Development and the European Maritime and Fisheries Fund under over-commitment</t>
  </si>
  <si>
    <t>Excess commitments of the Ministry of Agriculture in the 2014–2020 programming period in 2014–2020 measures with funding in the amount of 58,000,000 euros, including four percent for M20 measure“ Technical assistance ”or 2,320,000 euros, in the following measures:_x000D_
2.1. M4. in the measure “Investments in tangible assets” with over-commitment financing in the amount of EUR 47,570,018;_x000D_
2.2. M8. in the measure Investments in the expansion of forest areas and improvement of forest viability" with over-commitment financing in the amount of EUR 8 109 982. "</t>
  </si>
  <si>
    <t>Ziņojumu MK skatīja 11.08.2020 (protokols Nr.47) un pielēma par 3 milj. mazākas papildu virssaistības – 70,43 milj. eiro (iepriekš 73,4 milj. eiro). 2.1.  1.1.1.1. pasākuma "Praktiskas ievirzes pētījumi" īstenošanai Izglītības un zinātnes ministrijai 11,0 miljonus EUR;
     2.2.  1.1.1.5. pasākuma "Atbalsts starptautiskās sadarbības projektiem pētniecībā un inovācijās" īstenošanai Izglītības un zinātnes ministrijai 0,48 miljonus EUR;
     2.3. 1.2.2. specifiskā atbalsta mērķa "Veicināt inovāciju ieviešanu komersantos" īstenošanai Ekonomikas ministrijai 19,7 miljonus EUR;
     2.4.  4.2.1.1. pasākuma "Veicināt energoefektivitātes paaugstināšanu dzīvojamās ēkās" īstenošanai Ekonomikas ministrijai 15,0 miljonus EUR;
     2.5. 8.2.3. specifiskā atbalsta mērķa "Nodrošināt labāku pārvaldību augstākās izglītības institūcijās" īstenošanai Izglītības un zinātnes ministrijai 7,86 miljonus EUR;
     2.6. 9.3.2. specifiskā atbalsta mērķa "Uzlabot kvalitatīvu veselības aprūpes pakalpojumu pieejamību, jo īpaši sociālās, teritoriālās atstumtības un nabadzības riskam pakļautajiem iedzīvotājiem, attīstot veselības aprūpes infrastruktūru" īstenošanai Veselības ministrijai 16,4 miljonus EUR. FM strādā pie plāna, kādā apmērā līdzekļi 2021.-2024.gados tiks izlietoti</t>
  </si>
  <si>
    <t>Finansējums rezrvēts ar MK 02.06.2020. sēdē izskatīto informatīvo ziņojumu "Par pasākumiem Covid-19 krīzes pārvarēšanai un ekonomikas atlabšanai" - 58  milj. euro pasākumam "Finansējums zemkopības nozarē modernizācijai" un piešķiršana atbalstīta ar MK 14.07.2020. sēdes prot. Nr.44 57.§  2.p.
Budžeta projektā ZM iestrādātais finansējums: 2021 - 26,82 milj. eiro, 2022 - 21,50 milj. eiro un 2023 - 9,68 milj. eiro. 
ZM norāda, ka ievērojot plānošanas periodā LAP 2014–2020 noteikto līdzfinansējumu likmju proporciju, šo pasākumu īstenošana tiek turpināta ar identiskām likmēm. 20.07.2020. ZM iesniedza līdzfinansējuma likmes 68% ik gadu ELGF projektu īstenošanai. Papildus skaidrojot, ka virssaistību uzņemšanās nodrošinās sekmīgu "aploksnes" apgūšanu, neradot pilnu ietekmu uz budžeta bilanci. 2021: 26,82*32%=8,6 milj. eiro. 2022: 21,50*32%=6,9 milj. eiro. 2023: 9,68*32%=3,1 milj. eiro. Tiek gaidīta ZM informācija par plānoto izpildi pa gadiem.</t>
  </si>
  <si>
    <t>10.11.2020. 01.12.2020 08.12.2020 07.01.2021 12.01.2021 18.02.2021</t>
  </si>
  <si>
    <t>Lai nodrošinātu teorētiskās un praktiskās mācības ārstniecības personām par vakcināciju pret Covid – 19</t>
  </si>
  <si>
    <t>MK rīk. Nr.99 "Par finanšu līdzekļu piešķiršanu no valsts budžeta programmas "Līdzekļi neparedzētiem gadījumiem""</t>
  </si>
  <si>
    <t>Saskaņā ar tirgus izpētes rezultātiem “Teorētiskās un praktiskās mācības ārstniecības personām par vakcināciju pret Covid-19” izvēlētais pakalpojuma sniedzējs ir Rīgas Stradiņu universitāte. Tiek plānots apmācīt kopā 500 ārstniecības personas. 
Vienas vienības izmaksas 80 bez PVN (EUR), Kopējā summa 40 000 (bez PVN) (EUR), 48 400 (ar PVN) (EUR)</t>
  </si>
  <si>
    <t>Lai nodrošinātu finansējumu samaksai par individuālajām konsultācijām vispārējās izglītības iestāžu skolotājiem un atbalsta personālam, kā arī profesionālās izglītības iestāžu vispārizglītojošo mācību priekšmetu skolotājiem, kas sagatavo izglītojamos valsts pārbaudes darbiem, Covid-19 pandēmijas laikā.</t>
  </si>
  <si>
    <t>Mērķprogrammas „Radošo personu nodarbinātības programma” īstenošanai – atbalsta sniegšanai radošām personām no 2021.gada 1.janvāra līdz 2021.gada 30.jūnijam, lai mazinātu Covid-19 krīzes radīto negatīvo seku ietekmi uz kultūras nozari</t>
  </si>
  <si>
    <t>Piešķirs radošo stipendiju 650 euro apmērā radošā darba veikšanai vidēji trīs mēnešu periodā, tādējādi piešķirot 1 000 stipendijas, savukārt 50 000,00 euro tiks novirzīti Valsts kultūrkapitāla fonda administratīvo izmaksu segšanai – projektu iesniegumu vērtēšanas nodrošināšanai</t>
  </si>
  <si>
    <t>Iekšlietu ministrijas Informācijas centram, lai ieviestu drošus tehnoloģiskos rīkus un risinājumu izmantošanu robežu pārvaldības stiprināšanai un epidemioloģisko risku mazināšanai (ViedX).</t>
  </si>
  <si>
    <t>Kopā  nepieciešams finansējums 819 650 euro apmērā (Iekšlietu ministrijas Informācijas centram), tajā skaitā: 
 - projekta izmaksas kopā 769 650 euro;
 - iekārtu uzstādīšanas izmaksas 50 000 euro.</t>
  </si>
  <si>
    <t>Covid-19 testēšanas politikas mērķu sasniegšanai, veicinot Covid-19 testēšanas jaudas palielināšanu Latvijā un ņemot vērā laboratoriju kopējo testēšanas kapacitāti</t>
  </si>
  <si>
    <t>MK rīk. Nr.100 "Par finanšu līdzekļu piešķiršanu no valsts budžeta programmas "Līdzekļi neparedzētiem gadījumiem""</t>
  </si>
  <si>
    <t>Lai nodrošinātu Covid-19 testēšanas politikas mērķu sasniegšanu, veicinot esošās Covid-19 testēšanas jaudas palielināšanu Latvijā, ņemot vērā laboratoriju kopējo testēšanas kapacitāti un savlaicīgi nodrošinātu jaunu infekcijas vīrusu celmu vai paveidu agrīnu atklāšanu, līdz ar to pilnveidojot un attīstot vīrusa sekvencēšanas metodi 2021. gadam papildus nepieciešami 83 232 508 euro. 65 042 948 euro ir   atbilstoši MK 08.12.2020 informatīvajam ziņojumam “Veselības nozares kapacitātes celšana un noturības stiprināšana Covid-19 apstākļos Latvijā”</t>
  </si>
  <si>
    <t>Rīkojums Nr.101"Par apropriācijas palielināšanu Veselības ministrijai"</t>
  </si>
  <si>
    <t>Lai nodrošinātu savlaicīgu jaunu infekcijas vīrusu celmu vai paveidu agrīnu atklāšanu, tādējādi pilnveidojot un attīstot vīrusa sekvencēšanas metodi</t>
  </si>
  <si>
    <t>Palielināt dotāciju no vispārējiem ieņēmumiem un apropriāciju Veselības ministrijas budžeta apakšprogrammā 33.17.00 "Neatliekamās medicīniskās palīdzības nodrošināšana stacionārās ārstniecības iestādēs" finansēšanas kategorijā "Akcijas un cita līdzdalība pašu kapitālā" 192 088 euro apmērā . Par minēto summu ar finanšu ieguldījumu palielināt pamatkapitālu sabiedrībai ar ierobežotu atbildību “Rīgas Austrumu klīniskā universitātes slimnīca”.</t>
  </si>
  <si>
    <t>Vakcīju iegādei</t>
  </si>
  <si>
    <t>Piešķirt Veselības ministrijai finansējumu 294 875 euro apmērā, lai segtu vakcīnas pret Covid-19 (vakcīnu ražotāju "Valneva" un "Novavax" ) iegādes, ievades un loģistikas izdevumus.</t>
  </si>
  <si>
    <t>Informatīvais ziņojums "Par vakcīnām pret Covid-19 Valneva un Novavax papildus devu pasūtījumu"</t>
  </si>
  <si>
    <t>Garantijas grūtībās nonākušajiem lielajiem komersantiem</t>
  </si>
  <si>
    <t xml:space="preserve">Atbalsta programmas grūtībās nonākušajiem lielajiem komersantiem garantiju veidā </t>
  </si>
  <si>
    <t>Piešķirt Aizsardzības ministrijai (Valsts aizsardzības loģistikas un iepirkuma centram) finansējumu, lai nodrošinātu Ministru kabineta 2020. gada 9. jūnija noteikumos Nr. 380 “Noteikumi par prioritāro institūciju un vajadzību sarakstā iekļautajām institūcijām nepieciešamajiem epidemioloģiskās drošības nodrošināšanas resursiem” minēto SARS-CoV-2 antigēna noteikšanas testu un pulsa oksimetru iegādes”</t>
  </si>
  <si>
    <t>Pabalsts ģimenēm ar bērniem</t>
  </si>
  <si>
    <t>According to the informative report “Capacity Building of the Health Sector and Strengthening Sustainability in Covid-19 Conditions in Latvia”, additional state budget funding in the amount of 244,578,642 euros is required for the implementation of the measures included in Article 7 of Cabinet Meeting No. 81. In its turn, funding in the amount of 56,782,929 euros is included in the annotation of the Cabinet Regulation “Amendments to Cabinet Regulation No. 555 of 28 August 2018 “Procedures for Organization and Payment of Health Care Services”” (§ 78 of the Cabinet meeting No.84 17.12.2020), funding of 341,069 euros Sub-paragraph 1.15 of Cabinet Order No. 2 of 5 January 2021 “On Allocation of Financial Resources from the State Budget Program“ Contingency Funds ”and financing of 3,545,726 euros is included in Cabinet Order No. 5 of 19 January 2021“ On Allocation of Financial Resources from the State Budget Program “Contingency Funds” ”(§ 5 of Protocol No. 7). In view of the above, the amount of EUR 97 248 378 (244 578 642 -56 782 929 - 341 069 - 3 545 726 -21 617 592 - 65 042 948 = 97 248 378) should be entered in the column "Approved aid". Balance 97.2 mln. EUR of which 42.97 (previously 51.3) million will be financed from EU funds.</t>
  </si>
  <si>
    <t>Cabinet of Ministers Order No. 99 "On the Allocation of Financial Resources from the State Budget Program" Contingency Funds ""</t>
  </si>
  <si>
    <t>In order to provide theoretical and practical training for medical practitioners on vaccination against Covid - 19</t>
  </si>
  <si>
    <t>D7</t>
  </si>
  <si>
    <t>"According to the results of the market research" Theoretical and practical training for medical personnel on vaccination against Covid-19 ", the selected service provider is Riga Stradiņš University. It is planned to train a total of 500 medical personnel.
Unit cost 80 excluding VAT (EUR), Total amount 40 000 (excluding VAT) (EUR), 48 400 (including VAT) (EUR) "</t>
  </si>
  <si>
    <t>Cabinet of Ministers Order No. 100 "On the Allocation of Financial Resources from the State Budget Program" Contingency Funds ""</t>
  </si>
  <si>
    <t>To achieve the objectives of the Covid-19 testing policy by promoting the increase of Covid-19 testing capacity in Latvia and taking into account the total testing capacity of laboratories</t>
  </si>
  <si>
    <t>To ensure the achievement of Covid-19 testing policy objectives by promoting the increase of existing Covid-19 testing capacity in Latvia, taking into account the overall testing capacity of laboratories and early detection of new infectious virus strains, thus improving and developing the virus sequencing method for 2021 an additional € 83,232,508 is required. 65,042,948 euros is in accordance with the informative report of the Cabinet of Ministers of 08.12.2020 “Capacity building and strengthening of sustainability in the health sector in Covid-19 conditions in Latvia”</t>
  </si>
  <si>
    <t>To provide funding for individual counseling for general education teachers and support staff, as well as for general education teachers in vocational education institutions preparing students for national tests during the Covid-19 pandemic.</t>
  </si>
  <si>
    <t>1.1. EUR 11,587,090 to the Ministry of Education and Science;
1.2. EUR 682 804 to the Ministry of Education and Science;
1.3. EUR 2 602 for the Ministry of Agriculture;
1.4. EUR 2,278 to the Ministry of Welfare;
1.5. EUR 37 102 for the Ministry of Culture.</t>
  </si>
  <si>
    <t>For Information Center of the Ministry of the Interior to implement secure technological tools and solutions for strengthening border management and reducing epidemiological risks (ViedX).</t>
  </si>
  <si>
    <t>A total of 819,650 euros (for the Information Center of the Ministry of the Interior) is required, including:
  - total project costs EUR 769,650;
  - equipment installation costs 50,000 euros.</t>
  </si>
  <si>
    <t>For the implementation of the target program “Employment Program for Creative Persons” - to provide support to creative persons from 1 January 2021 to 30 June 2021 in order to reduce the negative consequences of the Covid-19 crisis on the cultural sector</t>
  </si>
  <si>
    <t>A creative scholarship in the amount of 650 euros will be awarded for performing creative work in an average period of three months, thus awarding 1,000 scholarships, while 50,000.00 euros will be directed to cover the administrative costs of the State Cultural Capital Fund - to ensure the evaluation of project applications</t>
  </si>
  <si>
    <t>Pursuant to Paragraph 3 of Section 49 of the Cabinet of Ministers Meeting No. 38 of 2 June 2020: Within the framework of Priority 3 "Competitiveness of Small and Medium-Sized Enterprises", the over-liabilities of EU funds allocated to the Ministry of Economics euro will be used 1.2.1. Specific support objective “Increase private sector investment” 1.2.1.3. Regulations for the Implementation of the Measure “Loans and Loan Interest Rate Subsidies to Entrepreneurs for the Promotion of Competitiveness” EUR 15 million and the Investment Fund EUR 10 million.
The Ministry of Economics plans to use the EUR 20 million allocated under Priority 4 "Transition to a low-carbon economy in all sectors" to promote energy efficiency in residential buildings. Corresponding amendments to the implementing rules of the specific support objective measure have already been submitted to the MoF for approval.
Within the framework of Priority  9 "Social Inclusion and Fight against Poverty", 26 million euros allocated to the Ministry of Health are planned to be used to renovate the building of the Latvian Oncology Center (hereinafter - LOC) prepare LOC facilities for the treatment of chronic diseases of patients with infectious diseases and continuation of treatment courses.
The impact is expected in 2024, when there will be clarity on the amount of balances / canceled over-commitments. The Ministry of Finance is working on a plan to what extent the funds will be spent in 2021-2024.</t>
  </si>
  <si>
    <t>"The report was reviewed by the Cabinet of Ministers on 11.08.2020 (No. 47) and additional liabilities of 3 million less were accepted - 70.43 million euros (previously 73.4 million euros). 2.1. Measure 1.1.1.1" Practical orientation research "" EUR 11.0 million for the Ministry of Education and Science for implementation;
     2.2. 1.1.1.5. EUR 0.48 million for the Ministry of Education and Science for the implementation of the measure "Support for International Cooperation Projects in Research and Innovation";
     2.3. 1.2.2. EUR 19.7 million for the implementation of the specific support objective "To promote the introduction of innovations in enterprises" to the Ministry of Economics;
     2.4. 4.2.1.1. EUR 15.0 million to the Ministry of Economics for the implementation of the measure "To promote the increase of energy efficiency in residential buildings";
     2.5. 8.2.3. for the implementation of the specific support objective "Ensure better governance in higher education institutions" to the Ministry of Education and Science EUR 7.86 million;
     2.6. 9.3.2. EUR 16.4 million for the implementation of the specific support objective "Improving access to quality health care services, especially for people at risk of social, territorial exclusion and poverty, by developing health care infrastructure" "for the Ministry of Health." The Ministry of Finance is working on a plan to what extent the funds will be spent in 2021-2024</t>
  </si>
  <si>
    <t>Financing was reserved by the Cabinet of Ministers on 02.06.2020. the informative report "On measures for overcoming the Covid-19 crisis and economic recovery" - 58 million euros for the measure "Financing for modernization in the agricultural sector" and the allocation was approved by the Cabinet of Ministers on 14.07.2020. sitting prot. No.44 § 57 § 2.
Financing included in the draft budget of the Ministry of Agriculture: 2021 - 26.82 million euros, 2022 - 21.50 million euros and 2023 - 9.68 million euros.
The Ministry of Agriculture points out that taking into account the proportion of co-financing rates set in the RDP 2014–2020 in the planning period, the implementation of these measures is continued with identical rates. 7/20/2020 The Ministry of Agriculture submitted co-financing rates of 68% annually for the implementation of European agricultural guarantee fund projects. In addition, explaining that the commitment will ensure the successful absorption of the "envelope" without having a full impact on the budget balance. 2021: 26.82 * 32% = 8.6 million euros. 2022: 21.50 * 32% = 6.9 million euros. 2023: 9.68 * 32% = 3.1 million euros. Information from the Ministry of Agriculture on the planned implementation by years is expected.</t>
  </si>
  <si>
    <t>Allowance for families with children</t>
  </si>
  <si>
    <t>Draft Law "Amendment to the Law on Coping with the Consequences of Covid-19 Infection"</t>
  </si>
  <si>
    <t>Support for families with children EUR 500 for each child in foster care</t>
  </si>
  <si>
    <t xml:space="preserve">Ministry of Welfare </t>
  </si>
  <si>
    <t xml:space="preserve">The total estimated number of children for whom the aid will be paid is 364 097.
Therefore, in order to provide one-time financial support to persons raising a child, additional funding in the amount of EUR 364,097 x500 = EUR 182,048,500 is required. In addition, in order to ensure the costs of the mentioned support, changes in the SSIA IT systems are required, performing system adjustment 75 days x 471.9 euro = EUR 35 393. </t>
  </si>
  <si>
    <t>Guarantees for large companies in difficulty</t>
  </si>
  <si>
    <t>Draft Order "On Increasing the Reserve Capital of the Joint Stock Company "Development Financial Institution Altum""</t>
  </si>
  <si>
    <t>Support programs for large companies in difficulty in the form of guarantees</t>
  </si>
  <si>
    <t>Specific support programs for large companies in difficulty in the form of guarantees for investments, the redirection of which will be the subject of a separate decision of the Cabinet of Ministers</t>
  </si>
  <si>
    <t>Information report "On the order of additional doses of vaccines against Covid-19 Valneva and Novavax"</t>
  </si>
  <si>
    <t>For the purchase of vaccines</t>
  </si>
  <si>
    <t>Order No. 101 "On Increasing the Appropriation for the Ministry of Health"</t>
  </si>
  <si>
    <t>To ensure the early detection of new strains or variants of infectious viruses, thus improving and developing the virus sequencing method</t>
  </si>
  <si>
    <t>Provide the Ministry of Health with funding of EUR 294 875 to cover the purchase, administration and logistics of Covid-19 vaccines (vaccine manufacturers Valneva and Novavax).</t>
  </si>
  <si>
    <t>To increase the grant from the general revenue and the appropriation in the budget sub-program 33.17.00 "Provision of emergency medical care in inpatient treatment institutions" of the Ministry of Health in the financing category "Shares and other equity" in the amount of EUR 192,088. To increase the share capital of the limited liability company “Riga East Clinical University Hospital” by the mentioned amount with a financial contribution.</t>
  </si>
  <si>
    <t xml:space="preserve">MK rīkojums Nr. 114 "Par finanšu līdzekļu piešķiršanu no valsts budžeta programmas "Līdzekļi neparedzētiem gadījumiem"" </t>
  </si>
  <si>
    <t>21.01.2021
28.01.2021
04.02.2021
11.02.2021 24.02.2021</t>
  </si>
  <si>
    <t>MK rīk. Nr.112 "Par finanšu līdzekļu piešķiršanu no valsts budžeta programmas "Līdzekļi neparedzētiem gadījumiem""</t>
  </si>
  <si>
    <t>1.1. Nacionālajam veselības dienestam 3 027 877 euro, no tiem:
1.1.1. 2 662 220 euro vakcīnu "Moderna" iegādei;
1.1.2. 362 700 euro vakcīnu iegādei no vakcīnu ražotāja "Pfizer-BioNTech";
1.1.3. 2 957 euro šļirču un injekcijas šķīdumu iegādei;
1.2. Valsts asinsdonoru centram 8 067 euro vakcīnu ražotāja "Pfizer-BioNTech" vakcīnu glabāšanai atbilstoši vakcīnas lietošanas instrukcijā norādītajiem vakcīnas glabāšanas nosacījumiem.</t>
  </si>
  <si>
    <t>Piešķirt Kultūras ministrijai 3 258 367 euro Mediju atbalsta fonda īstenošanai, lai sniegtu atbalstu Covid-19 krīzes skartajiem mediju uzņēmumiem par periodu no 2020. gada novembra līdz 2021. gada aprīlim</t>
  </si>
  <si>
    <t>Finanšu ministrijai no valsts budžeta programmas 02.00.00 "Līdzekļi neparedzētiem gadījumiem" piešķirt Kultūras ministrijai 3 258 367 euro, lai nodrošinātu Mediju atbalsta fonda darbību un sniegtu atbalstu saistībā ar abonēto drukāto mediju piegādes izmaksu, elektronisko plašsaziņas līdzekļu televīzijas un radio programmu apraides izmaksu, kā arī citu ar mediju pamatdarbību saistītu izmaksu segšanu par laikposmu no 2020. gada novembra līdz 2021. gada martam.</t>
  </si>
  <si>
    <t>MK rīk. Nr.131 (prot. Nr. 21 4. §)"Par finanšu līdzekļu piešķiršanu no valsts budžeta programmas "Līdzekļi neparedzētiem gadījumiem""</t>
  </si>
  <si>
    <t>MK rīk. Nr.131 (prot. Nr. 21 5. §)"Par finanšu līdzekļu piešķiršanu no valsts budžeta programmas "Līdzekļi neparedzētiem gadījumiem""</t>
  </si>
  <si>
    <t xml:space="preserve">Finanšu ministrijai no valsts budžeta programmas 02.00.00 "Līdzekļi neparedzētiem gadījumiem" piešķirt Sabiedrības integrācijas fondam 430 000 euro valsts budžeta finansētās programmas "Līdzfinansējuma programma" īstenošanai 2021. gadā, lai mazinātu Covid-19 krīzes radīto negatīvo seku ietekmi uz nevalstiskajām organizācijām, tai skaitā:
1.1. 425 000 euro programmas projektu īstenošanai;
1.2. 5 000 euro programmas administrēšanai.
</t>
  </si>
  <si>
    <t>Atbalsts Sabiedrības Integrācijas Fondam, lai mazinātu Covid-19 krīzes radīto negatīvo seku ietekmi uz nevalstiskajām organizācijām</t>
  </si>
  <si>
    <t>Cabinet of Ministers Order No. 112 "On the Allocation of Financial Resources from the State Budget Program" Contingency Funds ""</t>
  </si>
  <si>
    <t>1.1. EUR 3,027,877 to the National Health Service, of which:
1.1.1. EUR 2 662 220 for the purchase of "Moderna" vaccines;
1.1.2. EUR 362 700 for the purchase of vaccines from the vaccine manufacturer Pfizer-BioNTech;
1.1.3. EUR 2 957 for the purchase of syringes and solutions for injection;
1.2. EUR 8 067 to the National Blood Donor Center for the storage of Pfizer-BioNTech vaccines in accordance with the storage conditions specified in the vaccine package leaflet.</t>
  </si>
  <si>
    <t>The exact impact cannot be assessed as no further spread of Covid-19 disease is expected. The planned expenses are indicated in accordance with the Treasury data on expenses for Covid-19 for 1-10 days (in the amount of actual performance, because the MoW cannot predict further spread of the disease), which was paid by the employer until the amendments. Total expenses, incl. after 10 days amounts to 10.8 mln. euro</t>
  </si>
  <si>
    <t>Cabinet of Ministers No.131 (prot. No. 21 4. §) "On Allocation of Financial Resources from the State Budget Program"Contingency Funds"</t>
  </si>
  <si>
    <t>Allocate EUR 3 258 367 to the Ministry of Culture for the implementation of the Media Support Fund to provide support to media companies affected by the Covid-19 crisis for the period from November 2020 to April 2021</t>
  </si>
  <si>
    <t>To allocate EUR 3 258 367 from the State Budget Program 02.00.00 "Contingency Funds" to the Ministry of Finance to ensure the operation of the Media Support Fund and to provide support for subscribed print media delivery costs, electronic media television and radio broadcasting costs, as also covering other costs related to the main activities of the media for the period from November 2020 to March 2021.</t>
  </si>
  <si>
    <t>Ministry of Coulture</t>
  </si>
  <si>
    <t>Cabinet of Ministers No.131 (prot. No. 21 5. §) "On Allocation of Financial Resources from the State Budget Program"Contingency Funds"</t>
  </si>
  <si>
    <t>Support to the Community Integration Fund to mitigate the negative effects of the Covid-19 crisis on non-governmental organizations</t>
  </si>
  <si>
    <t>To allocate EUR 430,000 from the State Budget Program 02.00.00 "Contingency Funds" to the Ministry of Finance for the implementation of the State Budget Funded Program "Co-financing Program" in 2021 to reduce the negative impact of the Covid-19 crisis on non-state organizations, including:
1.1. EUR 425 000 for the implementation of program projects;
1.2. EUR 5 000 for the administration of the program.</t>
  </si>
  <si>
    <t>Lai segtu informēšanas kampaņas izdevumus drošai tirdzniecībai un iedzīvotāju paradumu maiņai.</t>
  </si>
  <si>
    <t xml:space="preserve">Projekts paredz no valsts budžeta programmas 02.00.00 “Līdzekļi neparedzētiem gadījumiem” piešķirt Ekonomikas ministrijai finansējumu 118 521 euro (ar PVN) apmērā. Savukārt Ministru kabineta protokollēmuma projekts paredz slēgt līgumu ar SIA “McCann Rīga” par informēšanas kampaņu saistībā ar drošu tirdzniecību un iedzīvotāju paraduma maiņu par kopējo summu 118 521 euro (ar PVN). </t>
  </si>
  <si>
    <t>Lai nodrošinātu nepieciešamo izmaiņu veikšanu Valsts ieņēmumu dienesta informācijas sistēmās saistībā ar atbalsta pasākumu pieejamību lielākam nodokļu maksātāju lokam, kuru saimnieciskā darbība ierobežota Covid-19 krīzes ietekmē.</t>
  </si>
  <si>
    <t>Par finanšu līdzekļu piešķiršanu no valsts budžeta programmas “Līdzekļi neparedzētiem gadījumiem” izstrādāts ar mērķi piešķirt finansējumu Valsts ieņēmumu dienestam, lai nodrošinātu nepieciešamo izmaiņu veikšanu VID informācijas sistēmās saistībā ar atbalsta pasākumu pieejamību lielākam nodokļu maksātāju lokam, kuru saimnieciskā darbība ierobežota Covid-19 krīzes ietekmē.</t>
  </si>
  <si>
    <t>Kultūras ministrijai (Valsts kultūrkapitāla fondam) piešķirt 3 000 000 euro mērķprogrammas "Nākotnes kultūras piedāvājuma veidošana visās kultūras nozarēs" īstenošanai, lai mazinātu Covid-19 krīzes radīto negatīvo seku ietekmi uz kultūras nozari.</t>
  </si>
  <si>
    <t>Benefit for pensioners and persons with disabilities</t>
  </si>
  <si>
    <t>One-time support in the amount of 200 euros for each pensioner and person with a disability</t>
  </si>
  <si>
    <t>To cover the cost of an information campaign on safe trade and change in citizens' habits.</t>
  </si>
  <si>
    <t>The project envisages allocating funding in the amount of 118,521 euros (including VAT) to the Ministry of Economics from the state budget program 02.00.00 “Funds for Contingencies”. In its turn, the draft protocol decision of the Cabinet of Ministers envisages concluding an agreement with SIA “McCann Rīga” on an information campaign in connection with safe trade and change of habits of the population for the total amount of 118,521 euros (including VAT).</t>
  </si>
  <si>
    <t>In order to ensure the necessary changes in the information systems of the State Revenue Service in connection with the availability of support measures to a larger circle of taxpayers whose economic activity is restricted due to the Covid-19 crisis.</t>
  </si>
  <si>
    <t>ministry of Finance</t>
  </si>
  <si>
    <t>No valsts budžeta programmas „Līdzekļi neparedzētiem gadījumiem” Valsts kultūrkapitāla fondam finansējums 3 000 000 euro apmērā mērķprogrammas īstenošanai, lai mazinātu Covid-19 krīzes negatīvo seku ietekmi uz kultūras nozari. Kopējais mērķprogrammas projektu atbalstam nepieciešamais finansējums ir 2 892 750 euro, bet 107 250 euro paredzēti mērķprogrammas administratīvajām izmaksām.</t>
  </si>
  <si>
    <t>To allocate EUR 3,000,000 to the Ministry of Culture (State Cultural Capital Fund) for the implementation of the target program "Creating the future cultural offer in all cultural sectors" in order to reduce the negative impact of the Covid-19 crisis on the cultural sector.</t>
  </si>
  <si>
    <t>Funding from the State Budget Program “Contingency Funds” to the State Cultural Capital Fund in the amount of EUR 3,000,000 for the implementation of the target program to reduce the negative impact of the Covid-19 crisis on the cultural sector. The total funding required to support the projects of the target program is EUR 2 892 750, but EUR 107 250 is intended for the administrative costs of the target program.</t>
  </si>
  <si>
    <t xml:space="preserve">"GDP (March 2021)
In 2020 29334, in 2021 30629, in 2022 32818, in 2023 34531 mln. euro. </t>
  </si>
  <si>
    <t>Pabalsts pensionāriem un personām ar invaliditāti</t>
  </si>
  <si>
    <t>Vienreizējs atbalsts 200 euro apmērā katram pensionāram un personai ar invaliditāti</t>
  </si>
  <si>
    <t xml:space="preserve">MK rīkojums Nr. 158 "Par finanšu līdzekļu piešķiršanu no valsts budžeta programmas "Līdzekļi neparedzētiem gadījumiem"" </t>
  </si>
  <si>
    <t>1. Valsts policijai – 783 325 euro;
2. Valsts policijas koledžai – 18 372 euro;
3. Valsts robežsardzei – 333 963 euro; 
4. Valsts robežsardzes koledžai – 5 631 euro.</t>
  </si>
  <si>
    <t>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janvāra līdz 2021. gada 31. janvārim</t>
  </si>
  <si>
    <t>MK rīkojums Nr.153 "Par finanšu līdzekļu piešķiršanu no valsts budžeta programmas "Līdzekļi neparedzētiem gadījumiem""</t>
  </si>
  <si>
    <t>MK rīk. Nr.144 "Par finanšu līdzekļu piešķiršanu no valsts budžeta programmas "Līdzekļi neparedzētiem gadījumiem""</t>
  </si>
  <si>
    <t>MK rīkojums Nr.141 "Par finanšu līdzekļu piešķiršanu no valsts budžeta programmas "Līdzekļi neparedzētiem gadījumiem""</t>
  </si>
  <si>
    <t xml:space="preserve">MK rīkojums Nr. 83 "Par finanšu līdzekļu piešķiršanu no valsts budžeta programmas "Līdzekļi neparedzētiem gadījumiem"" </t>
  </si>
  <si>
    <t xml:space="preserve">MK rīkojums Nr. 109 "Par finanšu līdzekļu piešķiršanu no valsts budžeta programmas "Līdzekļi neparedzētiem gadījumiem"" </t>
  </si>
  <si>
    <t>MK rīkojums Nr.108 "Par finanšu līdzekļu piešķiršanu no valsts budžeta programmas "Līdzekļi neparedzētiem gadījumiem""</t>
  </si>
  <si>
    <t>MK rīkojums Nr.86 "Par finanšu līdzekļu piešķiršanu no valsts budžeta programmas "Līdzekļi neparedzētiem gadījumiem""</t>
  </si>
  <si>
    <t>MK rīkojums Nr.96 "Par finanšu līdzekļu piešķiršanu no valsts budžeta programmas "Līdzekļi neparedzētiem gadījumiem""</t>
  </si>
  <si>
    <t>MK rīk. Nr.110 "Par finanšu līdzekļu piešķiršanu no valsts budžeta programmas "Līdzekļi neparedzētiem gadījumiem""</t>
  </si>
  <si>
    <t>Lai segtu izdevumus, kas Covid-19 izplatības ierobežošanai nepieciešamo integrētās komunikācijas kampaņu īstenošanu 2021.gadā</t>
  </si>
  <si>
    <t>MK rīk. Nr.159 "Par finanšu līdzekļu piešķiršanu no valsts budžeta programmas "Līdzekļi neparedzētiem gadījumiem""</t>
  </si>
  <si>
    <t>Piešķirt Valsts kancelejai finansējumu, kas nepārsniedz 330 000 euro, lai segtu izdevumus, kas Covid-19 izplatības ierobežošanai nepieciešamo integrētās komunikācijas kampaņu īstenošanu 2021.gadā</t>
  </si>
  <si>
    <t xml:space="preserve">MK rīkojums Nr. 142 "Par finanšu līdzekļu piešķiršanu no valsts budžeta programmas "Līdzekļi neparedzētiem gadījumiem"" </t>
  </si>
  <si>
    <t>Piešķirt Veselības ministrijai finansējumu 23 491 271 euro apmērā, tai skaitā:
1. lai nodrošinātu piemaksu apmaksas kompensēšanu laika periodā līdz 2020. gada 31. decembrim atbildīgo institūciju ārstniecības personām un citiem nodarbinātajiem par darbu paaugstināta riska un slodzes apstākļos sabiedrības veselības apdraudējuma situācijā saistībā ar Covid-19 uzliesmojumu un seku novēršanu – 21 735 572 euro apmērā;
2. lai nodrošinātu atbildīgo institūciju ārstniecības personu un citu nodarbināto atvaļinājuma rezerves uzkrājumu, atbilstoši aprēķinātajai piemaksu summai par 2020.gada novembri un decembri – 1 755 699 euro apmērā.</t>
  </si>
  <si>
    <t>Izpilde*</t>
  </si>
  <si>
    <t>Augstas gatavības projekti, kas saistīti ar Covid-19 krīzes pārvarēšanu un ekonomikas atlabšanu</t>
  </si>
  <si>
    <t>Informatīvais ziņojums "Par augstas gatavības projektiem, kas saistīti ar Covid-19 krīzes pārvarēšanu un ekonomikas atlabšanu"</t>
  </si>
  <si>
    <t>Ministriju iesniegtie augstas gatavības projekti, kas saistīti ar Covid-19 krīzes pārvarēšanu un ekonomikas atlabšanu</t>
  </si>
  <si>
    <t>Piešķirt Zemkopības ministrijai finansējumu, kas nepārsniedz 37 316 euro, lai valsts zinātniskais institūts "Pārtikas drošības, dzīvnieku veselības un vides zinātniskajam institūtam "BIOR"" nodrošinātu ūdeļu, citu Mustelidae dzimtas dzīvnieku un jenotsuņu novietnēs noņemto paraugu laboratorisko izmeklēšanu Covid-19 infekcijas ierosinātāja noteikšanai, kā arī dzīvnieku līķu sekcijai un iznīcināšanai no 2021. gada 1. marta līdz 31. decembrim.</t>
  </si>
  <si>
    <t>Finansējums BIOR dzīvnieku novietnēs noņemto paraugu laboratoriskai izmeklēšanai Covid-19 infekcijas ierosinātāja noteikšanai</t>
  </si>
  <si>
    <t xml:space="preserve">Pamatkapitāla palielināšana VSIA "PSKUS" un SIA “RAKUS" gultu izveidei, medicīnisko iekārtu un papildaprīkojuma iegādei </t>
  </si>
  <si>
    <t>PSKUS pamatkapitāla palielināšana, ieguldot tajā finanšu līdzekļus 1 730 383 euro apmērā, RAKUS pamatkapitāla palielināšana, ieguldot tajā finanšu līdzekļus 2 291 014 euro apmērā, - gultu izveidei, medicīnisko iekārtu un papildaprīkojuma iegādei</t>
  </si>
  <si>
    <t>“Daugavpils reģionālā slimnīca” 330 816 euro; “Vidzemes slimnīca” 67 510 euro; “Jēkabpils reģionālā slimnīca” 319 171 euro; “Liepājas reģionālā slimnīca” 127 114 euro; “Rēzeknes slimnīca” 2 411 290 euro; “Ziemeļkurzemes reģionālā slimnīca” 359 230 euro; “Jelgavas pilsētas slimnīca” 256 324 euro; “Balvu un Gulbenes slimnīcu apvienība” 150 867 euro; Nacionālajam veselības dienestam 150 000 euro planšešu iegādei.</t>
  </si>
  <si>
    <t>Novērtējums uz SP 2021-2024</t>
  </si>
  <si>
    <t>26.11.2020 01.12.2020 10.12.2020 11.01.2021 18.03.2021</t>
  </si>
  <si>
    <t>1.1. Nacionālajam veselības dienestam 9 208 888 euro, tai skaitā:
1.1.1. par ambulatorajiem veselības aprūpes pakalpojumiem 1 376 823 euro;
1.1.2. par stacionārajiem veselības aprūpes pakalpojumiem 445 156 euro;
1.1.3. par laboratorisko izmeklējumu organizēšanu un veikšanu 4 701 997 euro;
1.1.4. par mājas aprūpes pakalpojumiem pacientu hroniskās slimības saasinājuma vai akūtas saslimšanas gadījumā Covid-19 pandēmijas laikā 30 102 euro;
1.1.5. par individuālo aizsardzības līdzekļu un dezinfekcijas līdzekļu iegādi 2 491 346 euro;
1.1.6. piemaksai ģimenes ārstu praksēm par individuālo aizsardzības līdzekļu izmantošanu pacientu aprūpes nodrošināšanā 163 464 euro;
1.2. Neatliekamās medicīniskās palīdzības dienestam 39 496 euro individuālo aizsardzības līdzekļu un dezinfekcijas līdzekļu iegādei.</t>
  </si>
  <si>
    <t>Atbalsts jauniešiem Covid-19 pandēmijas radīto seku mazināšanai</t>
  </si>
  <si>
    <t>Kopējais finansējums, kuru paredzēts piešķirt  projektu īstenotājiem aktivitāšu īstenošanai ir 430 000 euro, savukārt viena projekta īstenošanai tiks piešķirti ne vairāk kā 10 000 euro. Papildus ir paredzēti 40 000 euro atbalsta pasākumu, tostarp izglītojošo, sniegšanai  jaunatnes darbiniekiem un darba ar jaunatni veicējiem, lai nodrošinātu viņu zināšanas un prasmes, t.sk. digitālās, kas aktuālas esošajos Covid-19 apstākļos, kā arī pēc pandēmijas apstākļos. Šo atbalstu pasākumu īstenošanu plānots uzsākt no 2021. gada 1. aprīļa.  30 000 euro paredzēti programmas administrēšanai.</t>
  </si>
  <si>
    <t>Piešķirts papildus finansējums, lai nodrošinātu valsts autoceļu attīstību saistībā ar administratīvi teritoriālo reformu</t>
  </si>
  <si>
    <t>Ar rīkojuma projektu papildus piešķirtais finansējums tiks izmantots valsts valsts autoceļu attīstībai administratīvi teritoriālās reformas kontekstā. Finansējuma apmērs 55 000 000 euro ir pamatots ar tehniskās dokumentācijas izmaksu aprēķiniem un indikatīvo papildus darbu aplēsēm. 
Detalizētus aprēķinus sadalījumā pa realizējamiem projektiem būs iespējams veikt, kad būs noslēgušies iepirkumu konkursi un būs zināmas pretendentu iesniegto pieteikumu izmaksas. Tādejādi, jo lētākas būs darbu izmaksas, jo darbus būs iespējams veikt lielākā apjomā.</t>
  </si>
  <si>
    <t>Ārlietu ministrija  1 100 000
Iekšlietu ministrija 27 300 000
Izglītības un zinātnes  ministrija  28 482 428
Tieslietu ministrija 5 460 000
Vides aizsardzības un reģionālās attīstības ministrija 54 300 000
Kultūras ministrija 22 467 737
Veselības ministrija  18 200 000</t>
  </si>
  <si>
    <t>Papildus finansējums valsts autoceļiem</t>
  </si>
  <si>
    <t>Valsts autoceļu atjaunošanas projektiem, kuru īstenošanas termiņš ir 2021. gads, paredzot finansējumu, kas nepārsniedz 100 000 000 euro, tai skaitā ne mazāk kā 27 000 000 euro to autoceļu attīstībai, kas nepieciešami administratīvi teritoriālās reformas īstenošana.</t>
  </si>
  <si>
    <t>Lai nodrošinātu tālruņa numuru “8989” darbību</t>
  </si>
  <si>
    <t>Lai kompensētu nesaņemto drošības maksu par gaisa kuģu lidojumu drošuma un civilās aviācijas drošības uzraudzības nodrošināšanu valsts aģentūrai “Civilās aviācijas aģentūra</t>
  </si>
  <si>
    <t>Piešķirt Satiksmes ministrijai 1 919 160 euro, lai kompensētu nesaņemto drošības maksu par gaisa kuģu lidojumu drošuma un civilās aviācijas drošības uzraudzības nodrošināšanu valsts aģentūrai “Civilās aviācijas aģentūra”</t>
  </si>
  <si>
    <t>24.11.2020.
01.12.2020. 07.01.2021 11.01.2021
01.04.2021</t>
  </si>
  <si>
    <t>Lai nodrošinātu piemaksu pie dīkstāves atbalsta par katru apgādībā esošu bērnu vecumā līdz 24 gadiem, par kuru darbiniekam uz dīkstāves atbalsta piešķiršanas dienu tiek piemērots iedzīvotāju ienākuma nodokļa atvieglojums, valsts budžeta izdevumi par vienu mēnesi, kas varētu rasties Covid-19 izraisītās ārkārtas situācijas rezultātā, provizoriski veido: 45 000*(darbinieki) x 0,4 (vidējais bērnu skaits ģimenē) x 50 euro (piemaksas apmērs) =  900 000 euro mēnesī.  Izmaksai divus mēnešus (izmaksā darbiniekiem par laikposmu no 2020. gada 9. novembra līdz 2020. gada 31. decembrim) = 900 000 x 2= 1 800 000 euro.
2020.gadā no LNG piešķirti 450 000 euro. 2021.gadā no LNG tika plānots pārdalīt 1 350 000 euro, bet 01.04. nolemts papildus piešķirt vēl 2 161 200 euro.</t>
  </si>
  <si>
    <t>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februāra līdz 2021. gada 28. februārim.</t>
  </si>
  <si>
    <t>1. Valsts policijai – 463 522 euro;
2. Valsts policijas koledžai – 504 euro;
3. Valsts robežsardzei – 309 267 euro; 
4. Valsts robežsardzes koledžai – 3 062 euro.</t>
  </si>
  <si>
    <t>Piešķirt Tieslietu ministrijai finansējumu 27 891 euro apmērā, lai nodrošinātu finansējuma piešķiršanu biedrībai "Katoļu Baznīcas informācijas aģentūra" Lieldienu dievkalpojumu translāciju komerciālajos medijos nodrošināšanai</t>
  </si>
  <si>
    <t>Lai nodrošinātu finansējuma piešķiršanu biedrībai "Katoļu Baznīcas informācijas aģentūra" Lieldienu dievkalpojumu translāciju komerciālajos medijos nodrošināšanai</t>
  </si>
  <si>
    <t>Reliģiskajām savienībām (baznīcām), lai nodrošinātu šo reliģisko savienību (baznīcu) garīgajam un kalpojošajam personālam krīzes pabalstu un mazinātu ar Covid-19 izplatību radītos zaudējumus, kompensējot komunālo maksājumu izdevumus</t>
  </si>
  <si>
    <t>"Latvijas Baptistu draudžu savienība" 8 500 euro, "Latvijas evaņģēliski luteriskā Baznīca" 85 500 euro,  "Latvijas Jaunapustuliskā baznīca" 5 200 euro, "Latvijas Pareizticīgā Autonomā Baznīca Konstantinopoles Patriarhāta jurisdikcijā" 5 900 euro, "Latvijas Pareizticīgā Baznīca" 41 000 euro, "Latvijas Vasarsvētku draudžu centrs" 8 100 euro, "Latvijas Vecticībnieku Pomoras Baznīca" 15 000 euro, "Rīgas ebreju reliģiskā draudze" 7 000 euro, "Rīgas Metropolijas Romas katoļu kūrija" 65 000 euro, "Romas katoļu baznīcas Liepājas diecēze" 12 700 euro</t>
  </si>
  <si>
    <t>Izmaksas pa gadiem plānotas: 2020.g. 9,3 milj. euro (fakts), 2021.g. 75,9 milj. euro, 2022.g. 162,1 milj. euro, 2023.g. 188,2 milj. euro, 2024.g. 63,2 milj. euro</t>
  </si>
  <si>
    <t>Atbilstoši Ministru kabineta 2020. gada 2. jūnija sēdes protokollēmuma Nr.38 49.§ 3.punktam:  3. prioritārā virziena "Mazo un vidējo komersantu konkurētspēja" ietvaros Ekonomikas ministrijai piešķirtās ES fondu virssaistības 25 milj. euro tiks izmantotas 1.2.1. specifiskā atbalsta mērķa “Palielināt privātā sektora investīcijas P&amp;A” 1.2.1.3. pasākumam “Aizdevumi un aizdevumu procentu likmju subsīdijas komersantiem konkurētspējas veicināšanai” īstenošanas noteikumi” 15 milj. euro un Ieguldījumu fondam 10 milj. euro.
4. prioritārā virziena "Pāreja uz ekonomiku ar zemu oglekļa emisijas līmeni visās nozarēs" ietvaros piešķirtos 20 milj. euro Ekonomikas ministrija plāno izmantot energoefektivitātes paaugstināšanas veicināšanai dzīvojamās ēkās. Atbilstoši grozījumi specifiskā atbalsta mērķa pasākuma īstenošanas noteikumos  jau ir iesniegti FM saskaņošanai.
9. prioritārā virziena "Sociālā iekļaušana un nabadzības apkarošana" ietvaros Veselības ministrijai piešķirtos 26 milj. euro plāno izmantot SIA “Rīgas Austrumu klīniskā universitātes slimnīca” Hipokrāta ielas teritorijā esošā Stacionāra “Latvijas Onkoloģijas centrs” (turpmāk – LOC) palātu korpusa atjaunošanai, lai atbilstoši mūsdienu prasībām sagatavotu LOC telpas pacientu ar infekciju slimībām hronisku saslimšanu ārstēšanai un terapijas kursu turpināšanai. 
Ietekme paredzēta 2024.gadā, kad būs skaidrība par atlikumiem/dzēsto virssaistību apmēru. Izmaksas pa gadiem plānotas: 2020.g. 0,2 milj. euro (fakts), 2021.g. 14,0 milj. euro, 2022.g. 41,7 milj. euro, 2023.g. 42,6 milj. euro, 2024.g. 42,9 milj. euro</t>
  </si>
  <si>
    <t>VID virsstundu darba apmaksai</t>
  </si>
  <si>
    <t>2021.gada janvārī un februārī virsstundu darbu veica 245 VID nodarbinātie un, nodrošinot atbalsta pasākumu izmaksu, nostrādāja 3 338 virsstundas, kas kopumā izmaksāja 76 998,30 euro (samaksa par virsstundu darbu un darba devēja valsts sociālās apdrošināšanas obligātās iemaksas).</t>
  </si>
  <si>
    <t>1.1. 1 112 087 euro – Izglītības un zinātnes ministrijai (15. resors);
1.2. 14 874 euro – Zemkopības ministrijai (16. resors);
1.3. 1 584 euro – Labklājības ministrijai (18. resors);
1.4. 957 771 euro – Kultūras ministrijai (22. resors);
1.5. 3 611 euro – Veselības ministrijai (29. resors);
1.6. 27 541 euro – mērķdotācijai pašvaldībām (62. resors).</t>
  </si>
  <si>
    <t>Lai profesionālās izglītības un profesionālās ievirzes izglītības pedagogiem un atbalsta personālam nodrošinātu vienreizēju piemaksu 300 euro, par papildu slodzi un palielināto darba apjomu obligātā mācību satura apguvei Covid-19 pandēmijas laikā</t>
  </si>
  <si>
    <t>Tirdzniecības centru ieņēmumu krituma komepnsēšanai</t>
  </si>
  <si>
    <t>MK Noteikumu projekts paredz, ka atbalsta apmērs ir 15 euro par katru tirdzniecības centra ēkas kadastrālās uzmērīšanas lietā norādītās kopējās platības m2, nepārsniedzot faktisko ieņēmumu krituma apmēru.    Atbalstu Latvijas Investīciju un attīstības aģentūra piešķir, ievērojot, ka Pagaidu regulējuma ietvaros piešķiramā ierobežota apjoma atbalsta apmērs vienam uzņēmumam un ar to saistīto personu grupai nepārsniedz 1 800 000 euro. Plānots atbalstīt 33 tirdzniecības centrus.</t>
  </si>
  <si>
    <t>Rīkojums Nr.174 "Par finanšu līdzekļu piešķiršanu no valsts budžeta programmas "Līdzekļi neparedzētiem gadījumiem""</t>
  </si>
  <si>
    <t>Assessment*</t>
  </si>
  <si>
    <t>Estimate SP 2021 - 2024</t>
  </si>
  <si>
    <t>Draft Order "Amendments to the Cabinet of Ministers Order No. 13 of 11 January 2021" On Allocation of Financial Resources from the State Budget Program "Funds for Contingencies""</t>
  </si>
  <si>
    <t>Cabinet of Ministers Order No. 142 "On the Allocation of Financial Resources from the State Budget Program" Contingency Funds""</t>
  </si>
  <si>
    <t>To provide funding to the Ministry of Health in the amount of EUR 23,491,271, including:
1. EUR 21 735 572 for the reimbursement of allowances for medical practitioners and other employees of the responsible authorities for work in high-risk and high-risk public health situations in connection with the Covid-19 outbreak and its consequences until 31 December 2020;
2. in order to ensure the accumulation of the holiday reserve for medical personnel and other employees of the responsible institutions, in accordance with the calculated amount of allowances for November and December 2020 - in the amount of 1,755,699 euros.</t>
  </si>
  <si>
    <t>Draft Order "On the increase of appropriations for the Ministry of Health"</t>
  </si>
  <si>
    <t>Increase of the share capital of VSIA "PSKUS" and SIA "RAKUS" for the establishment of beds, purchase of medical equipment and additional equipment</t>
  </si>
  <si>
    <t>Increase of the share capital of PSKUS by investing financial resources in the amount of EUR 1 730 383, increase of the share capital of RAKUS by investing financial resources in the amount of EUR 2 291 014 - for the establishment of beds, purchase of medical equipment and additional equipment</t>
  </si>
  <si>
    <t>Cabinet of Ministers Order No. 114 "On the Allocation of Financial Resources from the State Budget Program "Contingency Funds""</t>
  </si>
  <si>
    <t>To the National Health Service to cover the costs incurred in connection with the Covid-19 outbreak and its aftermath</t>
  </si>
  <si>
    <t xml:space="preserve">1.1. EUR 9,208,888 for the National Health Service, including:
1.1.1. EUR 1,376,823 for outpatient health care services;
1.1.2. EUR 445,156 for inpatient health care services;
1.1.3. for the organization and performance of laboratory examinations EUR 4,701,997;
1.1.4. for home care services in case of exacerbation of chronic illness or acute illness of patients during pandemic Covid-19 30 102 euros;
1.1.5. for the purchase of personal protective equipment and disinfectants EUR 2,491,346;
1.1.6. a supplement of 163,464 euros for the practice of general practitioners for the use of personal protective equipment in the provision of patient care;
1.2. EUR 39 496 for the purchase of personal protective equipment and disinfectants for the emergency medical service. </t>
  </si>
  <si>
    <t>Cabinet of Ministers No. 110 "On Allocation of Financial Resources from the State Budget Program "Contingency Funds""</t>
  </si>
  <si>
    <t>Cabinet of Ministers No. 60 "On Allocation of Financial Resources from the State Budget Program "Contingency Funds""</t>
  </si>
  <si>
    <t>Cabinet of Ministers No. 144 "On Allocation of Financial Resources from the State Budget Program "Contingency Funds""</t>
  </si>
  <si>
    <t>Cabinet of Ministers No.159 "On Allocation of Financial Resources from the State Budget Program "Contingency Funds""</t>
  </si>
  <si>
    <t>To cover the costs of  Covid-19 to implement the necessary integrated communication campaigns in 2021</t>
  </si>
  <si>
    <t>To provide the State Chancellery with funding not exceeding EUR 330,000 to cover the expenses necessary for the implementation of the integrated communication campaigns necessary to limit the spread of Covid-19 in 2021</t>
  </si>
  <si>
    <t>Cabinet Order No. 96 "On Allocation of Financial Funds from the State Budget Program "Contingency Funds""</t>
  </si>
  <si>
    <t>The allowance shall be calculated in the amount of 75 per cent of the hourly wage rate set for the official, observing the specified criteria. Expenses related to the allowance for officials of subordinate institutions of the Ministry of the Interior with special service ranks for work in high-risk and work-related conditions of public health threat related to Covid-19 outbreak and consequences for the period from 1 December 2020 to 31 December 2020 shall be covered by LNG in 2021.</t>
  </si>
  <si>
    <t>To provide funding to the Ministry of the Interior in the amount of EUR 1,062,893, including EUR 748,953 to the State Police, EUR 6,143 to the State Police College, EUR 307,256 to the State Border Guard and EUR 541 to the State Border Guard College to cover expenses related to an official of the Ministry of the Interior special grades for overtime work (payment for the performance of duties in excess of the specified duty period) for the performance of emergency tasks to limit the spread of Covid-19 in accordance with the actual amount of overtime created in the period from 1 October 2020 to 31 December 2020. As well as expenses related to the bonus for officials for work in high-risk and high-risk work situations related to the public health threat related to the Covid-19 outbreak and consequences in the period from 1 December 2020 to 31 December 2020</t>
  </si>
  <si>
    <t>Cabinet Order No. 153 "On Allocation of Financial Funds from the State Budget Program "Contingency Funds""</t>
  </si>
  <si>
    <t>To cover expenditure related to the allowance for officials of subordinate institutions of the Ministry of the Interior with special service ranks for work in high-risk and high-risk public health situations related to the Covid-19 outbreak and consequences in the period from 1 January 2021 to 31 January 2021</t>
  </si>
  <si>
    <t>1. for the State Police - 783,325 euros;
2. for the State Police College - 18,372 euros;
3. for the State Border Guard - 333,963 euros;
4. For the State Border Guard College - 5,631 euros.</t>
  </si>
  <si>
    <t>Draft Order "On Allocation of Financial Resources from the State Budget Program 02.00.00 "Contingency Funds""</t>
  </si>
  <si>
    <t>Additional funding has been provided to ensure the development of national roads in the context of administrative-territorial reform</t>
  </si>
  <si>
    <t>The additional funding allocated by the draft order will be used for the development of state state roads in the context of administrative-territorial reform. The amount of funding of EUR 55,000,000 is based on cost estimates for technical documentation and indicative estimates of additional work.
Detailed calculations in the distribution of the implemented projects will be possible after the completion of the procurement tenders and the costs of the applications submitted by the applicants will be known. Thus, the cheaper the cost of the work, the more work will be possible.</t>
  </si>
  <si>
    <t>Additional funding for state roads</t>
  </si>
  <si>
    <t>For national road rehabilitation projects, the implementation term of which is 2021, providing funding not exceeding 100,000,000 euros, including not less than 27,000,000 euros for the development of roads necessary for the implementation of administrative-territorial reform.</t>
  </si>
  <si>
    <t>Funding for laboratory testing of samples taken from BIOR animal sheds for the detection of Covid-19</t>
  </si>
  <si>
    <t>Provide the Ministry of Agriculture with funding of up to EUR 37 316 to provide the National Scientific Institute for Food Safety, Animal Health and the Environment (BIOR) with laboratory testing of mink, other Mustelidae and raccoon dogs for Covid-19 infection, as well as for the sectioning and destruction of animal carcasses from 1 March to 31 December 2021.</t>
  </si>
  <si>
    <t>Support for young people to mitigate the effects of the Covid-19 pandemic</t>
  </si>
  <si>
    <t>The total funding to be allocated to project promoters for the implementation of activities is EUR 430,000, while a maximum of EUR 10,000 will be allocated for the implementation of one project. In addition, EUR 40 000 is earmarked for support measures, including educational measures, for youth workers and youth workers to ensure their knowledge and skills, incl. digital that are relevant in the current Covid-19 and post-pandemic conditions. The implementation of these support measures is planned to start from 1 April 2021. EUR 30 000 is intended for the administration of the program.</t>
  </si>
  <si>
    <t>Cabinet Order No. 86 "On Allocation of Financial Funds from the State Budget Program "Contingency Funds""</t>
  </si>
  <si>
    <t>Cabinet Order No. 108 "On Allocation of Financial Funds from the State Budget Program "Contingency Funds""</t>
  </si>
  <si>
    <t>On the allocation of financial resources from the state budget program "Funds for unforeseen events" developed with the aim to finance the State Revenue Service in order to ensure the necessary changes to the SRS information systems in relation to the support measures available to a higher taxpayer circle whose economic activities are limited Covid-19 crisis.</t>
  </si>
  <si>
    <t>Cabinet Order No. 110 "On Allocation of Financial Funds from the State Budget Program "Contingency Funds</t>
  </si>
  <si>
    <t>Cabinet Order No. 158 "On Allocation of Financial Funds from the State Budget Program "Contingency Funds</t>
  </si>
  <si>
    <t>Cabinet Order No. 83 "On Allocation of Financial Funds from the State Budget Program "Contingency Funds"</t>
  </si>
  <si>
    <t>High readiness projects related to overcoming the Covid-19 crisis and economic recovery</t>
  </si>
  <si>
    <t>Information report on high-preparedness projects related to the Covid-19 crisis management and economic recovery</t>
  </si>
  <si>
    <t>High readiness projects submitted by ministries related to overcoming the Covid-19 crisis and economic recovery</t>
  </si>
  <si>
    <t>Ministry of Foreign Affairs 1 100 000
Ministry of the Interior 27,300,000
Ministry of Education and Science 28,482,428
Ministry of Justice 5 460 000
Ministry of Environmental Protection and Regional Development 54,300,000
Ministry of Culture 22,467,737
Ministry of Health 18 200 000</t>
  </si>
  <si>
    <t>* Assessment of the Ministry of Finance according to the Treasury data, information received from the SRS, ALTUM, MoA</t>
  </si>
  <si>
    <t>Cabinet of Ministers order "On the allocation of financial resources from the state budget programme "Contingency funds""</t>
  </si>
  <si>
    <t>In order to provide for the idle allowance for each dependent child under the age of 24 who is subject to personal income tax relief on the date the idle allowance is granted, the one-month public expenditure that may result from the Covid-19 emergency is provisionally consists of: 45,000 * (employees) x 0.4 (average number of children in the family) x 50 euros (amount of supplement) = 900,000 euros per month. Payment for two months (paid to employees for the period from 9 November 2020 to 31 December 2020) = 900,000 x 2 = € 1,800,000.
In 2020, 450,000 euros were allocated from Contingency funds. In 2021, it is planned to redistribute 1,350,000 euros from Contingency funds, but on 1st April it was decided to allocate an additional EUR 2 161 200.</t>
  </si>
  <si>
    <t>Nacionāla mēroga vakcinācijas kompleksu darbībai</t>
  </si>
  <si>
    <t>Lai segtu izdevumus, kas pašvaldībām radušies 2021.gadā, nodrošinot nacionāla mēroga vakcinācijas kompleksu darbību</t>
  </si>
  <si>
    <t>Piešķirt Kultūras ministrijai (Rundāles pils muzejam) 539 777 euro Rundāles pils jumta pārbūves 4. kārtas pabeigšanai, lai Covid-19 krīzes seku pārvarēšanas un ekonomikas atlabšanas pasākumu ietvaros veiktu investīcijas kultūras infrastruktūrā</t>
  </si>
  <si>
    <t>Draft Order "On the Allocation of Financial Resources from the State Budget Program" Contingency Funds""</t>
  </si>
  <si>
    <t>In order to compensate for the non-receipt of security charges for the provision of oversight of aircraft safety and civil aviation security to the State Agency “Civil Aviation Agency"</t>
  </si>
  <si>
    <t>Allocate EUR 1 919 160 to the Ministry of Transport to compensate for the non-receipt of security charges for the provision of aircraft safety and civil aviation security oversight to the State Agency "Civil Aviation Agency"</t>
  </si>
  <si>
    <t>To ensure the operation of the telephone number "8989"</t>
  </si>
  <si>
    <t>To ensure demand and logistical handling of Covid-19 vaccines.</t>
  </si>
  <si>
    <t>For the operation of national vaccination complexes</t>
  </si>
  <si>
    <t>To cover the expenses incurred by local governments in 2021, ensuring the operation of national vaccination complexes</t>
  </si>
  <si>
    <t>"1. Financing not exceeding EUR 1 186 783 for the operation of the telephone number" 8989 ";
2. Financing of EUR 16 270 to cover the costs of operating the 8989 telephone number "</t>
  </si>
  <si>
    <t>Provide the Ministry of Health (National Health Service) with funding of up to  95,436 euro to ensure the demand and logistics processing of Covid-19 vaccines.</t>
  </si>
  <si>
    <t>Funding for the Ministry of Health (National Health Service) not exceeding EUR 1,036,913 to ensure the operation of national vaccination complexes</t>
  </si>
  <si>
    <t>Funding for the Ministry of Environmental Protection and Regional Development not exceeding EUR 4,550,616 to cover the expenses incurred by local governments in 2021, ensuring the operation of national vaccination complexes</t>
  </si>
  <si>
    <t>In order to provide a one-time allowance of EUR 300 for teachers and support staff, for the additional workload and increased workload for the acquisition of compulsory curricula during the Covid-19 pandemic</t>
  </si>
  <si>
    <t>1.1. EUR 1 112 087 for the Ministry of Education and Science (Resor 15);
1.2. EUR 14,874 to the Ministry of Agriculture (Resor 16);
1.3. EUR 1 584 for the Ministry of Welfare (Resor 18);
1.4. EUR 957 771 for the Ministry of Culture (Resor 22);
1.5. EUR 3 611 for the Ministry of Health (Resor 29);
1.6. EUR 27 541 - earmarked grant to local governments (Resor 62)</t>
  </si>
  <si>
    <t>Draft Order of the Cabinet of Ministers "On Allocation of Financial Funds from the State Budget Program "Funds for Contingencies""</t>
  </si>
  <si>
    <t>To ensure the allocation of funding to the Catholic Church Information Agency for the broadcasting of Easter services in commercial media</t>
  </si>
  <si>
    <t>To provide funding to the Ministry of Justice in the amount of EUR 27,891 to ensure the allocation of funding to the Catholic Church Information Agency for the provision of Easter worship in commercial media</t>
  </si>
  <si>
    <t>To cover expenditure related to the allowance for officials of subordinate institutions of the Ministry of the Interior with special service ranks for work in high-risk and high-risk public health situations related to the Covid-19 outbreak and consequences in the period from 1 February 2021 to 28 February 2021.</t>
  </si>
  <si>
    <t xml:space="preserve">
1. for the State Police - 463 522 euros;
2. State Police College - 504 euros;
3. for the State Border Guard - 309,267 euros;
4. State Border Guard College - 3,062 euros. </t>
  </si>
  <si>
    <t>Cabinet Order No.174 "On Allocation of Financial Funds from the State Budget Program "Contingency Funds""</t>
  </si>
  <si>
    <t>Cabinet Order No. 260 "On Allocation of Financial Resources from the State Budget Program "Contingency Funds"</t>
  </si>
  <si>
    <t>Draft Order of the Cabinet of Ministers "On Allocation of Financial Resources from the State Budget Program" Contingency Funds "</t>
  </si>
  <si>
    <t>Religious unions (churches) to provide crisis benefits to the clergy  of these religious unions (churches) and to reduce the damage caused by the spread of Covid-19 by compensating for utility bills</t>
  </si>
  <si>
    <t>Union of Latvian Baptist Churches "8,500 euros," Latvian Evangelical Lutheran Church "85,500 euros," Latvian New Apostolic Church "5,200 euros," Latvian Orthodox Autonomous Church under the jurisdiction of the Patriarchate of Constantinople "5,900 euros," Latvian Orthodox Church "41,000 euros, "Latvian Pentecostal Church Center" 8,100 euros, "Latvian Old Believers' Pomeranian Church" 15,000 euros, "Riga Jewish Religious Church" 7,000 euros, "Riga Metropolitan Roman Catholic Curriculum" 65,000 euros, "Liepaja Diocese of the Roman Catholic Church" 12,700 euro</t>
  </si>
  <si>
    <t>To allocate 539 777 euros to the Ministry of Culture (Rundāle Castle Museum) for the completion of the 4th phase of the Rundāle Castle roof reconstruction in order to invest in cultural infrastructure within the framework of Covid-19 crisis management and economic recovery measures</t>
  </si>
  <si>
    <t>To address the decline in shopping center revenue</t>
  </si>
  <si>
    <t>To compensate the decline in shopping center revenue</t>
  </si>
  <si>
    <t>SRS for overtime work</t>
  </si>
  <si>
    <t>The draft regulations of the Cabinet of Ministers stipulate that the amount of support is 15 euros for each m2 of the total area indicated in the cadastral survey file of the shopping center building, not exceeding the amount of the actual decrease in revenue. The support is granted by the Latvian Investment and Development Agency, taking into account that the amount of limited support to be granted within the framework of the Temporary Regulation to one company and a group of related persons does not exceed 1,800,000 euros. It is planned to support 33 shopping centers.</t>
  </si>
  <si>
    <t>In January and February 2021, 245 SRS employees performed overtime work and, ensuring the payment of support measures, worked 3,338 overtime hours, which cost a total of 76.998.30 euros (payment for overtime work and employer's mandatory state social insurance contributions).</t>
  </si>
  <si>
    <t>Costs by years are planned: 2020. 9.3 million euro (fact), 2021 75.9 million euro, 2022 162.1 million euro, 2023 188.2 million euro, 2024 63.2 million euro</t>
  </si>
  <si>
    <t>Finansējums Tieslietu ministrijai</t>
  </si>
  <si>
    <t>Piešķirt Tieslietu ministrijai finansējumu 150 000 euro apmērā (informācija IP).</t>
  </si>
  <si>
    <t>Piešķirt Iekšlietu ministrijai 2021.gadā finansējumu 298 180 euro apmērā, lai nodrošinātu epidemioloģiskās drošības prasību ievērošanu Valsts drošības dienesta darbībā</t>
  </si>
  <si>
    <t>Lai nodrošinātu epidemioloģiskās drošības prasību ievērošanu Valsts drošības dienesta darbībā</t>
  </si>
  <si>
    <t>19.01.2021 20.04.2021</t>
  </si>
  <si>
    <t>Lai nodrošinātu Covid-19 vakcīnas iegādi, loģistiku un ievadi</t>
  </si>
  <si>
    <t>MK rīk. Nr.266 "Par finanšu līdzekļu piešķiršanu no valsts budžeta programmas "Līdzekļi neparedzētiem gadījumiem""</t>
  </si>
  <si>
    <t>MK rīkojums Nr.221 "Par finanšu līdzekļu piešķiršanu no valsts budžeta programmas "Līdzekļi neparedzētiem gadījumiem""</t>
  </si>
  <si>
    <t>Rīkojums Nr.162 "Par apropriācijas palielināšanu Veselības ministrijai"</t>
  </si>
  <si>
    <t>Rīkojums Nr.173 "Par finanšu līdzekļu piešķiršanu no valsts budžeta programmas "Līdzekļi neparedzētiem gadījumiem""</t>
  </si>
  <si>
    <t>Rīkojums Nr.208 "Par finanšu līdzekļu piešķiršanu no valsts budžeta programmas "Līdzekļi neparedzētiem gadījumiem""</t>
  </si>
  <si>
    <t>MK rīk. Nr.176 "Par finanšu līdzekļu piešķiršanu no valsts budžeta programmas "Līdzekļi neparedzētiem gadījumiem""</t>
  </si>
  <si>
    <t>Apgrozāmo līdzekļu aizdevums:
– komersantiem, lauksaimniekiem un zivsaimniekiem, kuru darbību ietekmējusi Covid-19;
– līdz 1 milj. EUR ar termiņu līdz 3 gadiem.</t>
  </si>
  <si>
    <t>Rīkojums Nr.103 "Par akciju sabiedrības "Attīstības finanšu institūcija Altum" rezerves kapitāla palielināšanu"</t>
  </si>
  <si>
    <t>Rīkojums Nr.235 "Par finanšu līdzekļu piešķiršanu no valsts budžeta programmas "Līdzekļi neparedzētiem gadījumiem""</t>
  </si>
  <si>
    <t>Noteikumi Nr.299 "Noteikumi Covid-19 krīzes skartajiem tirdzniecības centriem nomas ieņēmumu krituma kompensācijai"</t>
  </si>
  <si>
    <t>Rīkojums Nr.248 "Par finanšu līdzekļu piešķiršanu no valsts budžeta programmas "Līdzekļi neparedzētiem gadījumiem""</t>
  </si>
  <si>
    <t>Rīkojums Nr.54 "Par finansējuma sadalījumu pašvaldībām Covid-19 izraisītās krīzes pārvarēšanas un seku novēršanas pasākumu īstenošanai"</t>
  </si>
  <si>
    <t>Noteikumi Nr.86 "Atbalsts mākslas, izklaides un atpūtas nozaru komersantiem, kuru darbību ietekmējusi Covid-19 izplatība"</t>
  </si>
  <si>
    <t xml:space="preserve">MK rīkojums Nr.217 "Par finanšu līdzekļu piešķiršanu no valsts budžeta programmas "Līdzekļi neparedzētiem gadījumiem" </t>
  </si>
  <si>
    <t>Rīkojums Nr.160 "Par finanšu līdzekļu piešķiršanu no valsts budžeta programmas "Līdzekļi neparedzētiem gadījumiem""</t>
  </si>
  <si>
    <t>Rīkojums Nr.237 "Par finanšu līdzekļu piešķiršanu no valsts budžeta programmas 02.00.00 "Līdzekļi neparedzētiem gadījumiem""</t>
  </si>
  <si>
    <t>Rīkojums Nr.182 "Par finanšu līdzekļu piešķiršanu no valsts budžeta programmas 02.00.00 "Līdzekļi neparedzētiem gadījumiem""</t>
  </si>
  <si>
    <t>MK rīkojums Nr.219 "Par finanšu līdzekļu piešķiršanu no valsts budžeta programmas "Līdzekļi neparedzētiem gadījumiem""</t>
  </si>
  <si>
    <t>Rīkojums Nr.236 "Par finanšu līdzekļu piešķiršanu no valsts budžeta programmas "Līdzekļi neparedzētiem gadījumiem""</t>
  </si>
  <si>
    <t>Rīkojums Nr.186 "Par finanšu līdzekļu piešķiršanu no valsts budžeta programmas "Līdzekļi neparedzētiem gadījumiem""</t>
  </si>
  <si>
    <t>Rīkojums Nr.161 "Par finanšu līdzekļu piešķiršanu no valsts budžeta programmas "Līdzekļi neparedzētiem gadījumiem""</t>
  </si>
  <si>
    <t>15.12.2020. 16.02.2021</t>
  </si>
  <si>
    <t>Rīkojums Nr.91 "Par finanšu līdzekļu piešķiršanu no valsts budžeta programmas "Līdzekļi neparedzētiem gadījumiem""</t>
  </si>
  <si>
    <t>Rīkojums Nr.247 "Par finanšu līdzekļu piešķiršanu no valsts budžeta programmas "Līdzekļi neparedzētiem gadījumiem""</t>
  </si>
  <si>
    <t>Apstiprinātais plāns</t>
  </si>
  <si>
    <t>Lai atbalstītu ģimenei draudzīgas vides veidošanu un īstenotu atklātu projektu pieteikumu konkursu nevalstiskajām organizācijām</t>
  </si>
  <si>
    <t>Pārdale 330 000 euro apmērā no budžeta resora "74. Gadskārtējā valsts budžeta izpildes procesā pārdalāmais finansējums" programmas 11.00.00 "Demogrāfijas pasākumi" uz Sabiedrības integrācijas fonda programmu 01.00.00 "Sabiedrības integrācijas fonda vadība", lai atbalstītu ģimenei draudzīgas vides veidošanu un īstenotu atklātu projektu pieteikumu konkursu nevalstiskajām organizācijām, tādējādi mazinot Covid-19 pandēmijas sekas, kas izraisījušas negatīvas izmaiņas ģimenēs</t>
  </si>
  <si>
    <t>Kultūras pasākumu rīkotājiem nodrošināt biļešu kompensāciju 80 % apmērā</t>
  </si>
  <si>
    <t>Lai atbilstoši mērķprogrammas 2.kārtas rezultātiem kultūras pasākumu rīkotājiem nodrošinātu biļešu kompensāciju 80% apmērā par ārkārtējās situācijas laikā atceltajiem pasākumiem, nepieciešams finansējums 354 013 euro apmērā, no kuriem 166 864 euro apmērā kompensācija tiks sniegta no mērķprogrammas 1.kārtā piešķirtā finansējuma atlikuma, bet iztrūkstošo summu 187 149 euro apmērā nepieciešams pārdalīt no budžeta programmas 02.00.00 „Līdzekļi neparedzētiem gadījumiem”.</t>
  </si>
  <si>
    <t>Lai nodrošinātu nepieciešamo izmaiņu veikšanu Valsts ieņēmumu dienesta informācijas sistēmās saistībā ar pieņemtajiem lēmumiem Covid-19 pandēmijas izraisītās krīzes atbalsta pasākumu ieviešanai</t>
  </si>
  <si>
    <t>Piešķirt Finanšu ministrijai (Valsts ieņēmumu dienestam) finansējumu ne vairāk kā 390 000 euro apmērā, lai nodrošinātu nepieciešamo izmaiņu veikšanu Valsts ieņēmumu dienesta informācijas sistēmās saistībā ar pieņemtajiem lēmumiem Covid-19 pandēmijas izraisītās krīzes atbalsta pasākumu ieviešanai un saistībā ar Saeimā 2021. gada 18. martā pieņemto likumu "Grozījumi Covid-19 infekcijas izplatības seku pārvarēšanas likumā"</t>
  </si>
  <si>
    <t>Laika periodam no 2021.gada 1.decembra līdz 2021.gada 31.martam – 69 341 604 euro apmērā, tai skaitā ik mēnesi 23 113 868 euro apmērā. finansējums 23 023 910 euro apmērā novizīts citām piemaksām</t>
  </si>
  <si>
    <t>Rīkojums Nr.267 "Par finanšu līdzekļu piešķiršanu no valsts budžeta programmas "Līdzekļi neparedzētiem gadījumiem""</t>
  </si>
  <si>
    <t>Noteikumu projekts "Atbalsta Covid-19 krīzes skartajiem sporta centriem noteikumi"</t>
  </si>
  <si>
    <t>Lai nodrošinātu atbalstu komersantiem, kuru īpašumā ir sporta centri</t>
  </si>
  <si>
    <t>18.03.2021 29.04.2021</t>
  </si>
  <si>
    <t>Aizņēmumu limita izmantošana pašvaldību investīciju projektu īstenošanai</t>
  </si>
  <si>
    <t>No 12.03.2020. līdz 31.12.2020. tika piešķirti termiņa pagarinājumi par kopējo summu 312 milj.  euro t.sk.
• saskaņā ar likuma “Par nodokļiem un nodevām” 24.panta pirmās daļas 1. un 3.punktu 82,9 milj.  euro;
• saskaņā ar likuma “Par nodokļiem un nodevām” 24.panta  4.punktu (nepārvarama vara) 67,1 milj. euro;
• saskaņā ar likumu "Par valsts apdraudējuma un tā seku novēršanas un pārvarēšanas pasākumiem sakarā ar Covid-19 izplatību" vai Covid-19 infekcijas izplatības seku pārvarēšanas likumu" 162 milj. euro (t.sk. VSAOI iemaksas 2.pensiju līmenī).</t>
  </si>
  <si>
    <t>Slimnīcu pamatkapitāla palielināšana medicīniskā aprīkojuma iegādei.</t>
  </si>
  <si>
    <t>Valsts sabiedrības ar ierobežotu atbildību "PaulaStradiņa klīniskā universitātes slimnīca" pamatkapitālapalielināšanu, ieguldot tajā finanšu līdzekļus 6 100 000 euro apmērā, un valsts sabiedrības arierobežotu atbildību "Bērnu klīniskā universitātes slimnīca"pamatkapitāla palielināšanu, ieguldot tajā finanšu līdzekļus 120850 euro apmērā ambulatorā korpusa.</t>
  </si>
  <si>
    <r>
      <t xml:space="preserve">57,6 milj.  euro ir VB finansējums (PSKUS A2 korpusa pilnas funkcionalitātes nodrošināšana – 20 milj.,  PSKUS 15., 4., 24., 25.korpusu renovācija 15,6 milj., BKUS ambulatorais korpuss ar uzņemšanu un observācijas nodaļu 10,2 milj., Daugavpils, Valmieras, Liepājas, Rēzeknes, Ventspils reģionālo slimnīcu intensīvo terapijas nodaļu paplašināšanai, izolācijas boksu izveidei, pacientu plūsmu nodalīšanai  15 milj.). </t>
    </r>
    <r>
      <rPr>
        <b/>
        <sz val="11"/>
        <rFont val="Calibri"/>
        <family val="2"/>
        <scheme val="minor"/>
      </rPr>
      <t xml:space="preserve">Daļa finansējuma segta no virssaistībām (16,4 milj. eiro). Ietekme precizēta atbilstoši MK 02.09.2020. Informatīvajam ziņojumam "Par pasākumiem Covid-19 krīzes pārvarēšanai un ekonomikas atlabšanai 2020. un 2021.gadam" .  Ar MK 16.09.2020. rīkojumu Nr.509 piešķirti 2 086 759  euro. 1.  Informatīvais ziņojums "Par pasākumiem Covid-19 krīzes pārvarēšanai un ekonomikas atlabšanai" (MK 02.06.2020. sēdes prot. Nr.38 49.§); 2. Informatīvais ziņojums "Par pasākumiem Covid-19 krīzes pārvarēšanai un ekonomikas atlabšanai" (MK 02.09.2020. sēdes prot. Nr.51 55.§); 3. Informatīvais ziņojums "Par priekšlikumiem valsts budžeta ieņēmumiem un izdevumiem 2021.gadam un ietvaram 2021.-2023.gadam"(MK 22.09.2020. sēdes prot. Nr.55 38.§ 33.punkts) . </t>
    </r>
    <r>
      <rPr>
        <b/>
        <sz val="11"/>
        <color rgb="FFFF0000"/>
        <rFont val="Calibri"/>
        <family val="2"/>
        <charset val="186"/>
        <scheme val="minor"/>
      </rPr>
      <t>2021.gada finansējums VM budžeta bāzes izdevumos.</t>
    </r>
  </si>
  <si>
    <t xml:space="preserve">MK rīkojums Nr. 279 "Par finanšu līdzekļu piešķiršanu no valsts budžeta programmas "Līdzekļi neparedzētiem gadījumiem"" </t>
  </si>
  <si>
    <t>Rīkojums Nr.280 "Par apropriācijas pārdali no budžeta resora "74. Gadskārtējā valsts budžeta izpildes procesā pārdalāmais finansējums" programmas 11.00.00 "Demogrāfijas pasākumi"uz Sabiedrības integrācijas fonda budžetu"</t>
  </si>
  <si>
    <t>Naudas plūsmas deficīts 2020.gadā veido 27,54 miljoni EUR, savukārt naudas plūsmas deficīts uz 2021.gada beigām veido 49,42 miljoni EUR, kas ir arī uzskatāma par nepieciešamo minimālo valsts atbalsta finansējumu, kas nosedz naudas plūsmas deficītu. Apropriācijas palielināšana iespējama tikai pēc EK saskaņojuma saņemšanas. Finansējumu 2020. gadā nepaspēs izlietot, būs nepieciešams 2021. gadā. Atbilstoši EK lēmumam tiks piešķirti 35 230 000 eiro.</t>
  </si>
  <si>
    <t>No 2021. gada 1. marta līdz 2021. gada 31. martam, tai skaitā:
1. Valsts policijai – 479 698 euro;
2. Valsts policijas koledžai – 13 412 euro;
3. Valsts robežsardzei – 349 781 euro; 
4. Valsts robežsardzes koledžai – 7 850 euro.</t>
  </si>
  <si>
    <t>Piemaksas Iekšlietu ministrijas padotības iestāžu amatpersonām ar speciālajām dienesta pakāpēm par darbu paaugstināta riska un slodzes apstākļos laikposmā no 2021. gada 1. marta līdz 2021. gada 31. martam</t>
  </si>
  <si>
    <t>Lai kompensētu atbildīgajām institūcijām samaksu par ārstniecības personu un pārējo nodarbināto virsstundu darbu</t>
  </si>
  <si>
    <t>1. Nacionālajam veselības dienestam – 3 051 121 euro, lai  nodrošinātu samaksu ārstniecības iestādēm (2 982 875 euro) par laikposmu no 2020. gada 9. novembra līdz 2020. gada 31. decembrim un samaksu Nacionālā veselības dienesta darbiniekiem (68 246 euro) par laikposmu no 2020. gada 1. decembra līdz 2021. gada 28. februārim;
2. Neatliekamās medicīniskās palīdzības dienestam – 358 845 euro par laikposmu no 2020. gada 1. decembra līdz 2021. gada 28. februārim;
3. Slimību profilakses un kontroles centram – 253 554 euro par laikposmu no 2020. gada 1. decembra līdz 2021. gada 28. februārim.</t>
  </si>
  <si>
    <t>14.01.2021 18.05.2021</t>
  </si>
  <si>
    <t>On supported municipal investment projects for granting state loans to mitigate and prevent the consequences of the crisis caused by Covid-19</t>
  </si>
  <si>
    <t>Use of the loan limit for the implementation of municipal investment projects</t>
  </si>
  <si>
    <t>Based on the Cabinet of Ministers Regulation No. 104 "Regulations on the Criteria and Procedures for Evaluating and Issuing State Loans to Municipalities for Mitigation and Prevention of the Covid-19 Crisis" point nr. 7, lists of investment projects submitted by municipalities for granting state loans for mitigation and prevention of the Covid-19 crisis are regularly approved</t>
  </si>
  <si>
    <t>Cabinet Order No. 508 On Increasing the Appropriation for the Ministry of Health</t>
  </si>
  <si>
    <t>Increasing the share capital of hospitals for the purchase of medical equipment.</t>
  </si>
  <si>
    <t>Increase of the share capital of the State Limited Liability Company "Paula Stradiņš Clinical University Hospital" by investing financial resources in the amount of EUR 6 100 000 and increase of the share capital of the State Limited Liability Company "Children's Clinical University Hospital" by investing financial resources in the amount of EUR 120 850.</t>
  </si>
  <si>
    <t xml:space="preserve"> for Covid 19 crisis management and economic recovery, including health infrastructure, e-health and the development of rapid molecular diagnostic equipment</t>
  </si>
  <si>
    <t>Cabinet of Ministers order No. 266 "On Allocation of Financial Resources from the State Budget Program "Contingency Funds""</t>
  </si>
  <si>
    <t>To ensure the purchase, logistics and administration of Covid-19 vaccine</t>
  </si>
  <si>
    <t xml:space="preserve">To provide the Ministry of Health with funding of up to EUR 52 247 703 to strengthen the capacity and sustainability of the health sector, of which:
1. Funding for the National Health Service not exceeding EUR 52,087,557, of which:
1.1. EUR 51 027 000 to cover the purchase, logistics and administration of Covid-19 vaccine;
1.2. EUR 640 000 for a supplement to family-doctors for the achievement of Covid-19 vaccination coverage in the group of senior and chronic patients;
1.3. EUR 2 057 to provide adrenaline injections;
1.4. EUR 418 500 to provide communication measures on vaccination.
2. The Emergency Medical Service in the amount of EUR 160 146 for the provision of emergency medical care to persons in case of complications (side effects) caused by vaccination. </t>
  </si>
  <si>
    <t>Allocate EUR 101 851 201 to the Ministry of Health to cover the purchase, logistics and administration of Covid-19 vaccine (non-redistributed part)</t>
  </si>
  <si>
    <t>In order to provide bonuses from 1 April 2021 to 30 June 2021 and holiday reserve accumulation in accordance with the calculated amount of bonuses from 1 January 2021 to 30 June 2021</t>
  </si>
  <si>
    <t>to allocate funding to the Ministry of Health not exceeding 54,650,795 euros to ensure allowances from 1 April 2021 to 30 June 2021 and holiday reserve accumulation in accordance with the calculated amount of allowances from 1 January 2021 to 30 June 2021 for medical practitioners and other employees of the responsible institutions on work in a high-risk and stress-exposed public health situation in connection with the Covid-19 outbreak and its consequences</t>
  </si>
  <si>
    <t>In order to ensure the necessary changes in the information systems of the State Revenue Service in connection with the decisions taken for the implementation of crisis support measures caused by the Covid-19 pandemic</t>
  </si>
  <si>
    <t>To provide the Ministry of Finance (State Revenue Service) with funding in the amount of not more than 390,000 euros to ensure the necessary changes in the State Revenue Service information systems in connection with the decisions taken to implement crisis support measures caused by the Covid-19 pandemic and in connection with Law "Amendments to the Law on Coping with the Consequences of Covid-19 Infection"</t>
  </si>
  <si>
    <t>Draft Regulations "Regulations on Support for Covid-19 Crisis-Affected Sports Centers"</t>
  </si>
  <si>
    <t>To provide support to  sports centers businesses</t>
  </si>
  <si>
    <t xml:space="preserve">According to the data provided by the sports industry, there are 109 sports centers with an area of more than 500 m2, while the total indoor area is about 320,000 m2.
the total support for sports centers is EUR 25 * 320 000 = EUR 8 000 000. </t>
  </si>
  <si>
    <t>Draft Order "On the Allocation of Financial Resources from the State Budget Program" Contingency Funds ""</t>
  </si>
  <si>
    <t>To ensure compliance with epidemiological safety requirements in the operation of the State Security Service</t>
  </si>
  <si>
    <t>To allocate funding in the amount of 298,180 euros to the Ministry of the Interior in 2021 in order to ensure compliance with epidemiological security requirements in the operation of the State Security Service</t>
  </si>
  <si>
    <t>Draft Order "On Redistribution of Appropriations from the Budget Department" 74 Redistribution of Funding in the Annual State Budget Execution Process "Program 11.00.00" Demographic Measures "to the Budget of the Society Integration Fund"</t>
  </si>
  <si>
    <t>To support the creation of a family-friendly environment and to implement an open project application competition for non-governmental organizations</t>
  </si>
  <si>
    <t>Redistribution in the amount of EUR 330,000 from the budget department "74 Redistribution in the Process of Execution of the State Budget" program 11.00.00 "Demographic Measures" to the program of the Society Integration Fund 01.00.00 "Management of the Society Integration Fund" to support the creation of a family-friendly environment and open call for proposals for NGOs, thus mitigating the effects of the Covid-19 pandemic, which has led to negative changes in families</t>
  </si>
  <si>
    <t>Draft Order "On the Allocation of Financial Resources from the State Budget Program "Contingency Funds"</t>
  </si>
  <si>
    <t>Provide 80% ticket compensation for cultural event organizers</t>
  </si>
  <si>
    <t>In accordance with the results of the 2nd round of the target program, in order to provide 80% compensation to the organizers of cultural events for the cancellations during the emergency, EUR 354 013 is needed, of which EUR 166 864 will be reimbursed from the first round of the target program An amount of EUR 187 149 needs to be redeployed from the budget program 02.00.00 "Contingency funds".</t>
  </si>
  <si>
    <t>Order No. 54 "On the Distribution of Funding to Local Governments for the Implementation of Covid-19 Crisis Management and Consequence Prevention Measures"</t>
  </si>
  <si>
    <t>Order No. 248 "On Allocation of Financial Resources from the State Budget Program" Contingency Funds ""</t>
  </si>
  <si>
    <t>Regulation No. 299 "Regulations for Covid-19 crisis-affected shopping centers to compensate for the decrease in rental income"</t>
  </si>
  <si>
    <t>Order No. 235 "On the Allocation of Financial Resources from the State Budget Program" Contingency Funds ""</t>
  </si>
  <si>
    <t>Funding for the Ministry of Justice</t>
  </si>
  <si>
    <t>Order No. 267 "On the Allocation of Financial Resources from the State Budget Program" Contingency Funds ""</t>
  </si>
  <si>
    <t>Provide € 150,000 funding to the Ministry of Justice</t>
  </si>
  <si>
    <t>MoF Economic Analysis Department, 23rd May 2021</t>
  </si>
  <si>
    <t>Actual performance in 2021 until 23.05.2021, mln. euro</t>
  </si>
  <si>
    <t>Actual support in 2021 until 23.05.2021, mln. euro</t>
  </si>
  <si>
    <t>The cash flow deficit in 2020 amounts to EUR 27.54 million, while the cash flow deficit at the end of 2021 amounts to EUR 49.42 million, which is also considered to be the required minimum state aid funding to cover the cash flow deficit. An increase in the appropriation is possible only after EC approval. Funding will not be used in 2020, it will be necessary in 2021. EC decission for EUR 35.2 million.</t>
  </si>
  <si>
    <t>In order to provide allowances to medical practitioners and other employees of the responsible institutions</t>
  </si>
  <si>
    <t>Overtime pay for municipal police officers</t>
  </si>
  <si>
    <t>Allowances for officials of institutions subordinate to the Ministry of the Interior with special service ranks for work in conditions of increased risk and workload in the period from 1 March 2021 to 31 March 2021</t>
  </si>
  <si>
    <t xml:space="preserve">Veselības ministrijai (Nacionālajam veselības dienestam) informēt Eiropas Komisiju par Latvijas interesi 2022. gadā iegādāties Janssen izstrādātās vakcīnas pret Covid-19 </t>
  </si>
  <si>
    <t>Informatīvais ziņojums "Par vakcīnām pret Covid-19"</t>
  </si>
  <si>
    <t>MK Noteikumu projekta ietvaros uz atbalstu varētu pretendēt 110 tūkstoši uzņēmumu, kuru kopējais mēneša bruto algas fonds ir 256.9 milj. euro. Ņemot vērā ierobežojumus par 20% kritumu, pieredzi, ka parasti piesakās mazāks skaits nekā sākotnēji plānots, kā arī ierobežojumu saņemt ne vairāk kā 50 tūkstošus euro, Ekonomikas ministrijai ir pieņēmums ir ka programma ieviešanai varētu būt kopā nepieciešami 70,8 milj. euro. Atbalstu varēs saņemt tāds uzņēmums, kuram ne tikai atbalsta perioda mēnesī (2020. gada novembrī vai decembrī) apgrozījums ir krities vismaz par 20 %, salīdzinot ar vidējo apgrozījumu 2020. gada augustā, septembrī un oktobrī kopā, bet arī atbalsta perioda noteiktā mēnesī (2020.gada novembrī vai decembrī) ir apgrozījuma kritums vismaz par 30 %, salīdzinot ar apgrozījumu 2019. gada attiecīgajā mēnesī (2019.gada novembrī vai decembrī). 07.01.2021. izmaiņas nosaka,ka  atbalstu varēs saņemt tāds uzņēmums, kura atbalsta perioda mēnesī (nevis 2020.gada novembrī vai decembrī) apgrozījums ir krities vismaz par 20 %, salīdzinot ar vidējo apgrozījumu 2020. gada augustā, septembrī un oktobrī kopā, un kuram atbalsta perioda mēnesī (nevis 2020.gada novembrī vai decembrī) apgrozījums ir krities vismaz par 30 %, salīdzinot ar apgrozījumu 2019. gada attiecīgajā mēnesī. Atbalsts pagarināts līdz 30.jūnijam 2021, paredzot papildus 50 milj. eiro</t>
  </si>
  <si>
    <t>Lai nodrošinātu atbalstu bērnu un jauniešu vasaras nometņu organizēšanai Covid-19 pandēmijas laikā.</t>
  </si>
  <si>
    <t>Lai nodrošinātu atbalstu supervīzijām pedagogiem Covid-19 pandēmijas laikā.</t>
  </si>
  <si>
    <t>1. Dienas nometņu īstenošanai– 2 194 500,00 euro (aptuveni 23100 bērni x vidēji 5 dienas x 19 euro);
2. Atbalstam nometņu programmas administrēšanai – 8 005 euro (3 darbinieki * ar vidējo atlīdzību 1 482,26 euro * 30% piemaksa * 6 mēneši).</t>
  </si>
  <si>
    <t>Piešķirt Izglītības un zinātnes ministrijai  825 000 euro atbalstam supervīzijām pedagogiem Covid-19 pandēmijas radīto seku mazināšanai (5500 supervīzijas x 150 euro)</t>
  </si>
  <si>
    <t>08.04.2021 27.05.2021</t>
  </si>
  <si>
    <t>1. Nacionālajam veselības dienestam par periodu 2021.gada janvāris – februāris 7 799 830 euro apmērā, tai skaitā:
1.1. par ambulatorajiem veselības aprūpes pakalpojumiem 4 535 808 euro;
1.2.par stacionārajiem veselības aprūpes pakalpojumiem 2 757 850 euro;
1.3. par laboratorisko izmeklējumu organizēšanu 465 262 euro;
1.4. par transporta pakalpojumiem 40 910 euro.
2. Neatliekamās medicīniskās palīdzības dienestam par periodu 2021.gada februāris – marts 105 625 euro apmērā dezinfekcijas un individuālo aizsardzības līdzekļu iegādei.</t>
  </si>
  <si>
    <t>1. ambulatorās rehabilitācijas nodrošināšanai – ne vairāk kā 26 682 euro;
2. dienas stacionāra rehabilitācijas nodrošināšanai – ne vairāk kā 411 251 euro;
3. subakūtās rehabilitācijas nodrošināšanai stacionārā, tai skaita, papildu skābekļa atbalstam – ne vairāk kā 1 508 199 euro.</t>
  </si>
  <si>
    <t>Lai nodrošinātu rehabilitācijas pakalpojumus pacientiem pēc pārslimota Covid-19</t>
  </si>
  <si>
    <t>Ambulatorajiem, stacionārajiem veselības aprūpes pakalpojumiem, laboratorisko izmeklējumu organizēšanai un dezinfekcijas, individuālo aizsardzības līdzekļu iegādei</t>
  </si>
  <si>
    <t>1.2. 11 450 695 euro, 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 gada 1. pusgadā; 
1.3. 1224 euro, lai kompensētu valsts sabiedrības ar ierobežotu atbildību "Autotransporta direkcija" izdevumus saistībā ar pasažieru pārvadājumu pakalpojumu nodrošināšanu personām, kas ierodas no ārvalstīm ar repatriācijas reisiem.</t>
  </si>
  <si>
    <t>Nodrošinot atbalstu psihiskās veselības veicināšanas pasākumiem skolās Covid-19 pandēmijas radīto seku mazināšanai</t>
  </si>
  <si>
    <t>Piešķirt Izglītības un zinātnes ministrijai  372 000 euro atbalstam psihiskās veselības veicināšanas pasākumiem skolās Covid-19 pandēmijas radīto seku mazināšanai</t>
  </si>
  <si>
    <t>1.1. 11 556 824 euro Izglītības un zinātnes ministrijai (62.resors);
1.2. 682 804 euro Izglītības un zinātnes ministrijai (15.resors);
1.3. 2 602 euro Zemkopības ministrijai;
1.4. 2 278 euro Labklājības ministrijai;
1.5. 67 368 euro Kultūras ministrijai.</t>
  </si>
  <si>
    <t>Ministru kabineta 2021.gada 11.janvāra rīkojums Nr.13 "Par finanšu līdzekļu piešķiršanu no valsts budžeta programmas "Līdzekļi neparedzētiem gadījumiem"</t>
  </si>
  <si>
    <t>Ministru kabineta 2021. gada 11. janvāra rīkojums Nr. 15  "Par finanšu līdzekļu piešķiršanu no valsts budžeta programmas  "Līdzekļi neparedzētiem gadījumiem""</t>
  </si>
  <si>
    <t>Ministru kabineta 2021. gada 1. marta rīkojums Nr. 130 "Par finanšu līdzekļu piešķiršanu no valsts budžeta programmas "Līdzekļi neparedzētiem gadījumiem""</t>
  </si>
  <si>
    <t>Grozījumi Ministru kabineta 2020.gada 23.aprīļa rīkojumā Nr.219 "Par valsts akciju sabiedrības "Starptautiskā lidosta "Rīga"" pamatkapitāla palielināšanu</t>
  </si>
  <si>
    <t>23.04.2020 01.06.2021</t>
  </si>
  <si>
    <t>Piešķirt Finanšu ministrijai (Valsts ieņēmumu dienestam)  finansējumu 113 074 euro apmērā, lai nodrošinātu samaksu par virsstundu darbu atbilstoši faktiskajam virsstundu apjomam laikposmā no 2021. gada 1. marta līdz 2021. gada 30. aprīlim Valsts ieņēmumu dienesta nodarbinātajiem, kuri nodrošina atbalsta izmaksu Covid-19 krīzes skartajiem uzņēmumiem</t>
  </si>
  <si>
    <t>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 gada 1. pusgadā</t>
  </si>
  <si>
    <t>Rīkojums Nr.342 "Par finanšu līdzekļu piešķiršanu no valsts budžeta programmas 02.00.00 "Līdzekļi neparedzētiem gadījumiem”</t>
  </si>
  <si>
    <t>MK rīkojums Nr.175 Par atbalstītajiem pašvaldībuinvestīciju projektiem valsts aizdevumu piešķiršanai Covid-19izraisītās krīzes seku mazināšanai un novēršanai</t>
  </si>
  <si>
    <t>MK rīkojums Nr.300 Par atbalstītajiem pašvaldībuinvestīciju projektiem valsts aizdevumu piešķiršanai Covid-19izraisītās krīzes seku mazināšanai un novēršanai</t>
  </si>
  <si>
    <t>MK rīkojums Nr.357 Par atbalstītajiem pašvaldībuinvestīciju projektiem valsts aizdevumu piešķiršanai Covid-19izraisītās krīzes seku mazināšanai un novēršanai</t>
  </si>
  <si>
    <t>1.1. 2021. gadā - 17 402 048,79 euro apmērā no likuma"Par valsts budžetu 2021.gadam" 12. panta trešajā daļā minētā pašvaldību aizņēmumu palielinājuma 150 000 000 euroapmērā;
1.2. 2022. gadā - 5 183 347,52 euro apmērā no likuma"Par vidēja termiņa budžeta ietvaru 2021., 2022. un 2023. gadam" 14. pantā noteiktā pašvaldību kopējo aizņēmumu palielinājuma 118138 258 euro apmērā.</t>
  </si>
  <si>
    <t>1.1. 2021. gadā - 10 833 107,59 euro apmērā no likuma"Par valsts budžetu 2021. gadam" 12. panta trešajā daļā minētā pašvaldību aizņēmumu palielinājuma 150 000 000 euroapmērā;
1.2. 2022. gadā - 3 186 226,46 euro apmērā no likuma"Par vidēja termiņa budžeta ietvaru 2021., 2022. un 2023. gadam" 14. pantā noteiktā pašvaldību kopējo aizņēmumu palielinājuma 118138 258 euro apmērā.</t>
  </si>
  <si>
    <t>1.1. 2021. gadā - 7 106 436,78 euro apmērā no likuma"Par valsts budžetu 2021. gadam" 12. panta trešajā daļā minētā pašvaldību aizņēmumu palielinājuma 150 000 000 euroapmērā;
1.2. 2022. gadā - 1 880 375,75 euro apmērā no likuma"Par vidēja termiņa budžeta ietvaru 2021., 2022. un 2023. gadam" 14. pantā noteiktā pašvaldību kopējo aizņēmumu palielinājuma 118138 258 euro apmērā.</t>
  </si>
  <si>
    <r>
      <t xml:space="preserve">Atbilstoši informatīvā ziņojuma “Veselības nozares kapacitātes celšana un noturības stiprināšana Covid-19 apstākļos Latvijā” pielikumā ietverto pasākumu īstenošanai nepieciešams papildus valsts budžeta finansējums 244 578 642 euro apmērā (MK 08.12.2020. sēdes prot. Nr.81 7.§). Savukārt finansējums 56 782 929 euro apmērā ir iekļauts  MK noteikumu “Grozījumi Ministru kabineta 2018.gada 28.augusta noteikumos Nr.555 “Veselības aprūpes pakalpojumu organizēšanas un samaksas kārtība”” anotācijā (MK 17.12.2020. sēdes prot. Nr.84. 78.§), finansējums 341 069 euro ir iekļauts  MK 5.01.2021. rīkojuma Nr.2 “Par finanšu līdzekļu piešķiršanu no valsts budžeta programmas “Līdzekļi neparedzētiem gadījumiem” 1.15.apakšpunktā un finansējums 3 545 726 euro ir iekļauts MK 19.01.2021. rīkojuma Nr.5 “Par finanšu līdzekļu piešķiršanu no valsts budžeta programmas “Līdzekļi neparedzētiem gadījumiem”” (prot. Nr.7 5.§).  Ņemot vērā minēto, ailē “Apstiprinātais atbalsts, milj. euro” jānorāda 97 248 378 euro (244 578 642 -56 782 929 – 341 069 – 3 545 726 -21 617 592 - 65 042 948 = 97 248 378). </t>
    </r>
    <r>
      <rPr>
        <sz val="11"/>
        <rFont val="Calibri"/>
        <family val="2"/>
        <charset val="186"/>
        <scheme val="minor"/>
      </rPr>
      <t>Atlikums 97,2 milj. eiro, tostarp iespējams 42,97 (iepriekš 51,3) milj. eiro tiks finansēts no ES fondiem. 32,521474 milj. eiro no 17.12.2020. MK lēmuma.</t>
    </r>
  </si>
  <si>
    <t>MK rīkojums Nr.320 "Par finanšu līdzekļu piešķiršanu no valsts budžeta programmas "Līdzekļi neparedzētiem gadījumiem""</t>
  </si>
  <si>
    <t>MK rīkojums Nr.321 "Par finanšu līdzekļu piešķiršanu no valsts budžeta programmas "Līdzekļi neparedzētiem gadījumiem""</t>
  </si>
  <si>
    <t xml:space="preserve">MK rīkojums Nr. 270 "Par finanšu līdzekļu piešķiršanu no valsts budžeta programmas "Līdzekļi neparedzētiem gadījumiem"" </t>
  </si>
  <si>
    <t>Atbalsts bērna vecākam, aizbildnim, audžuģimenei vai ilgstošas sociālās aprūpes un sociālās rehabilitācijas institūcijas vadītājam 500 euro apmērā par katru bērnu</t>
  </si>
  <si>
    <t>Kopējais prognozējamais bērnu skaits, par kuriem tiks izmaksāts atbalsts, ir 364 097.
Līdz ar to, lai nodrošinātu vienreizēju finansiālu atbalstu personām, kuras audzina bērnu nepieciešams papildu finansējums364 097 bērni x500 euro=182 048 500 euro apmērā. Papildus, lai nodrošinātu minētā atbalsta izmaksas, nepieciešamas izmaiņas VSAA IT sistēmās, veicot sistēmas pielāgošanu 75 cilvēkdienas x 471,9 euro/cilv.d. = 35 393 euro. Ar MK 27.05.2021. rīkojumu Nr.343 finansējums vienreizēja atbalsta izmaksas nodrošināšanai tika palielināts līdz 187 548 500 euro</t>
  </si>
  <si>
    <t>MK rīk. Nr.277 "Par finanšu līdzekļu piešķiršanu no valsts budžeta programmas "Līdzekļi neparedzētiem gadījumiem""</t>
  </si>
  <si>
    <t>MK rīk. Nr.326 "Par finanšu līdzekļu piešķiršanu no valsts budžeta programmas "Līdzekļi neparedzētiem gadījumiem""</t>
  </si>
  <si>
    <t>MK rīk. Nr.345 "Par finanšu līdzekļu piešķiršanu no valsts budžeta programmas "Līdzekļi neparedzētiem gadījumiem""</t>
  </si>
  <si>
    <t>MK rīk. Nr.356 "Par finanšu līdzekļu piešķiršanu no valsts budžeta programmas "Līdzekļi neparedzētiem gadījumiem""</t>
  </si>
  <si>
    <t xml:space="preserve">Jaunu gultu izveidei un medicīnisko iekārtu un papildaprīkojuma iegādei </t>
  </si>
  <si>
    <t>Rīkojums Nr.348 "Par finanšu līdzekļu piešķiršanu no valsts budžeta programmas "Līdzekļi neparedzētiem gadījumiem""</t>
  </si>
  <si>
    <t>Rīkojums Nr.350 "Par finanšu līdzekļu piešķiršanu no valsts budžeta programmas "Līdzekļi neparedzētiem gadījumiem""</t>
  </si>
  <si>
    <t>Rīkojums Nr.349 "Par apropriācijas pārdali no budžeta resora "74. Gadskārtējā valsts budžeta izpildes procesā pārdalāmais finansējums" programmas 11.00.00 "Demogrāfijas pasākumi" uz Izglītības un zinātnes ministrijas budžetu"</t>
  </si>
  <si>
    <t>Rīkojums Nr.278 "Par finanšu līdzekļu piešķiršanu no valsts budžeta programmas "Līdzekļi neparedzētiem gadījumiem""</t>
  </si>
  <si>
    <t>Piešķirt Kultūras ministrijai pārskaitīšanai valsts sabiedrībai ar ierobežotu atbildību „Rīgas cirks” 300 000 euro Rīgas cirka vēsturiskās ēkas Merķeļa ielā 4, Rīgā, pārbūves īstenošanai, lai Covid-19 krīzes seku pārvarēšanas un ekonomikas atlabšanas pasākumu ietvaros veiktu investīcijas kultūras infrastruktūrā</t>
  </si>
  <si>
    <t>Informācijas sistēmai “Personu uzraudzības informācijas sistēma” (IECIS)</t>
  </si>
  <si>
    <t>Piešķirt Iekšlietu ministrijai (Iekšlietu ministrijas Informācijas centram) finansējumu 30 000 euro, lai nodrošinātu informācijas sistēmas “Personu uzraudzības informācijas sistēma (IECIS)  attīstību.</t>
  </si>
  <si>
    <t>1.1. Valsts policijai – 3 811 876 euro;
1.2. Valsts policijas koledžai – 44 784 euro;
1.3. Valsts robežsardzei – 612 671 euro; 
1.4. Valsts robežsardzes koledžai – 19 056 euro.</t>
  </si>
  <si>
    <t>MK rīkojums Nr.392 "Par finanšu līdzekļu piešķiršanu no valsts budžeta programmas "Līdzekļi neparedzētiem gadījumiem"</t>
  </si>
  <si>
    <t>Rīkojums Nr.391 "Par finanšu līdzekļu piešķiršanu no valsts budžeta programmas "Līdzekļi neparedzētiem gadījumiem""</t>
  </si>
  <si>
    <t>Rīkojums Nr.393 "Par finanšu līdzekļu piešķiršanu no valsts budžeta programmas "Līdzekļi neparedzētiem gadījumiem""</t>
  </si>
  <si>
    <t>Rīkojums Nr.365 "Par finanšu līdzekļu piešķiršanu no valsts budžeta programmas "Līdzekļi neparedzētiem gadījumiem""</t>
  </si>
  <si>
    <t>Ministru kabineta rīkojums Nr.409 “Par apropriācijas pārdali starp Kultūras ministrijas budžeta apakšprogrammām”</t>
  </si>
  <si>
    <t>Lai mazinātu Covid-19 krīzes radīto negatīvo seku ietekmi uz kultūras nozari</t>
  </si>
  <si>
    <t>Pārdale no Kultūras ministrijas budžeta apakšprogrammas 25.02.00 uz šādām budžeta apakšprogrammām:
1.1. 19.07.00 “Mākslas un literatūra” 172 710 euro, pārskaitīšanai Liepājas pilsētas pašvaldībai sabiedrības ar ierobežotu atbildību “Liepājas teātris” darbības nodrošināšanai;
1.2. 25.01.00 “Valsts kultūrkapitāla fonda darbības nodrošināšana” 20 236 euro, lai Valsts kultūrkapitāla fonds nodrošinātu ekspertiem samaksu par projektu izvērtēšanu.</t>
  </si>
  <si>
    <t>1. Piešķirt Satiksmes ministrijai finansējumu 39 426 euro apmērā, lai kompensētu mobilo sakaru operatoru izdevumus, kas radušies, nosūtot viesabonentiem, kuri ir reģistrējušies Latvijas mobilo sakaru operatora tīklā, SMS paziņojumu laikposmā no 2021. gada 1.janvāra līdz 2021. gada 31. martam.
2. Piešķirt Satiksmes ministrijai finansējumu 6 412 euro apmērā, lai kompensētu mobilo sakaru operatoru izdevumus, kas radušies, nosūtot viesabonentiem, kuri ir reģistrējušies Latvijas mobilo sakaru operatora tīklā, SMS paziņojumu laikposmā no 2020. gada 28.septembra līdz 2020. gada 31. decembrim, bet netika kompensēti.</t>
  </si>
  <si>
    <t>Lai nodrošinātu notekūdeņu monitoringu Covid-19 un citu riska faktoru uzraudzībai un kontrolei</t>
  </si>
  <si>
    <t>Piešķirt Zemkopības ministrijai finansējumu, kas nepārsniedz 339 430 euro, lai valsts zinātniskais institūts "Pārtikas drošības, dzīvnieku veselības un vides zinātniskajam institūtam "BIOR"" nodrošinātu notekūdeņu monitoringu Covid-19 un citu riska faktoru uzraudzībai un kontrolei.</t>
  </si>
  <si>
    <t>Iekārtu iegādei, kas nepieciešamas Covid-19 sertifikāta verifikācijai</t>
  </si>
  <si>
    <t>Piešķirt Iekšlietu ministrijai (Iekšlietu ministrijas Informācijas centram) finansējumu ne vairāk kā 364 210 euro apmērā, lai Iekšlietu ministrijas sistēmas iestāžu vajadzībām iegādātos gala iekārtas, kas nepieciešamas Covid-19 sertifikāta verifikācijai.</t>
  </si>
  <si>
    <t>Piešķirt Izglītības un zinātnes ministrijai 1 217 154 euro augstas gatavības projektu (Rīgas Valsts tehnikuma mācību korpusa atjaunošana, Kuldīgas Tehnoloģiju un tūrisma tehnikuma tehnoloģiju centra būvniecība, Rīgas Mākslas un mediju tehnikuma mediju mācību korpusa gaismošanas tehnikas sistēmas iegāde un uzstādīšana un Liepājas Valsts tehnikuma mācību korpusa, 3. un 4. stāva pārbūve) īstenošanai, lai Covid-19 krīzes seku pārvarēšanas un ekonomikas atlabšanas pasākumu ietvaros veiktu investīcijas profesionālās izglītības iestāžu infrastruktūrā.</t>
  </si>
  <si>
    <t>MK rīkojums Nr. 441Par finanšu līdzekļu piešķiršanu no valsts budžeta programmas "Līdzekļi neparedzētiem gadījumiem"</t>
  </si>
  <si>
    <t>Lai stabilizētu finanšu situāciju kultūras mantojuma iestādēs</t>
  </si>
  <si>
    <t>Piešķirt Vides aizsardzības un reģionālās attīstības ministrijai 2 675 980 euro, lai 2021.gadam nodrošinātu valsts budžeta finansējumu atbalstītajiem augstas gatavības pašvaldību investīciju projektiem, kas saistīti ar izglītības iestāžu ventilācijas sistēmu uzlabošanu.</t>
  </si>
  <si>
    <t>Rīkojums Nr.454 Par finanšu līdzekļu piešķiršanu no valsts budžeta programmas "Līdzekļi neparedzētiem gadījumiem"</t>
  </si>
  <si>
    <t>13.05.2021
29.06.2021</t>
  </si>
  <si>
    <t>Virsstundu darba apmaksa  pašvaldību policijas darbiniekiem
MK rīk.nr. 320 un MK rīk. Nr. 452</t>
  </si>
  <si>
    <t>MK rīkojums Nr. 456 Par finanšu līdzekļu piešķiršanu no valsts budžeta programmas "Līdzekļi neparedzētiem gadījumiem"</t>
  </si>
  <si>
    <t>Lai  mazinātu Covid-19 krīzes radīto negatīvo seku ietekmi uz kultūras nozari</t>
  </si>
  <si>
    <t>Mk rīk. nr 456_  29.06.2021. Piešķirt Kultūras ministrijai 1 000 000 euro, lai mazinātu Covid-19 krīzes radīto negatīvo seku ietekmi uz kultūras nozari, tai skaitā:
1. 700 000 euro Valsts kultūrkapitāla fondam kultūras piedāvājuma sabiedrībai attīstīšanai; 
2. 300 000 euro Latvijas Nacionālajai bibliotēkai grāmatu iepirkuma programmas publiskajām bibliotēkām īstenošanai.</t>
  </si>
  <si>
    <t>VID Muitas pārvaldes amatpersonām piemaksas</t>
  </si>
  <si>
    <t>MK rīk. Nr.460 "Par finanšu līdzekļu piešķiršanu no valsts budžeta programmas "Līdzekļi neparedzētiem gadījumiem""</t>
  </si>
  <si>
    <t>30.06.2021 MK rīk. nr. 460_ Piešķirt Finanšu ministrijai (Valsts ieņēmumu dienestam)  finansējumu 585 480 EUR apmērā, lai segtu izdevumus, kas saistīti ar piemaksu izmaksu Valsts ieņēmumu dienesta Nodokļu un muitas policijas pārvaldes un Muitas pārvaldes amatpersonām ar speciālajām dienesta pakāpēm par darbu paaugstināta riska un slodzes apstākļos sabiedrības veselības apdraudējuma situācijā saistībā ar Covid-19 uzliesmojumu un seku novēršanu laikposmā no 2021. gada 1.marta līdz 2021. gada 31.maijam.</t>
  </si>
  <si>
    <t>MK rīk. nr 498 Par finanšu līdzekļu piešķiršanu no valsts budžeta programmas "Līdzekļi neparedzētiem gadījumiem"</t>
  </si>
  <si>
    <t>MK rīk. nr. 506 Par finanšu līdzekļu piešķiršanu no valsts budžeta programmas "Līdzekļi neparedzētiem gadījumiem"</t>
  </si>
  <si>
    <t>piešķirt Izglītības un zinātnes ministrijai 1 576 000 euro pārskaitīšanai Rīgas Tehniskajai universitātei Zinātnes inovāciju centra infrastruktūras izveidei un Koplietošanas auditoriju centra būvniecībai, lai Covid-19 krīzes seku pārvarēšanas un ekonomikas atlabšanas pasākumu ietvaros veiktu investīcijas pētniecības infrastruktūrā</t>
  </si>
  <si>
    <t>MK rīk. nr. 507 Par finanšu līdzekļu piešķiršanu no valsts budžeta programmas "Līdzekļi neparedzētiem gadījumiem"</t>
  </si>
  <si>
    <t>piešķirt Izglītības un zinātnes ministrijai 530 868 euro pārskaitīšanai Rēzeknes Tehnoloģiju akadēmijai Inženieru fakultātes ēkas remontdarbiem, lai Covid-19 krīzes seku pārvarēšanas un ekonomikas atlabšanas pasākumu ietvaros veiktu investīcijas pētniecības infrastruktūrā.</t>
  </si>
  <si>
    <t>MK rīk.nr.493 Par finanšu līdzekļu piešķiršanu no valsts budžeta programmas "Līdzekļi neparedzētiem gadījumiem"</t>
  </si>
  <si>
    <t>piešķirt Kultūras ministrijai (profesionālās izglītības kompetences centram "Nacionālā Mākslu vidusskola") 849 399 euro profesionālās izglītības kompetences centra "Nacionālā Mākslu vidusskola" multifunkcionālās zāles pārbūvei un aprīkošanai, lai Covid-19 krīzes seku pārvarēšanas un ekonomikas atlabšanas pasākumu ietvaros veiktu investīcijas kultūras infrastruktūrā.</t>
  </si>
  <si>
    <t>MK rīk.nr.495 Par finanšu līdzekļu piešķiršanu no valsts budžeta programmas "Līdzekļi neparedzētiem gadījumiem"</t>
  </si>
  <si>
    <t>piešķirt Kultūras ministrijai pārskaitīšanai valsts akciju sabiedrībai "Valsts nekustamie īpašumi" 1 105 445 euro valsts sabiedrības ar ierobežotu atbildību "Latvijas Nacionālā opera un balets" skatuves mākslu dekorāciju darbnīcu un mēģinājuma zāļu kompleksa izbūvei, lai Covid-19 krīzes seku pārvarēšanas un ekonomikas atlabšanas pasākumu ietvaros</t>
  </si>
  <si>
    <t>MK rīk.nr.496 Par finanšu līdzekļu piešķiršanu no valsts budžeta programmas "Līdzekļi neparedzētiem gadījumiem"</t>
  </si>
  <si>
    <t>piešķirt Kultūras ministrijai (Valsts kultūrkapitāla fondam) 639 740 euro, lai atbilstoši mērķprogrammas "Kultūras pasākumu rīkotāju biļešu kompensācija" 3. kārtas rezultātiem kultūras pasākumu rīkotājiem nodrošinātu biļešu kompensāciju 80 % apmērā par ārkārtējās situācijas laikā atceltajiem pasākumiem.</t>
  </si>
  <si>
    <t>MK rīk.nr.497 Par finanšu līdzekļu piešķiršanu no valsts budžeta programmas "Līdzekļi neparedzētiem gadījumiem"</t>
  </si>
  <si>
    <t>27.04.2021
07.07.2021</t>
  </si>
  <si>
    <t>Lai nodrošinātu piemaksas no 2021. gada 1. aprīļa līdz 2021. gada 30. jūnijam un atvaļinājuma rezerves uzkrājumu atbilstoši aprēķinātajai piemaksu summai no 2021. gada 1. janvāra līdz 2021. gada 30. jūnijam
grozījumi ar 07.07.2021 MK rīk.505</t>
  </si>
  <si>
    <t>piešķirt Veselības ministrijai finansējumu, kas nepārsniedz 54 650 795 euro, lai nodrošinātu piemaksas no 2021. gada 1. aprīļa līdz 2021. gada 30. jūnijam un atvaļinājuma rezerves uzkrājumu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novēršanuMK rīk. nr. 505 (prot. Nr. 51 126.§), samazina ar 277.rīk piešķirtos līdzekļus par 4,4m.</t>
  </si>
  <si>
    <t>MK rīk. Nr.505 "Par finanšu līdzekļu piešķiršanu no valsts budžeta programmas "Līdzekļi neparedzētiem gadījumiem""</t>
  </si>
  <si>
    <t xml:space="preserve">Piemaksas atbildīgo institūciju ārstniecības personām un citiem nodarbinātajiem 2021.gada  jūlijā- septembrī </t>
  </si>
  <si>
    <t xml:space="preserve">Piešķirt VM  finansējumu, kas nepārsniedz 18 369 960 euro,lai nodrošinātu piemaksas un atvaļinājuma rezerves uzkrājumuatbilstoši aprēķinātājai piemaksu summai no 2021. gada 1. jūlija līdz 2021. gada 30. septembrim, t.sk. 
1.1. finansējumu, kas nepārsniedz 16 994 373 euro,piemaksu nodrošināšanai;
1.2. finansējumu, kas nepārsniedz 1 375 587 euro,atvaļinājuma rezerves uzkrājumu nodrošināšanai.
2. Noteikt, ka šā rīkojuma 1. punktā minēto izdevumu segšanai tiek  novirzīts atbilstoši MK 2021. gada 27. aprīļa rīkojumam Nr. 277 , VM piešķirtais un neizlietotais finansējums 4 374 757 euro apmērā.
</t>
  </si>
  <si>
    <t xml:space="preserve">MK rīkojums Nr. 500 "Par finanšu līdzekļu piešķiršanu no valsts budžeta programmas "Līdzekļi neparedzētiem gadījumiem"" </t>
  </si>
  <si>
    <t>piešķirt Iekšlietu ministrijai finansējumu 760 854 euro apmērā,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maija līdz 2021. gada 31. maijam, tai skaitā:
1.1. Valsts policijai - 441 363 euro;
1.2. Valsts policijas koledžai - 1 294 euro;
1.3. Valsts robežsardzei - 318 197 euro.</t>
  </si>
  <si>
    <t>Nr.438
22.06.2021
(prot. Nr.49 55.§)</t>
  </si>
  <si>
    <t>Rīgas Tūrisma un radošo industriju tehnikums " pamatkapitāla palielināšanu, ieguldot tajā finanšu līdzekļus 394 635 euro apmērā augstas gatavības projekta īstenošanai mācību korpusa un darbnīcu korpusa pārbūvē Rīgā, Augusta Deglava iela 41A, lai  Covid-19 krīzes seku pārvarēšanas un ekonomikas atlabšanas pasākumu ietvaros veiktu investīcijas profesionālās izglītības iestāžu infrastruktūrā.</t>
  </si>
  <si>
    <t>MK rīkojums Nr. 442 Par finanšu līdzekļu piešķiršanu no valsts budžeta programmas "Līdzekļi neparedzētiem gadījumiem"</t>
  </si>
  <si>
    <t xml:space="preserve"> VSIA pamatkapitāla palielināšana, kurās KM ir daļu turētāja</t>
  </si>
  <si>
    <t xml:space="preserve">Atbalstīt valsts sabiedrību ar ierobežotu atbildību, kurās Kultūras ministrija ir valsts kapitāla daļu turētāja, pamatkapitāla palielināšanu, ieguldot tajās finanšu līdzekļus 1 908 656 euro apmērā, lai nodrošinātu to stabilitāti Covid-19 izplatības radīto negatīvo seku apstākļos, tai skaitā (skat. rīkojumu saitē)
</t>
  </si>
  <si>
    <t>MK rīk. Nr.502 "Par finanšu līdzekļu piešķiršanu no valsts budžeta programmas "Līdzekļi neparedzētiem gadījumiem""</t>
  </si>
  <si>
    <t>preparāta REGN-CoV2 iegāde</t>
  </si>
  <si>
    <t>gaisa kvalitātes un telpu klimata monitoringa sensoru, kā arī gaisa kvalitātes un telpu klimata monitoringa bāzes staciju iegādi Labklājības ministrijas valdījumā esošajām ēkām, Šampētera Nams</t>
  </si>
  <si>
    <t>piešķirt Labklājības ministrijai finansējumu, kas nepārsniedz 312 320 euro, lai nodrošinātu gaisa kvalitātes un telpu klimata monitoringa sensoru, kā arī gaisa kvalitātes un telpu klimata monitoringa bāzes staciju iegādi Labklājības ministrijas valdījumā esošajām ēkām un valsts sabiedrības ar ierobežotu atbildību "ŠAMPĒTERA NAMS" valdījumā esošajām ēkām, kurās  pakalpojumus nodrošina Labklājības ministrijas padotības iestādes, kā arī ilgstošas sociālās aprūpes un rehabilitācijas institūcijām</t>
  </si>
  <si>
    <t>piešķirt Veselības ministrijai (Neatliekamās medicīniskās palīdzības dienestam) finansējumu, kas nepārsniedz 206 004 euro, lai nodrošinātu personu ar pozitīviem Covid-19 testiem nogādāšanu uz dzīvesvietu vai uzturēšanās vietu</t>
  </si>
  <si>
    <t>Par CO2 gaisa kvalitātes mērītāju iegādi izglītības iestādēm</t>
  </si>
  <si>
    <t>Lai nodrošinātu C19 pozitīvu personu nogādāšanu uz dzīvesvietu</t>
  </si>
  <si>
    <t>08.06.2021
22.06.2021</t>
  </si>
  <si>
    <t>VM (NVD) informēt EK par Latvijas interesi 2022. gadā iegādāties 631 060 devu Moderna izstrādātās vakcīnas pret Covid-19 20 559 973 EUR (bez PVN) apmērā, kas ietver vakcīnas iegādes, loģistikas pakalpojuma un vakcīnas ievades izmaksas
22.06.2021. (prot.Nr.49 70.§) VM (NVD) informē EK par nodomu 2022. gadā iegādāties papildu 73 211 devu Moderna izstrādātās vakcīnas pret Covid-19 2 382 232 EUR (bez PVN)</t>
  </si>
  <si>
    <t>Valneva vakcīnas pret Covid-19 iegādei 2022.gadā</t>
  </si>
  <si>
    <t xml:space="preserve">MK rīkojums Nr. 513 "Par finanšu līdzekļu piešķiršanu no valsts budžeta programmas "Līdzekļi neparedzētiem gadījumiem"" </t>
  </si>
  <si>
    <t>Finanšu ministrijai no valsts budžeta programmas 02.00.00 "Līdzekļi neparedzētiem gadījumiem" piešķirt Veselības ministrijai finansējumu 3 673 822 euro apmērā, lai segtu izdevumus, kas radušies saistībā ar Covid-19 uzliesmojumu un seku novēršanu, no tiem:</t>
  </si>
  <si>
    <t xml:space="preserve">lai segtu izdevumus, kas radušies saistībā ar Covid-19 uzliesmojumu </t>
  </si>
  <si>
    <t>MK rīk. nr. 494 Par finanšu līdzekļu piešķiršanu no valsts budžeta programmas "Līdzekļi neparedzētiem gadījumiem"</t>
  </si>
  <si>
    <t>MK rīk. nr. 503 Par finanšu līdzekļu piešķiršanu no valsts budžeta programmas "Līdzekļi neparedzētiem gadījumiem"</t>
  </si>
  <si>
    <t>1. Finanšu ministrijai no valsts budžeta programmas 02.00.00 "Līdzekļi neparedzētiem gadījumiem" piešķirt Veselības ministrijai finansējumu 3 123 809 euro apmērā, lai segtu izdevumus, kas radušies saistībā ar Covid-19 uzliesmojumu un seku novēršanu, no tiem:</t>
  </si>
  <si>
    <t>17.12.2020
06.07.2021</t>
  </si>
  <si>
    <t>65 081 781 euro apmērā (noteikumu 243.1., 243.2., 243.3., 243.4., 244., 245., 246. punkts) nepieciešams segt no valsts budžeta programmas 02.00.00 “Līdzekļi neparedzētiem gadījumiem” 
Grozījumi 06.07.2021</t>
  </si>
  <si>
    <t>Aktualizētais plāns</t>
  </si>
  <si>
    <t>Novērtējums uz Budget 2022-2024</t>
  </si>
  <si>
    <t>Prognoze uz Budget 2022-2024</t>
  </si>
  <si>
    <t>Aizdevumi ar kapitāla atlaidi investīciju projektiem komersantiem konkurētspējas veicināšanai</t>
  </si>
  <si>
    <t>Noteikumi par aizdevumiem ar kapitāla atlaidi investīciju projektiem komersantiem konkurētspējas veicināšanai</t>
  </si>
  <si>
    <t xml:space="preserve">Aizdevums ar kapitāla atlaidi, kur pēc noteiktu kritēriju izpildes pēc projekta realizācijas tiek samazināta aizdevuma pamatsumma. Aizdevums paredzēts dzīvotspējīgu uzņēmējdarbības projektu īstenošanai ar mērķi atbalstīt lielus investīciju projektus, kuri ir vērsti uz jaunu iekārtu un tehnoloģisko procesu ieviešanu </t>
  </si>
  <si>
    <t xml:space="preserve">04.03.2021 18.03.2021
</t>
  </si>
  <si>
    <r>
      <t xml:space="preserve">Pašvaldību institūcijas iesniegušas aprēķinus par pašvaldību institūciju izdevumiem, kas radušies no 2021. gada 1. janvāra līdz 2021. gada 7. februārim, lai nodrošinātu virsstundu darbā iesaistītajiem pašvaldību policijas darbiniekiem, kuri veica iedzīvotāju pārvietošanās aizlieguma ievērošanas kontroli </t>
    </r>
    <r>
      <rPr>
        <sz val="11"/>
        <color theme="1"/>
        <rFont val="Calibri"/>
        <family val="2"/>
        <charset val="186"/>
        <scheme val="minor"/>
      </rPr>
      <t>laikposmā no plkst. 22.00 līdz plkst. 5.00, samaksu par virsstundu darbu un piemaksu par nakts darbu, kopsummā 141 058,83 euro (ar DD VSAOI), no kura 75% ir 105 795 euro.
MK rīk. nr. 452   29.06.20211. Finanšu ministrijai no valsts budžeta programmas 02.00.00 "Līdzekļi neparedzētiem gadījumiem" piešķirt Iekšlietu ministrijai finansējumu 11 393 euro apmērā pārskaitīšanai Daugavpils pilsētas domei izdevumu kompensēšanai</t>
    </r>
  </si>
  <si>
    <t>MK sēdes 08.06.2021 lēmums 
(prot. Nr.46 62.§)</t>
  </si>
  <si>
    <t>Veselības ministrijai (Nacionālajam veselības dienestam) informēt Eiropas Komisiju par Latvijas interesi 2022.gadā pieteikties iegādāties Valneva vakcīnas pret Covid-19 un piešķirt finansējumu 2 850 108 euro apmērā, lai segtu iegādes, ievades un loģistikas izmaksas (MK 14.07.2021. prot.Nr.52 18.§ IP)</t>
  </si>
  <si>
    <t>Vakcīnu Moderna iegādei 2022.gadā</t>
  </si>
  <si>
    <t>MK 14.07.2021. prot.Nr.52 18.§ IP</t>
  </si>
  <si>
    <t>Vkacīnu iegādei 2022.gadā</t>
  </si>
  <si>
    <t>23.02.2021 06.07.2021</t>
  </si>
  <si>
    <t>Specifiskas atbalsta programmas grūtībās nonākušajiem lielajiem komersantiem garantiju veidā investīcijām, par kuru novirzīšanu tiks pieņemts atsevišķs Ministru kabinets lēmums. Atcelts ar 06.07.2021. MK lēmumu</t>
  </si>
  <si>
    <t>MK 14.07.2020 sēdē izskatīts NP "Noteikumi par kapitāla ieguldījumiem komersantos, kuru darbību ietekmējusi Covid-19 izplatība" un RP "Par rezerves kapitāla palielināšanu". Atbalsta apmērs atbilstoši MK 02.09.2020. Informatīvajam ziņojumam "Par pasākumiem Covid-19 krīzes pārvarēšanai un ekonomikas atlabšanai 2020. un 2021.gadam" . Uz 20.11.2020. faktiski izmakstāti 25 milj. eiro, tomēr šim atbalstam nav ietekmes uz budžeta bilanci. Kapitāla investīciju programma, kuras ietvaros izveidots alternatīvo ieguldījumu fonds, kas darbojas uz komerciāliem principiem. Atbilstoši programmas novērtējumam fonda darbība noslēgsies ar pozitīvu atdevi. Kopējais atbalsta apmērs sadalīts uz diviem gadiem. 2021.g. finansējums 25 mEUR atcelts ar 06.07.2021. MK lēmumu.</t>
  </si>
  <si>
    <t>MK rīkojums Nr.453 Par atbalstītajiem pašvaldībuinvestīciju projektiem valsts aizdevumu piešķiršanai Covid-19izraisītās krīzes seku mazināšanai un novēršanai</t>
  </si>
  <si>
    <t>Vakcinācijas loterijas norisei</t>
  </si>
  <si>
    <t>Likumprojekts "Vakcinācijas loterijas likums"</t>
  </si>
  <si>
    <t>12.02.2021 21.04.2020
14.07.2021</t>
  </si>
  <si>
    <t>Lai no 2021.gada 1.janvāra līdz 2021.gada 31.jdecembrim institūcijās, kurās sociālos pakalpojumus ar izmitināšanu sniedz pašvaldības vai valsts dibināts sociālo pakalpojumu sniedzējs vai pakalpojumu sniedzējs, kuram ir noslēgts līgums ar pašvaldību vai valsti par minēto pakalpojumu sniegšanu, nodrošinātu izdevumus par  individuālajiem aizsarglīdzekļiem un dezinfekcijas līdzekļiem, kas iegādāti  Covid-19 infekcijas ierobežošanas pasākumiem</t>
  </si>
  <si>
    <r>
      <t xml:space="preserve">455 596  euro, institūcijām, kurās sociālos pakalpojumus sniedz pašvaldības dibināts sociālo pakalpojumu sniedzējs vai pakalpojumu sniedzējs, kuram noslēgts līgums ar pašvaldību par minēto pakalpojumu sniegšanu (50% apmērā no pašvaldību faktiskajiem papildu izdevumiem);
839 376 euro, valsts dibinātam sociālo pakalpojumu sniedzējam vai tādam pakalpojumu sniedzējam, kuram ir noslēgts līgums ar Labklājības ministriju par sociālo pakalpojumu sniegšanu (100% apmērā no institūciju faktiskajiem papildu izdevumiem).
</t>
    </r>
    <r>
      <rPr>
        <sz val="11"/>
        <color rgb="FFFF0000"/>
        <rFont val="Calibri"/>
        <family val="2"/>
        <charset val="186"/>
        <scheme val="minor"/>
      </rPr>
      <t>14.07.2021 grozījumi rīk. nr. 83, palielinot summu par 366909 eur, 2022.gadā par 148 353eur. MK grozījumi paredz arī radušos izdevumu kompensēšanas termiņa pagarināšanu līdz 2021.gada 31.decembrim.</t>
    </r>
  </si>
  <si>
    <t>Lai nodrošinātu piemaksas no 2020. gada 1. oktobra līdz 2020. gada 30. novembrim Iekšlietu ministrijas padotības iestāžu amatpersonām ar speciālajām dienesta pakāpēm par darbu paaugstināta riska un slodzes apstākļos sabiedrības veselības apdraudējuma situācijā saistībā ar Covid-19 uzliesmojumu un tā seku novēršanu</t>
  </si>
  <si>
    <t>Piemaksas Iekšlietu ministrijas padotības iestāžu amatpersonu ar speciālajām dienesta pakāpēm par darbu paaugstināta riska un slodzes apstākļos sabiedrības veselības apdraudējuma situācijā (t.sk. virsstundas) saistībā ar Covid-19 uzliesmojumu un seku novēršanu laikposmā no 2021. gada 1. aprīļa līdz 2021. gada 30. aprīlim</t>
  </si>
  <si>
    <t>MK rīkojums Nr.414 "Par finanšu līdzekļu piešķiršanu no valsts budžeta programmas "Līdzekļi neparedzētiem gadījumiem""</t>
  </si>
  <si>
    <t>Rīkojums Nr.413 "Par finanšu līdzekļu piešķiršanu no valsts budžeta programmas "Līdzekļi neparedzētiem gadījumiem""</t>
  </si>
  <si>
    <t>MK rīkojums Nr.363 “Par finanšu līdzekļu piešķiršanu no valsts budžeta programmas "Līdzekļi neparedzētiem gadījumiem"”</t>
  </si>
  <si>
    <t>Piemaksas Iekšlietu ministrijas padotības iestāžu amatpersonu ar speciālajām dienesta pakāpēm par darbu paaugstināta riska un slodzes apstākļos sabiedrības veselības apdraudējuma situācijā saistībā ar Covid-19 uzliesmojumu un seku novēršanu laikposmā no 2021. gada 1. jūnija līdz 2021. gada 30.jūnijam</t>
  </si>
  <si>
    <t>1.1. Valsts policijai – 349 610 euro;
1.2. Valsts policijas koledžai – 595euro;
1.3. Valsts robežsardzei – 298 383 euro; 
1.4. Valsts robežsardzes koledžai – 1847 euro.</t>
  </si>
  <si>
    <t>Nr._
10.08.2021
(prot. Nr.55 __.§)</t>
  </si>
  <si>
    <t>CSP vakcinācijas datu apstrādei</t>
  </si>
  <si>
    <t>Piešķirt Ekonomikas ministrijai 33 736 euro, lai segtu izdevumus Centrālajai statistikas pārvaldei par personu, kurām ir uzsākta un pabeigta vakcinācija pret Covid-19, datu apstrādi.</t>
  </si>
  <si>
    <t>Piešķirt Kultūras ministrijai (Valsts kultūrkapitāla fondam) 2 067 148 euro mērķprogrammas „Radošo personu nodarbinātības programma” 2.kārtas īstenošanai – atbalsta sniegšanai radošām personām no 2021.gada 1.aprīļa līdz 2021.gada 30.jūnijam, lai mazinātu Covid-19 krīzes radīto negatīvo seku ietekmi uz kultūras nozari.</t>
  </si>
  <si>
    <t>Piešķirt Kultūras ministrijai pārskaitīšanai valsts akciju sabiedrībai „Valsts nekustamie īpašumi” 469 847 euro Latvijas Nacionālā arhīva ēku telpu pielāgošanai arhīva funkcijas nodrošināšanai, lai Covid-19 krīzes seku pārvarēšanas un ekonomikas atlabšanas pasākumu ietvaros veiktu investīcijas kultūras infrastruktūrā, tai skaitā:
1. 147 946  euro nekustamā īpašuma Skandu ielā 14, Rīgā, pārbūves un remontdarbu veikšanai, 
2. 321 901  euro nekustamā īpašuma Komandanta ielā 9, Daugavpilī, pārbūves un remontdarbu veikšanai.</t>
  </si>
  <si>
    <t>Piešķirt Kultūras ministrijai pārskaitīšanai valsts akciju sabiedrībai „Valsts nekustamie īpašumi” 300 000 euro valsts sabiedrības ar ierobežotu atbildību „Valmieras drāmas teātris” teātra ēkas Lāčplēša ielā 4, Valmierā, pārbūves darbiem, lai Covid-19 krīzes seku pārvarēšanas un ekonomikas atlabšanas pasākumu ietvaros veiktu investīcijas kultūras infrastruktūrā.</t>
  </si>
  <si>
    <t>Pamatojoties uz Covid-19 infekcijas izplatības pārvaldības likuma 31.1 un 31.2 pantu, piešķirt Finanšu ministrijai (Valsts ieņēmumu dienestam) no valsts budžeta programmas 02.00.00 “Līdzekļi neparedzētiem gadījumiem” finansējumu 277 059 euro apmērā, tajā skaitā:
1.1.  99 734 euro apmērā, lai nodrošinātu samaksu par virsstundu darbu atbilstoši faktiskajam virsstundu apjomam laikposmā no 2021. gada 1. maija līdz 2021. gada 30. jūnijam Valsts ieņēmumu dienesta nodarbinātajiem, kuri nodrošina atbalsta izmaksu Covid-19 krīzes skartajiem uzņēmumiem;
1.2.  177 325 euro apmērā, lai segtu izdevumus, kas saistīti ar piemaksu izmaksu Valsts ieņēmumu dienesta Nodokļu un muitas policijas pārvaldes un Muitas pārvaldes amatpersonām ar speciālajām dienesta pakāpēm par darbu paaugstināta riska un slodzes apstākļos sabiedrības veselības apdraudējuma situācijā saistībā ar Covid-19 uzliesmojumu un seku novēršanu laikposmā no 2021. gada 1. jūnija līdz 2021. gada 30. jūnijam.</t>
  </si>
  <si>
    <t>06.07.2021
14.07.2020</t>
  </si>
  <si>
    <t>Vakcinācijas aptvere</t>
  </si>
  <si>
    <t>Piešķirt Veselības ministrijai finansējumu 
2 404 469 euro apmērā, lai kompensētu atbildīgajām institūcijām ārstniecības personu un pārējo nodarbināto virsstundu darba, kas saistīts ar Covid-19 jautājumu risināšanu un seku novēršanu, apmaksu, tai skaitā:
1. Nacionālajam veselības dienestam 2 036 878 euro apmērā, lai  veiktu samaksu ārstniecības iestādēm (1 928 597 euro) par laika periodu no 2021.gada 1.janvāra līdz 2021.gada 30.aprīlim un nodrošinātu samaksu Nacionālā veselības dienesta darbiniekiem (108 281 euro) par laika periodu no 2021.gada 1.marta līdz 2021.gada 31.maijam;
2. Neatliekamās medicīniskās palīdzības dienestam 220 593 euro apmērā par laika periodu no 2021.gada 1.marta līdz 2021.gada 31.maijam;
3. Slimību profilakses un kontroles centram 143 028 euro apmērā par laika periodu no 2021.gada 1.marta līdz 2021.gada 31.maijam;
4. Veselības ministrijai 3 970 euro apmērā par laika periodu no 2021.gada 1.maija līdz 2021.gada 31.maijam.</t>
  </si>
  <si>
    <t>Piemaksas atbildīgo institūciju ārstniecības personām un citiem nodarbinātajiem 2021.gada martā-maijā</t>
  </si>
  <si>
    <t>MK rīk.nr.523 Par finanšu līdzekļu piešķiršanu no valsts budžeta programmas "Līdzekļi neparedzētiem gadījumiem"</t>
  </si>
  <si>
    <t>MK rīk. Nr.520 "Par apropriācijas palielināšanu Izglītības un zinātnes ministrijai"
10.08.2021
(prot. Nr.55 26.§)</t>
  </si>
  <si>
    <t>10.08.2021
šis nav LNG</t>
  </si>
  <si>
    <t xml:space="preserve">piešķirt Izglītības un zinātnes ministrijai 1 350 559 euro augstas gatavības projektu (Rīgas Valsts tehnikuma mācību korpusa atjaunošanas papildus darbi, Rīgas Mākslas un mediju tehnikuma dienesta viesnīcas atjaunošanas 3. un 4. kārtas būvdarbi  un mācību korpusa atjaunošana, Daugavpils Būvniecības tehnikuma multifukncionālās halles 2. un 4.kārta - sporta nodarbību telpu grupa un darbnīcu materiālu novietne, Rēzeknes tehnikuma mācību darbnīcu korpusa pārbūve un Rīgas Stila un modes tehnikuma mācību korpusa energoefektivitātes paaugstināšanas darbi) īstenošanai, lai Covid-19 krīzes seku pārvarēšanas un ekonomikas atlabšanas pasākumu ietvaros veiktu investīcijas profesionālās izglītības iestāžu infrastruktūrā. (MK rīk.Nr.523, 10. augustā (prot. Nr. 55 82. §) </t>
  </si>
  <si>
    <t>MK rīk.Nr.529 Par apropriācijas palielināšanu Tieslietu ministrijai 
10.08.2021
(prot. Nr.55 89.§)</t>
  </si>
  <si>
    <t>Atbalstīt valsts sabiedrības ar ierobežotu atbildību "Tiesu namu aģentūra" pamatkapitāla palielināšanu, ieguldot tajā finanšu līdzekļus 5 460 000 euro apmērā, lai Covid-19 krīzes seku pārvarēšanas un ekonomikas atlabšanas pasākumu ietvaros īstenotu augstas gatavības projektu – Vienotas tiesu ekspertīžu iestādes izveidi, tai skaitā:
1. 2021. gadā 402 359 euro;
2. 2022. gadā 5 057 641 euro.
(MK rīk.nr 529 10. augustā (prot. Nr. 55 89. §)</t>
  </si>
  <si>
    <t>Atbalstīt valsts sabiedrības ar ierobežotu atbildību "Rīgas Tūrisma un radošo industriju tehnikums" pamatkapitāla palielināšanu, ieguldot tajā finanšu līdzekļus 316 613 euro apmērā augstas gatavības projekta īstenošanai – dienesta viesnīcas ēkas pārbūvei  Rīgā, Augusta Deglava ielā 41B –, lai Covid-19 krīzes seku pārvarēšanas un ekonomikas atlabšanas pasākumu ietvaros veiktu investīcijas profesionālās izglītības iestāžu infrastruktūrā. (MK rīk.Nr.  520   10. augustā (prot. Nr. 55 26. §)</t>
  </si>
  <si>
    <r>
      <t>valsts budžeta programmas 02.00.00 "Līdzekļi neparedzētiem gadījumiem" piešķirt finansējumu 3 590 256 euro apmērā, lai Covid-19 izplatības seku novēršanas un pārvarēšanas pasākumu ietvaros stabilizētu finanšu situāciju</t>
    </r>
    <r>
      <rPr>
        <b/>
        <sz val="11"/>
        <rFont val="Calibri"/>
        <family val="2"/>
        <charset val="186"/>
        <scheme val="minor"/>
      </rPr>
      <t xml:space="preserve"> kultūras mantojuma iestādēs</t>
    </r>
    <r>
      <rPr>
        <sz val="11"/>
        <rFont val="Calibri"/>
        <family val="2"/>
        <charset val="186"/>
        <scheme val="minor"/>
      </rPr>
      <t>, tai skaitā:
1.1. 82 000 euro - Vides aizsardzības un reģionālās attīstības ministrijai;
1.2. 3 458 256 euro - Kultūras ministrijai;
1.3. 50 000 euro - Veselības ministrijai.</t>
    </r>
  </si>
  <si>
    <t>MK rīkojums Nr.582 Par atbalstītajiem pašvaldību investīciju projektiem valsts aizdevumu piešķiršanai Covid-19izraisītās krīzes seku mazināšanai un novēršanai</t>
  </si>
  <si>
    <t>29.06.2021
17.08.2021</t>
  </si>
  <si>
    <r>
      <t xml:space="preserve">apstiprināt pašvaldību iesniegto investīciju projektu sarakstu valsts aizdevumu piešķiršanai Covid-19 izraisītās krīzes seku mazināšanai un novēršanai (pielikums) un </t>
    </r>
    <r>
      <rPr>
        <b/>
        <sz val="11"/>
        <rFont val="Calibri"/>
        <family val="2"/>
        <charset val="186"/>
        <scheme val="minor"/>
      </rPr>
      <t xml:space="preserve">piešķirt valsts aizdevumus: </t>
    </r>
    <r>
      <rPr>
        <sz val="11"/>
        <rFont val="Calibri"/>
        <family val="2"/>
        <scheme val="minor"/>
      </rPr>
      <t xml:space="preserve">
1.1.  2021. gadā – 4 666 478,24 euro apmērā no likuma "Par valsts budžetu 2021. gadam" 12. panta trešajā daļā minētā pašvaldību aizņēmumu palielinājuma 150 000 000 euro apmērā;
1.2.  2022. gadā – 3 683 598,22 euro apmērā no likuma "Par vidēja termiņa budžeta ietvaru 2021., 2022. un 2023. gadam" 14. pantā noteiktā pašvaldību kopējo aizņēmumu palielinājuma 118 138 258 euro apmērā</t>
    </r>
  </si>
  <si>
    <r>
      <t xml:space="preserve">1.1. 2021. gadā - 10 085 195,51 euro apmērā no likuma"Par valsts budžetu 2021. gadam" 12. panta trešajā daļā minētā pašvaldību aizņēmumu palielinājuma 150 000 000 euroapmērā;
</t>
    </r>
    <r>
      <rPr>
        <b/>
        <sz val="11"/>
        <rFont val="Calibri"/>
        <family val="2"/>
        <charset val="186"/>
        <scheme val="minor"/>
      </rPr>
      <t>2021. gada 17. augustā Rīkojums Nr. 583 (prot. Nr. 56 53. §) grozījums MK rīk. Nr.453</t>
    </r>
    <r>
      <rPr>
        <sz val="11"/>
        <rFont val="Calibri"/>
        <family val="2"/>
        <scheme val="minor"/>
      </rPr>
      <t xml:space="preserve">
Izteikt 1.1. apakšpunktu šādā redakcijā:  "1.1. 2021. gadā – </t>
    </r>
    <r>
      <rPr>
        <sz val="11"/>
        <color rgb="FFFF0000"/>
        <rFont val="Calibri"/>
        <family val="2"/>
        <charset val="186"/>
        <scheme val="minor"/>
      </rPr>
      <t xml:space="preserve">9 988 890,51 </t>
    </r>
    <r>
      <rPr>
        <sz val="11"/>
        <rFont val="Calibri"/>
        <family val="2"/>
        <scheme val="minor"/>
      </rPr>
      <t>euro apmērā no likuma "Par valsts budžetu 2021. gadam" 12. panta trešajā daļā minētā pašvaldību aizņēmumu palielinājuma 150 000 000 euro apmērā;".
1.2.  2022. gadā – 8 963 837,74 euro apmērā no likuma "Par vidēja termiņa budžeta ietvaru 2021., 2022. un 2023. gadam" 14. pantā minētā pašvaldību kopējo aizņēmumu palielinājuma 118 138 258 euro apmērā.</t>
    </r>
  </si>
  <si>
    <t>Piešķirt Sabiedrības integrācijas fondam 400 000 euro valsts budžeta finansētās programmas „Atbalsts NVO sabiedrības informēšanai par vakcināciju pret Covid-19” īstenošanai 2021.gadā, lai veicinātu vakcinācijas pret Covid-19 procesu visos Latvijas reģionos, tai skaitā:
1. 396 000 euro programmas projektu īstenošanai;
2. 4 000 euro programmas administrēšanai.</t>
  </si>
  <si>
    <t>„Atbalsts NVO sabiedrības informēšanai par vakcināciju pret Covid-19” īstenošanai 2021.gadā (SIF)</t>
  </si>
  <si>
    <t>Piešķirt Kultūras ministrijai pārskaitīšanai valsts akciju sabiedrībai „Valsts nekustamie īpašumi” 394 826 euro pārbūves darbu veikšanai valsts sabiedrības ar ierobežotu atbildību „Dailes teātris” skvēra labiekārtošanai Brīvības ielā 75, Rīgā, un Šarlotes ielā 1, Rīgā, lai Covid-19 krīzes seku pārvarēšanas un ekonomikas atlabšanas pasākumu ietvaros veiktu investīcijas kultūras infrastruktūrā.</t>
  </si>
  <si>
    <t>Tirdzniecības centru ieņēmumu krituma kompensēšanai</t>
  </si>
  <si>
    <t>Piešķirt Veselības ministrijai (Nacionālajam veselības dienestam) finansējumu ne vairāk kā 11 971 euro apmērā, lai nodrošinātu digitālā vakcinācijas sertifikāta ģenerēšanu personām, kurām ir tiesības uz vakcinācijas pret Covid-19 pakalpojumu Latvijā, bet kurām šī vakcinācija veikta ārvalstīs.</t>
  </si>
  <si>
    <t>Covid19 digitālā sertifikātu ģenerēšanai</t>
  </si>
  <si>
    <t>Air Baltic Corporation pamatkapitāla palielināšana</t>
  </si>
  <si>
    <t xml:space="preserve"> saistībā ar Covid-19 izplatību radītos zaudējumus, nodrošinātu sabiedrības likviditāti un ekonomiskās krīzes pārvarēšanu un stabilizēšanu nozarē, atbalstīt akciju sabiedrības "Air Baltic Corporation" (turpmāk – sabiedrība) pamatkapitāla palielināšanu, ieguldot tajā finanšu līdzekļus līdz 90 000 000 euro apmērā, Satiksmes ministrijai, piedaloties sabiedrības akcionāru sapulcēs, atbalstīt ieguldījuma veikšanu sabiedrības pamatkapitālā atbilstoši Eiropas Komisijas saskaņojumā norādītajam apjomam</t>
  </si>
  <si>
    <t>Rīkojums Nr.588 "Par akciju sabiedrības "Air Baltic Corporation" pamatkapitāla palielināšanu</t>
  </si>
  <si>
    <t>MK rīkojums Nr. 525 Par finanšu līdzekļu piešķiršanu no valsts budžeta programmas "Līdzekļi neparedzētiem gadījumiem"</t>
  </si>
  <si>
    <t>MK rīkojums Nr. 526 Par finanšu līdzekļu piešķiršanu no valsts budžeta programmas "Līdzekļi neparedzētiem gadījumiem"</t>
  </si>
  <si>
    <t>MK rīkojums Nr. 561 Par finanšu līdzekļu piešķiršanu no valsts budžeta programmas "Līdzekļi neparedzētiem gadījumiem"</t>
  </si>
  <si>
    <t>MK rīkojums Nr. 534 Par finanšu līdzekļu piešķiršanu no valsts budžeta programmas "Līdzekļi neparedzētiem gadījumiem"</t>
  </si>
  <si>
    <t>MK rīkojums Nr. 524 Par finanšu līdzekļu piešķiršanu no valsts budžeta programmas "Līdzekļi neparedzētiem gadījumiem"</t>
  </si>
  <si>
    <t>MK rīkojums Nr. 535 Par finanšu līdzekļu piešķiršanu no valsts budžeta programmas "Līdzekļi neparedzētiem gadījumiem"</t>
  </si>
  <si>
    <t>Piešķirt Veselības ministrijai (Nacionālajam veselības dienestam)  finansējumu 1 758 446 euro apmērā sabiedrības ar ierobežotu atbildību “Vidzemes slimnīca” augstas gatavības projekta “Vidzemes slimnīcas A, B un C korpusa energoefektivitātes paaugstināšana” īstenošanai, kas saistīts ar Covid-19 krīzes pārvarēšanu un ekonomikas atlabšanu.</t>
  </si>
  <si>
    <t>Atbalstīt valsts sabiedrības ar ierobežotu atbildību “Paula Stradiņa klīniskā universitātes slimnīca” pamatkapitāla palielināšanu, ieguldot tajā finanšu līdzekļus 1 211 170 euro apmērā, augstas gatavības projekta “VSIA “Paula Stradiņa klīniskās universitātes slimnīca” vēsturisko korpusu atjaunošana un energoefektivitātes paaugstināšana un renovācija” īstenošanai, valsts sabiedrības ar ierobežotu atbildību “Bērnu klīniskā universitātes slimnīca” pamatkapitāla palielināšanu, ieguldot tajā finanšu līdzekļus 1 225 900 euro apmērā augstas gatavības projekta “VSIA “Bērnu klīniskā universitātes slimnīca” infrastruktūras uzlabošana, palielinot veco korpusu energoefektivitāti un ventilāciju ierīkošana” īstenošanai, valsts sabiedrības ar ierobežotu atbildību “Nacionālais rehabilitācijas centrs “Vaivari”” pamatkapitāla palielināšanu, ieguldot tajā finanšu līdzekļus 417 919 euro apmērā augstas gatavības projekta “VSIA “Nacionālais rehabilitācijas centrs “Vaivari“”  telpu pielāgošana, lai retinātu pacientu plūsmu, sniegtu kvalitatīvākus rehabilitācijas pakalpojumus epidemioloģiski drošākās telpās” īstenošanai un 500 000 euro apmērā augstas gatavības projekta “VSIA “Nacionālais rehabilitācijas centrs “Vaivari””  jaunas ēkas būvniecība, lai  sadalītu pacientu plūsmu, sniegtu kvalitatīvākus ambulatorās rehabilitācijas pakalpojumus epidemioloģiski drošākās telpās” īstenošanai, kas saistīti ar Covid-19 krīzes pārvarēšanu un ekonomikas atlabšanu.</t>
  </si>
  <si>
    <r>
      <t xml:space="preserve">Piešķirt Veselības ministrijai (NVD) vakcinācijas loterijas norisei (naudas balvu fondam un loterijas organizatoriskajām izmaksām) ne vairāk kā 1 218 078 euro apmērā. </t>
    </r>
    <r>
      <rPr>
        <sz val="11"/>
        <color rgb="FFFF0000"/>
        <rFont val="Calibri"/>
        <family val="2"/>
        <charset val="186"/>
        <scheme val="minor"/>
      </rPr>
      <t>ATCELTS</t>
    </r>
  </si>
  <si>
    <r>
      <t>apstiprināt pašvaldību iesniegto investīciju projektu sarakstu valsts aizdevumu piešķiršanai Covid-19 izraisītās krīzes seku mazināšanai un novēršanai (pielikums) un</t>
    </r>
    <r>
      <rPr>
        <b/>
        <sz val="11"/>
        <rFont val="Calibri"/>
        <family val="2"/>
        <charset val="186"/>
        <scheme val="minor"/>
      </rPr>
      <t xml:space="preserve"> piešķirt valsts aizdevumus: </t>
    </r>
    <r>
      <rPr>
        <sz val="11"/>
        <rFont val="Calibri"/>
        <family val="2"/>
        <scheme val="minor"/>
      </rPr>
      <t xml:space="preserve">
1.1.  2021. gadā – 7 624 836,81 euro apmērā no likuma "Par valsts budžetu 2021. gadam" 12. panta trešajā daļā minētā pašvaldību aizņēmumu palielinājuma 150 000 000 euro apmērā;
1.2.  2022. gadā – 4 818 644,35 euro apmērā no likuma "Par vidēja termiņa budžeta ietvaru 2021., 2022. un 2023. gadam" 14. pantā noteiktā pašvaldību kopējo aizņēmumu palielinājuma 118 138 258 euro apmērā.</t>
    </r>
  </si>
  <si>
    <t>31.08.2021
http://tap.mk.gov.lv/lv/mk/tap/?pid=40506907&amp;mode=mk&amp;date=2021-08-31</t>
  </si>
  <si>
    <t>Nr.530
10.08.2021
(prot. Nr.55 90.§)</t>
  </si>
  <si>
    <t>Demogrāfijas uzlabošanai atvēlētais finansējums 2021.gadā- PĀRDALE STIPENDIJU PALIELINĀŠANAI</t>
  </si>
  <si>
    <t>07.09.2021. MK lēmis -  pārdalīt 2 040 000 euro, lai ar 2021. gada 1. septembri palielinātu stipendiju skaitu un apmēru pirmā līmeņa profesionālās augstākās izglītības (koledžas), bakalaura un maģistra līmeņa studijām augstākās izglītības iestādēs un mazinātu Covid-19 krīzes radīto negatīvo seku ietekmi uz izglītības nozari, tai skaitā:
1.1.  1 443 508 euro Izglītības un zinātnes ministrijai;
1.2.  254 411 euro Veselības ministrijai;
1.3.  202 387 euro Zemkopības ministrijai;
1.4.  138 040 euro Kultūras ministrijai;
1.5.  1 654 euro Labklājības ministrijai.</t>
  </si>
  <si>
    <t>Nr._
07.09.2021
(prot. Nr.60 _.§)</t>
  </si>
  <si>
    <t>Piešķirt Iekšlietu ministrijai finansējumu 619 868 euro apmērā, lai segtu izdevumus, kas saistīti ar piemaksu izmaksām Iekšlietu ministrijas padotības iestāžu amatpersonām ar speciālajām dienesta pakāpēm par darbu paaugstināta riska un slodzes apstākļos sabiedrības veselības apdraudējuma situācijā saistībā ar Covid-19 uzliesmojumu un seku novēršanu laikposmā no 2021. gada 1. jūlija līdz 2021. gada 31. jūlijam</t>
  </si>
  <si>
    <t xml:space="preserve">MK rīkojums Nr. 528 "Par finanšu līdzekļu piešķiršanu no valsts budžeta programmas "Līdzekļi neparedzētiem gadījumiem"" </t>
  </si>
  <si>
    <t xml:space="preserve">piemaksas IeM padotības iestāžu amatpersonām </t>
  </si>
  <si>
    <t>Komandu sporta spēļu halles izveidei Krišjāņa Barona ielā 99C, Rīgā
2021.gadā 182 284 eur
2022..gadā 13 467 716 (atbalstīts MK 07.09.2021)</t>
  </si>
  <si>
    <t>Pārskaitīšanai valsts akciju sabiedrībai "Valsts nekustamie īpašumi” 125 907 euro pārbūves darbu veikšanai sabiedrības ar ierobežotu atbildību “Latvijas Leļļu teātris” ēkā Krišjāņa Barona ielā 16/18, Rīgā
2022.gadā 1 833 702 (MK lēmums 07.09.2021)</t>
  </si>
  <si>
    <t>MK rīkojums Nr.584
17.08.2021
(prot. Nr.56 54.§)</t>
  </si>
  <si>
    <t>Piešķirt Kultūras ministrijai pārskaitīšanai valsts akciju sabiedrībai „Valsts nekustamie īpašumi” 244 902 euro remonta un būvdarbu veikšanai Staņislava Broka Daugavpils Mūzikas vidusskolā Kandavas ielā 2a, Daugavpilī, lai Covid-19 krīzes seku pārvarēšanas un ekonomikas atlabšanas pasākumu ietvaros veiktu investīcijas kultūras infrastruktūrā. 2022.gadā 50000 euro</t>
  </si>
  <si>
    <t>Piešķirt Kultūras ministrijai (profesionālās izglītības kompetences centram „Nacionālā Mākslu vidusskola”) 1 436 730 euro profesionālās izglītības kompetences centra „Nacionālā Mākslu vidusskola” darbības nodrošināšanai, pārbūvējot ēku Slokas ielā 52a, Rīgā, veicot neparedzētus būvdarbus Slokas ielā 52b, Rīgā, un papildu būvdarbus Kalnciema ielā 10 k-2 un Kalnciema ielā 10 k-3, Rīgā, lai Covid-19 krīzes seku pārvarēšanas un ekonomikas atlabšanas pasākumu ietvaros veiktu investīcijas kultūras infrastruktūrā. 2022.gadā 2 662 623</t>
  </si>
  <si>
    <t>Piešķirt Kultūras ministrijai (profesionālās izglītības kompetences centram „Liepājas Mūzikas, mākslas un dizaina vidusskola”) 1 382 553euro būvdarbu veikšanai profesionālās izglītības kompetences centra „Liepājas Mūzikas, mākslas un dizaina vidusskola”  ēkās Alejas ielā 18, Liepājā, tai skaitā veicot jaunbūves otrās kārtas būvniecību, pārbūvējot neatjaunotā korpusa ēku un savienojot mācību ēkas ar pārejām, lai Covid-19 krīzes seku pārvarēšanas un ekonomikas atlabšanas pasākumu ietvaros veiktu investīcijas kultūras infrastruktūrā. 2022.gadā 292715</t>
  </si>
  <si>
    <t>Piešķirt Kultūras ministrijai pārskaitīšanai valsts akciju sabiedrībai „Valsts nekustamie īpašumi” 1 197 551 euro profesionālās izglītības kompetences centra „Rīgas Dizaina un mākslas vidusskola” un Latvijas Mākslas akadēmijas prototipēšanas darbnīcu „Riga Makerspace” izbūvei Aristida Briāna ielā 13, Rīgā, lai Covid-19 krīzes seku pārvarēšanas un ekonomikas atlabšanas pasākumu ietvaros veiktu investīcijas kultūras infrastruktūrā. 2022.gada 263082</t>
  </si>
  <si>
    <t>MK rīk.Nr. 581 
17.08.2021
(prot. Nr.56 51.§)</t>
  </si>
  <si>
    <t>MK rīk.nr.533 Par finanšu līdzekļu piešķiršanu no valsts budžeta programmas "Līdzekļi neparedzētiem gadījumiem"</t>
  </si>
  <si>
    <r>
      <t xml:space="preserve">Grozījums MK 07.07.2021. rīkojumā Nr. 497 "Par finanšu līdzekļu piešķiršanu no valsts budžeta programmas "Līdzekļi neparedzētiem gadījumiem"" (palielinot kopējo summu no  1 910 236 uz 2 589 631 eur)
Piešķirt papildu Iekšlietu ministrijai (Nodrošinājuma valsts aģentūrai) </t>
    </r>
    <r>
      <rPr>
        <b/>
        <sz val="11"/>
        <color theme="1"/>
        <rFont val="Calibri"/>
        <family val="2"/>
        <scheme val="minor"/>
      </rPr>
      <t xml:space="preserve">679 395 </t>
    </r>
    <r>
      <rPr>
        <sz val="11"/>
        <color theme="1"/>
        <rFont val="Calibri"/>
        <family val="2"/>
        <scheme val="minor"/>
      </rPr>
      <t xml:space="preserve">euro apmērā augstas gatavības projektu (jaunu ugunsdzēsības depo būvniecība Aizputē, Dagdā, Iecavā, Ilūkstē, Kandavā, Priekulē, Rūjienā, Saulkrastos) īstenošanai Covid-19 krīzes seku pārvarēšanas un ekonomikas atlabšanas pasākuma “Infrastruktūras attīstības projektu īstenošana iekšlietu nozarē” ietvaros.
</t>
    </r>
    <r>
      <rPr>
        <b/>
        <sz val="11"/>
        <color theme="1"/>
        <rFont val="Calibri"/>
        <family val="2"/>
        <scheme val="minor"/>
      </rPr>
      <t xml:space="preserve">2022.gadā 9 189 882 eur </t>
    </r>
  </si>
  <si>
    <t>MK rīk. Nr. 593
24.08.2021
(prot. Nr.57 47.§)</t>
  </si>
  <si>
    <t>MK rīk. Nr. 592
24.08.2021
(prot. Nr.57 46.§)
(+ anotācija par 2022.gadu)</t>
  </si>
  <si>
    <t xml:space="preserve">Piešķirt Kultūras ministrijai (valsts sabiedrībai ar ierobežotu atbildību „Rīgas cirks”) 217 391 euro Rīgas cirka vēsturiskās ēkas Merķeļa ielā 4, Rīgā, pārbūves īstenošanai (papildus darbu veikšanai), lai Covid-19 krīzes seku pārvarēšanas un ekonomikas atlabšanas pasākumu ietvaros veiktu investīcijas kultūras infrastruktūrā. </t>
  </si>
  <si>
    <t>14.09.2021.</t>
  </si>
  <si>
    <t>Mk rīkojums Nr.626 Par finanšu līdzekļu piešķiršanu no valsts budžeta programmas "Līdzekļi neparedzētiem gadījumiem"
07.09.2021</t>
  </si>
  <si>
    <t>Piešķirt Kultūras ministrijai pārskaitīšanai profesionālās izglītības kompetences centram „Nacionālā mākslu vidusskola” 636 064 euro profesionālās izglītības kompetences centra „Nacionālā mākslu vidusskola” pārbūvēto un jaunizbūvēto telpu aprīkošanai</t>
  </si>
  <si>
    <t>piešķirt Izglītības un zinātnes ministrijai 173 594 euro augstas gatavības projekta īstenošanai - Kuldīgas Tehnoloģiju un tūrisma tehnikuma dienesta viesnīcas atjaunošanai un siltināšanai Kuldīgā, Pilsētas laukumā 6, lai Covid-19 krīzes seku pārvarēšanas un ekonomikas atlabšanas pasākumu ietvaros veiktu investīcijas profesionālās izglītības iestāžu infrastruktūrā.. 2022.gadā 112 086</t>
  </si>
  <si>
    <r>
      <t>piešķirt Iekšlietu ministrijai (Nodrošinājuma valsts aģentūrai) 1 910 236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r>
    <r>
      <rPr>
        <sz val="11"/>
        <color rgb="FFFF0000"/>
        <rFont val="Calibri"/>
        <family val="2"/>
        <charset val="186"/>
        <scheme val="minor"/>
      </rPr>
      <t>Grozījums MK 07.07.2021. rīkojumā Nr. 497 "Par finanšu līdzekļu piešķiršanu no valsts budžeta programmas "Līdzekļi neparedzētiem gadījumiem"" (palielinot kopējo summu no  1 910 236 uz 2 589 631 eur;</t>
    </r>
    <r>
      <rPr>
        <b/>
        <sz val="11"/>
        <color rgb="FFFF0000"/>
        <rFont val="Calibri"/>
        <family val="2"/>
        <charset val="186"/>
        <scheme val="minor"/>
      </rPr>
      <t xml:space="preserve"> ielikts zemāk</t>
    </r>
    <r>
      <rPr>
        <sz val="11"/>
        <color rgb="FFFF0000"/>
        <rFont val="Calibri"/>
        <family val="2"/>
        <charset val="186"/>
        <scheme val="minor"/>
      </rPr>
      <t xml:space="preserve"> pie rīk.Nr. 497 , </t>
    </r>
    <r>
      <rPr>
        <b/>
        <sz val="11"/>
        <color rgb="FFFF0000"/>
        <rFont val="Calibri"/>
        <family val="2"/>
        <charset val="186"/>
        <scheme val="minor"/>
      </rPr>
      <t>679 395 euro)</t>
    </r>
  </si>
  <si>
    <t>Piešķirt Kultūras ministrijai pārskaitīšanai 1991.gada barikāžu dalībnieku biedrībai 21 704 euro, lai Covid-19 izplatības seku novēršanas un pārvarēšanas pasākumu ietvaros stabilizētu finanšu situāciju biedrības struktūrvienībā – 1991.gada barikāžu muzejā.</t>
  </si>
  <si>
    <t>MK rīkojums Nr. 580 Par finanšu līdzekļu piešķiršanu no valsts budžeta programmas "Līdzekļi neparedzētiem gadījumiem"</t>
  </si>
  <si>
    <t xml:space="preserve"> „Radošo personu nodarbinātības programma” 2.kārtas īstenošanai</t>
  </si>
  <si>
    <t>lai stabilizētu finanšu situāciju biedrības struktūrvienībā - 1991. gada barikāžu muzejā.</t>
  </si>
  <si>
    <t>Novērtējums uz DBP 2022</t>
  </si>
  <si>
    <t>Prognoze uz DBP 2022</t>
  </si>
  <si>
    <t>18.05.2021 24.08.2021</t>
  </si>
  <si>
    <t>Informatīvais ziņojums "Par pieteikumu Janssen vakcīnai"; Informatīvais ziņojums "Par vakcīnu pieejamību un krājumiem, un atteikšanos no Janssen vakcīnu piegādes 2022. gada II ceturksnī"</t>
  </si>
  <si>
    <t>14.07.2021 10.08.2021</t>
  </si>
  <si>
    <t>06.07.2021 24.09.2021</t>
  </si>
  <si>
    <t>MK rīkojums Nr. 625 Par finanšu līdzekļu piešķiršanu no valsts budžeta programmas "Līdzekļi neparedzētiem gadījumiem"</t>
  </si>
  <si>
    <t>Indikatīvi vērtējams, ka fiskālā ietekme (t.sk. VSAOI iemaksas 2.pensiju līmenī) prognozēta: 2021.gadā -75 milj.euro; 2022.gadā +7,5 milj.euro; 2023.gadā +15 milj.euro un 2024.gadā +30 milj.euro. Fiskālā ietekme prognozēta, pieņemot, ka 2020. gada 1.pusgadā piešķirto termiņpagarinājumu apmērs veidos 50% no 2020.gadā piešķirtajiem ~150 milj.euro. Attiecīgi turpmākajos trīs gados tiks atmaksāti kopā 70% no piešķirtā termiņpagarinājumu apjoma.</t>
  </si>
  <si>
    <t>Rīkojums Nr.418 "Par finanšu līdzekļu piešķiršanu no valsts budžeta programmas "Līdzekļi neparedzētiem gadījumiem""</t>
  </si>
  <si>
    <t>Pašvaldība piešķirs ģimenei (personai) pabalstu krīzes situācijā, ja ģimenei (personai) nav ienākumu, ir radušies papildus izdevumi, ko tā pati nespēj segt, atrodoties pašizolācijā vai ir atradusies karantīnā un tai nav iztikas līdzekļu (50 procentu apmērā no ģimenei (personai) izmaksātā pabalsta krīzes situācijā, bet ne vairāk kā 40 euro mēnesī (2021.g. februārī-decembrī 75 euro) vienai personai triju mēnešu periodā)</t>
  </si>
  <si>
    <t>MK rīkojums Nr.636 “Par apropriācijas pārdali no budžeta resora “74. Gadskārtējā valsts budžeta izpildes procesā pārdalāmais finansējums” programmas 11.00.00 “Demogrāfijas pasākumi” uz Izglītības un zinātnes ministrijas, Veselības ministrijas, Zemkopības ministrijas, Kultūras ministrijas un Labklājības ministrijas budžetu</t>
  </si>
  <si>
    <t>MK rīkojums Nr.512 “Par finanšu līdzekļu piešķiršanu no valsts budžeta programmas “Līdzekļi neparedzētiem gadījumiem”</t>
  </si>
  <si>
    <t>MK rīk. Nr.586 "Par finanšu līdzekļu piešķiršanu no valsts budžeta programmas "Līdzekļi neparedzētiem gadījumiem""</t>
  </si>
  <si>
    <t>MK rīk. Nr.531 "Par finanšu līdzekļu piešķiršanu no valsts budžeta programmas "Līdzekļi neparedzētiem gadījumiem""</t>
  </si>
  <si>
    <t>Piešķirt Veselības ministrijai (Nacionālajam veselības dienestam) finansējumu 2 812 894 euro apmērā, lai segtu izdevumus, kas radušies saistībā ar COVID-19 uzliesmojumu un seku novēršanu, tai skaitā:
1.1. 1 920 454 euro par ambulatorajiem veselības aprūpes pakalpojumiem;
1.2. 729 384 euro par stacionārajiem veselības aprūpes pakalpojumiem;
1.3. 163 056 euro par laboratorisko izmeklējumu organizēšanu.</t>
  </si>
  <si>
    <t>MK rīk. Nr.532 "Par finanšu līdzekļu piešķiršanu no valsts budžeta programmas "Līdzekļi neparedzētiem gadījumiem""</t>
  </si>
  <si>
    <t>Piešķirt Veselības ministrijai 69,6 milj. euro, lai segtu vakcīnas pret Covid-19 iegādes, loģistikas un ievades izdevumus (nepārdalītā daļa)</t>
  </si>
  <si>
    <t>Veselības ministrijai (Nacionālajam veselības dienestam) pieteikties kopējā iepirkumā Comirnaty vakcīnu devu iegādei 2021.-2023. gadā. Ietekmes noņemtas/precizētas atbilstoši MK 21.09.2021 lemtajam</t>
  </si>
  <si>
    <t xml:space="preserve">Informatīvais ziņojums “Par vakcīnu ražotāja Sanofi, Astra Zeneca, CUREVAC AG un BioNTech/Pfizer vakcīnu pret Covid-19 iegādi” </t>
  </si>
  <si>
    <t>Veselības ministrijai (Nacionālajam veselības dienestam) Comirnaty vakcīnu pret Covid-19 iegādes, loģistikas un ievades izdevumi 2022. un 2023. gadam nepārsniedz 122 226 195 euro (ar PVN), tai skaitā 2022.gadam 58 823 680 euro un 2023.gadam 63 402 515 euro”</t>
  </si>
  <si>
    <t>Veselības ministrijai (Nacionālajam veselības dienestam) 2022.gadā iegādāties ražotāja Astra Zeneca izstrādātās vakcīnas pret Covid-19 263 870 devas 3 539 457 euro (bez PVN)</t>
  </si>
  <si>
    <t>Veselības ministrijai (Nacionālajam veselības dienestam) 2022.gadā iegādāties Sanofi izstrādātās vakcīnas pret Covid-19 158 400 devas 2 502 030 euro (bez PVN)</t>
  </si>
  <si>
    <t>Veselības ministrijai (Nacionālajam veselības dienestam) 2022.gadā iegādāties ražotāja CUREVAC AG izstrādātās vakcīnas pret Covid-19 946 510 devas 21  999 220 euro (bez PVN)</t>
  </si>
  <si>
    <t>Veselības ministrijai (Nacionālajam veselības dienestam) loģistikas izdevumu segšanai 2022.gadam 400 613 euro apmērā, tai skaitā: Janssen vakcīnas loģistikas izdevumiem 101 697 euro, Moderna vakcīnas loģistikas izdevumiem 170 243 euro,  Novavax vakcīnas loģistikas izdevumiem 98 164 euro, Valneva vakcīnas loģistikas izdevumiem 30 509 euro.</t>
  </si>
  <si>
    <t>Vakcīnu loģistikas izdevumu segšanai</t>
  </si>
  <si>
    <t>Piešķirt Valsts kancelejai finansējumu 48 988 euro, lai segtu vienotā informatīvā tālruņa 8345 izdevumus, nodrošinot personu informēšanu par Latvijā noteiktajiem Covid-19 epidemioloģiskās drošības pasākumiem</t>
  </si>
  <si>
    <t>MK rīkojums Nr.676
28.09.2021
(prot. Nr.56 54.§)</t>
  </si>
  <si>
    <t xml:space="preserve"> informatīvā tālruņa "8345" izdevumiem</t>
  </si>
  <si>
    <t xml:space="preserve">Veselības ministrijai (Nacionālajam veselības dienestam) pieteikties kopējā iepirkumā Novavax vakcīnu iegādei un piešķirt finansējumu, kas nepārsniedz 10 158 374 euro,  lai segtu iegādes, ievades un loģistikas izmaksas 
</t>
  </si>
  <si>
    <t>16.02.2021 01.03.2021 27.05.2021
05.10.2021</t>
  </si>
  <si>
    <t>24.11.2020.
01.12.2020. 07.01.2021 11.01.2021
01.04.2021
05.10.2021</t>
  </si>
  <si>
    <t>24.11.2020 01.12.2020 10.12.2020 07.01.2021 11.01.2021 12.03.2021 05.10.2021</t>
  </si>
  <si>
    <t>MK Nr.661"Par finanšu līdzekļu piešķiršanu no valsts budžeta programmas "Līdzekļi neparedzētiem gadījumiem"
17.09.2021
(prot. Nr.61 52.§)</t>
  </si>
  <si>
    <t>Piešķirt Finanšu ministrijai (Valsts ieņēmumu dienestam) 313 614 euro apmērā, tajā skaitā:
1. 191 565 euro apmērā, lai segtu izdevumus, kas saistīti ar piemaksu izmaksu Valsts ieņēmumu dienesta Muitas pārvaldes amatpersonām ar speciālajām dienesta pakāpēm par darbu paaugstināta riska apstākļos sabiedrības veselības apdraudējuma situācijā saistībā ar Covid-19 uzliesmojumu laikposmā no 2021. gada 1. jūlija līdz 2021. gada 31. jūlijam atbilstoši faktiski nostrādātajām darba stundām tiešā un uzskaitāmi pierādāmā saskarē ar Covid-19 inficētām vai iespējami inficētām personām, kā arī atbilstoši pārrēķinātajai piemaksu summai laikposmā no 2021. gada 1. marta līdz 2021. gada 31. aprīlim;
2.  122 049 euro apmērā, lai nodrošinātu atvaļinājuma naudas pieauguma segšanu, kas saistīts ar VID amatpersonām izmaksāto piemaksu par darbu paaugstināta riska apstākļos sabiedrības veselības apdraudējuma situācijā saistībā ar Covid-19 uzliesmojumu laikposmā no 2021. gada 1. marta līdz 2021. gada 31. jūlijam.</t>
  </si>
  <si>
    <t>Finansējums Labklājības ministrjai VSAA virsstundu darba apmaksai</t>
  </si>
  <si>
    <t>Finansējums Labklājības ministrijai</t>
  </si>
  <si>
    <t>Piešķirt Labklājības ministrijai (Valsts sociālās apdrošināšanas aģentūrai) finansējumu 62 332 euro apmērā izdevumu kompensēšanai saistībā ar virsstundu darbu atbilstoši faktiskajam virsstundu apjomam, veiktajām piemaksām par papildu pienākumu veikšanu un piemaksām par personisko darba ieguldījumu un darba kvalitāti laikposmā no 2021. gada 1. janvāra līdz 2021. gada 30. aprīlim Valsts sociālās apdrošināšanas aģentūras darbiniekiem, kuri nodrošināja ar Covid-19 ietekmes mazināšanu saistīto pakalpojumu piešķiršanu un izmaksu, kā arī klientu neklātienes konsultēšanu.</t>
  </si>
  <si>
    <t>MK rīk. Nr.417 "Par finanšu līdzekļu piešķiršanu no valsts budžeta programmas "Līdzekļi neparedzētiem gadījumiem""</t>
  </si>
  <si>
    <t>Iekšlietu ministrijai finansējumu 1 690 868 euro apmērā,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tā seku novēršanu laikposmā no 2021. gada 1. augusta līdz 2021. gada 31. augustam, kā arī samaksu par virsstundu darbu (samaksa par dienesta pienākumu izpildi virs noteiktā dienesta pienākumu izpildes laika) ārkārtas uzdevumu veikšanai Covid-19 izplatības ierobežošanai atbilstoši faktiskajam virsstundu apjomam, kas izveidojies laikposmā no 2021. gada 1. maija līdz 2021. gada 31. augustam, tai skaitā:
1. Valsts policijai – 1 175 859 euro;
2. Valsts policijas koledžai – 5 917 euro;
3. Valsts robežsardzei – 509 020 euro;
4. Valsts robežsardzes koledžai – 72 euro.</t>
  </si>
  <si>
    <t>MK rīk. Nr.705 "Par finanšu līdzekļu piešķiršanu no valsts budžeta programmas "Līdzekļi neparedzētiem gadījumiem"
06.10.2021
(prot. Nr.66 33.§)</t>
  </si>
  <si>
    <t>MK rīk. Nr.527 "Par finanšu līdzekļu piešķiršanu no valsts budžeta programmas "Līdzekļi neparedzētiem gadījumiem"
10.08.2021
(prot. Nr.55 86.§)</t>
  </si>
  <si>
    <t>MK rīk. Nr.709 "Par finanšu līdzekļu piešķiršanu no valsts budžeta programmas "Līdzekļi neparedzētiem gadījumiem"
06.10.2021
(prot. Nr.66 40.§)</t>
  </si>
  <si>
    <t>Piešķirt Veselības ministrijai finansējumu, kas nepārsniedz 15 927 641 euro, lai nodrošinātu piemaksas un atvaļinājuma rezerves uzkrājumu atbilstoši aprēķinātājai piemaksu summai no 2021. gada 1. oktobra līdz 2021. gada 30. novembrim atbildīgo institūciju ārstniecības personām un citiem nodarbinātajiem par darbu paaugstināta riska un slodzes apstākļos sabiedrības veselības apdraudējuma situācijā saistībā ar Covid-19 uzliesmojumu un seku novēršanu, tai skaitā:
 1.1. finansējumu, kas nepārsniedz 14 715 834 euro, piemaksu nodrošināšanai;
 1.2. finansējumu, kas nepārsniedz 1 211 807 euro, atvaļinājuma rezerves uzkrājumu nodrošināšanai.</t>
  </si>
  <si>
    <t>Piemaksām  un atvaļinājuma rezervēm</t>
  </si>
  <si>
    <t>Pabalsts peronām vecumā 60+                  (20 eur/ mēn)</t>
  </si>
  <si>
    <t>Covid-19 infekcijas izplatības seku pārvarēšanas likums https://likumi.lv/ta/id/315287-covid-19-infekcijas-izplatibas-seku-parvaresanas-likums</t>
  </si>
  <si>
    <t>ikmēneša atbalsts 20 euro apmērā katram Latvijas iedzīvotājam, kas saniedzis 60 gadu vecumu un ir vakcinējies (no 01.11.2021.  līdz 31.03.2022)</t>
  </si>
  <si>
    <t>Piešķirt Finanšu ministrijai (Valsts ieņēmumu dienestam)  finansējumu 287 712 euro apmērā, tai skaitā:
1. 17 839 euro, lai nodrošinātu samaksu par virsstundu darbu atbilstoši faktiskajam virsstundu apjomam laikposmā no 2021. gada 1. jūlija līdz 2021. gada 31. augustam Valsts ieņēmumu dienesta nodarbinātajiem, kuri nodrošina atbalsta izmaksu Covid-19 krīzes skartajiem uzņēmumiem;
2.  176 922 euro, lai segtu izdevumus, kas saistīti ar piemaksu izmaksu Valsts ieņēmumu dienesta Muitas pārvaldes amatpersonām ar speciālajām dienesta pakāpēm par darbu paaugstināta riska apstākļos sabiedrības veselības apdraudējuma situācijā saistībā ar Covid-19 uzliesmojumu laikposmā no 2021. gada 1. augusta līdz 2021. gada 31. augustam atbilstoši faktiski nostrādātajām darba stundām tiešā un uzskaitāmi pierādāmā saskarē ar Covid-19 inficētām vai iespējami inficētām personām;
3.  56 107 euro, lai nodrošinātu atvaļinājuma naudas pieauguma segšanu, kas saistīts ar Valsts ieņēmumu dienesta amatpersonām izmaksāto piemaksu par darbu paaugstināta riska apstākļos sabiedrības veselības apdraudējuma situācijā saistībā ar Covid-19 uzliesmojumu laikposmā no 2021. gada 1. marta līdz 2021. gada 31. augustam;
4. 36 844 euro, lai nodrošinātu atvaļinājuma naudas pieauguma segšanu, kas saistīts ar Valsts ieņēmumu dienesta nodarbinātajiem izmaksāto piemaksu par virsstundu darbu, nodrošinot atbalsta izmaksu Covid-19 krīzes skartajiem uzņēmumiem, laikposmā no 2021. gada 1. janvāra līdz 2021. gada 31. augustam.</t>
  </si>
  <si>
    <t>10.11.2020. 01.12.2020 08.12.2020 07.01.2021 12.01.2021 18.02.2021 29.04.2021 27.05.2020</t>
  </si>
  <si>
    <t>ambulatorajiem un stacionārajiem veselības aprūpes pakalpojumiem</t>
  </si>
  <si>
    <t>Piešķirt Veselības ministrijai finansējumu 2 487 793 euro apmērā, lai segtu izdevumus, kas radušies saistībā ar Covid-19 uzliesmojumu un seku novēršanu, no tiem:
1.1. Nacionālajam veselības dienestam – 2 359 026 euro, lai segtu izdevumus, kas radušies 2021. gada augustā, tai skaitā:
1.1.1. par ambulatorajiem veselības aprūpes pakalpojumiem 1 734 082 euro;
1.1.2. par stacionārajiem veselības aprūpes pakalpojumiem 496 441 euro;
1.1.3. par laboratorisko izmeklējumu organizēšanu 128 503 euro;
1.2. Neatliekamās medicīniskās palīdzības dienestam – 128 767 euro, lai segtu izdevumus par dezinfekcijas un individuālo aizsardzības līdzekļu iegādi no 2021. gada 1. septembra līdz 30. septembrim.</t>
  </si>
  <si>
    <t>https://tapportals.mk.gov.lv/annotation/9cf3c111-c2b5-413a-bc88-d577bc4dd60c</t>
  </si>
  <si>
    <t>Ministru kabineta rīkojums Nr. 773 "Par finanšu līdzekļu piešķiršanu no valsts budžeta programmas "Līdzekļi neparedzētiem gadījumiem"
Rīgā 2021. gada 27. oktobrī (prot. Nr. 72 51. §)</t>
  </si>
  <si>
    <t>23.02.2021
26.10.2021. groz.</t>
  </si>
  <si>
    <t>28.01.2021
groz. 26.10.2021</t>
  </si>
  <si>
    <r>
      <t xml:space="preserve">Pedagogu likmju skaits – 14790,032 x 300 euro = 4 437 124 euro
4 437 124 euro veidojas no kopsummas, kas aprēķināta katrai izglītības iestādei (kopumā – 1011 iestāde).  
Aukles, skolotāju palīgi (slodžu skaits) – 6 342,9795 x 300 = 1 902 894 euro
Kopā nepieciešams = 6 340 018 euro, tajā skaitā:
➡ 5 816 300 euro Izglītības un zinātnes ministrijai (62. resors "Mērķdotācijas pašvaldībām");
➡ 523 718 euro Izglītības un zinātnes ministrijai (15. resors "Izglītības un zinātnes ministrija").
</t>
    </r>
    <r>
      <rPr>
        <b/>
        <sz val="11"/>
        <rFont val="Calibri"/>
        <family val="2"/>
        <charset val="186"/>
        <scheme val="minor"/>
      </rPr>
      <t>Grozījumi MK 28.01.2021 rīkojumā Nr.56</t>
    </r>
    <r>
      <rPr>
        <sz val="11"/>
        <rFont val="Calibri"/>
        <family val="2"/>
        <scheme val="minor"/>
      </rPr>
      <t>. Aizstāt 1. punkta ievaddaļā skaitļus un vārdus "6 340 018 euro – 5 816 300 euro 62. resoram "Mērķdotācijas pašvaldībām" un 523 718 euro 15. resoram "Izglītības un zinātnes ministrija"" ar skaitļiem un vārdiem "5 959 806 euro – 5 440 610 euro 62. resoram "Mērķdotācijas pašvaldībām" un 519 196 euro 15. resoram "Izglītības un zinātnes ministrija"
 (</t>
    </r>
    <r>
      <rPr>
        <sz val="11"/>
        <color rgb="FFFF0000"/>
        <rFont val="Calibri"/>
        <family val="2"/>
        <charset val="186"/>
        <scheme val="minor"/>
      </rPr>
      <t>= SAMAZINA FINANSĒJUMU PAR 375 690 EURO)</t>
    </r>
  </si>
  <si>
    <t>Piešķirt Veselības ministrijai (Nacionālajam veselības dienestam) finansējumu 1 045 916 euro apmērā papildus gultu izvēršanai un atbilstošam materiāltehniskajam nodrošinājumam, tai skaitā:
 1. sabiedrībai ar ierobežotu atbildību "Rīgas 1. slimnīca" finansējumu 381 795 euro apmērā;
 2. sabiedrībai ar ierobežotu atbildību "Rīgas 2. slimnīca" finansējumu 376 625 euro apmērā;
 3. sabiedrībai ar ierobežotu atbildību "Rēzeknes slimnīca" finansējumu 49 075 euro apmērā;
 4. sabiedrībai ar ierobežotu atbildību "Jelgavas pilsētas slimnīca" finansējumu 175 421 euro apmērā;
 5. sabiedrībai ar ierobežotu atbildību "Ziemeļkurzemes reģionālā slimnīca" finansējumu 63 000 euro apmērā</t>
  </si>
  <si>
    <t xml:space="preserve">virsstundu darba apmaksa  </t>
  </si>
  <si>
    <t>Piešķirt Veselības ministrijai finansējumu 2 872 778 euro apmērā, lai kompensētu atbildīgajām institūcijām samaksu par ārstniecības personu un pārējo nodarbināto virsstundu darbu, kas saistīts ar Covid-19 jautājumu risināšanu un seku novēršanu, tai skaitā:
 1.1. Nacionālajam veselības dienestam – 2 834 391 euro, lai nodrošinātu samaksu ārstniecības iestādēm (2 779 026 euro) par laikposmu no 2021. gada 1. maija līdz 2021. gada 31. augustam un samaksu Nacionālā veselības dienesta darbiniekiem (55 365 euro) par laikposmu no 2021. gada 1. septembra līdz 2021. gada 30. septembrim;
 1.2. Slimību profilakses un kontroles centram – 28 837 euro par laikposmu no 2021. gada 1. septembra līdz 2021. gada 30. septembrim;
 1.3. Valsts asinsdonoru centram – 1 590 euro par laikposmu no 2021. gada 1. septembra līdz 2021. gada 30. septembrim;
 1.4. Veselības ministrijai – 7 960 euro par laikposmu no 2021. gada 1. septembra līdz 2021. gada 30. septembrim.</t>
  </si>
  <si>
    <t>papildus gultu izvēršanai un atbilstošam materiāltehniskajam nodrošinājumam,</t>
  </si>
  <si>
    <t>autobusu mobilā vakcinācijas punkta izveidei.</t>
  </si>
  <si>
    <t>Piešķirt Veselības ministrijai (Nacionālajam veselības dienestam)  finansējumu 67 880 euro apmērā, lai segtu izdevumus, kas radušies saistībā ar Covid-19 infekcijas uzliesmojumu un seku novēršanu 2021.gada novembrī, nodrošinot nepieciešamos autobusus mobilā vakcinācijas punkta izveidei.</t>
  </si>
  <si>
    <t>Piešķirt Izglītības un zinātnes ministrijai 1 582 153 euro izglītojamo atbalstam, mazinot Covid-19 pandēmijas radīto seku ietekmi uz mācību satura apguvi un iesaisti izglītībā, tai skaitā: 
1.1. 1 151 038 euro individuālo konsultāciju nodrošināšanai valsts un pašvaldību vispārējās izglītības iestādēs un pašvaldību profesionālās izglītības iestādēs Eiropas Savienības struktūrfondu un Kohēzijas fonda 2014.-2020.gada plānošanas perioda darbības programmas „Izaugsme un nodarbinātība” 8.3.4.specifiskā atbalsta mērķa „Samazināt priekšlaicīgu mācību pārtraukšanu, īstenojot preventīvus un intervences pasākumus” ietvaros;
1.2. 381 115  euro mācīšanās grupu atbalsta pasākumu īstenošanai un pedagogu palīgu nodrošināšanai valsts un pašvaldību vispārējās izglītības iestādēs Eiropas Savienības struktūrfondu un Kohēzijas fonda 2014.-2020.gada plānošanas perioda darbības programmas „Izaugsme un nodarbinātība” 8.3.2. specifiskā atbalsta mērķa „Palielināt atbalstu vispārējās izglītības iestādēm izglītojamo individuālo kompetenču attīstībai” 8.3.2.2. pasākuma „Atbalsts izglītojamo individuālo kompetenču attīstībai” ietvaros;
 1.3. 50 000 euro mācību priekšmetu olimpiāžu un zinātniski pētniecisko pasākumu īstenošanai pārraudzītas tiešsaistes režīmā Eiropas Savienības struktūrfondu un Kohēzijas fonda 2014.-2020.gada plānošanas perioda darbības programmas „Izaugsme un nodarbinātība” 8.3.2. specifiskā atbalsta mērķa „Palielināt atbalstu vispārējās izglītības iestādēm izglītojamo individuālo kompetenču attīstībai” 8.3.2.1. pasākuma „Atbalsts nacionāla un starptautiska mēroga pasākumu īstenošanai izglītojamo talantu attīstībai” ietvaros.</t>
  </si>
  <si>
    <t xml:space="preserve"> izglītojamo atbalstam</t>
  </si>
  <si>
    <t>Piešķirt Satiksmes ministrijai finansējumu 23 390 194  euro, lai kompensētu zaudējumus sabiedriskā transporta pakalpojumu sniedzējiem par sniegtajiem sabiedriskā transporta pakalpojumiem 2021. gadā, no tiem:
 1.1. reģionālās nozīmes pārvadājumos ar autobusiem  14 940 953  euro, tostarp  4 678 433 euro par Covid-19 infekcijas izplatības mazināšanu un ierobežojošo pasākumu seku rezultātā pasažieru skaita mazināšanos;
 1.2. reģionālās nozīmes pārvadājumos ar vilcieniem  8 449 241 euro, tostarp   3 282 335 euro par Covid-19 infekcijas izplatības mazināšanu un ierobežojošo pasākumu seku rezultātā pasažieru skaita mazināšanos.</t>
  </si>
  <si>
    <t xml:space="preserve">lai kompensētu zaudējumus sabiedriskā transporta pakalpojumu sniedzējiem par sniegtajiem sabiedriskā transporta pakalpojumiem </t>
  </si>
  <si>
    <t>Atbalsta grupa</t>
  </si>
  <si>
    <t>MK Nr. 772
27.10.2021
(prot. Nr.72 47.§)</t>
  </si>
  <si>
    <t>Ministru kabineta rīkojums Nr. 791
Rīgā 2021. gada 2. novembrī (prot. Nr. 73 31. §)</t>
  </si>
  <si>
    <r>
      <t xml:space="preserve">Līdzfinansējuma nodrošinājums dalībai Eiropas Savienības pētniecības un tehnoloģiju attīstības programmās, t.sk. </t>
    </r>
    <r>
      <rPr>
        <b/>
        <sz val="11"/>
        <color theme="9" tint="-0.249977111117893"/>
        <rFont val="Calibri"/>
        <family val="2"/>
        <charset val="186"/>
        <scheme val="minor"/>
      </rPr>
      <t xml:space="preserve">Apvārsnis </t>
    </r>
  </si>
  <si>
    <t xml:space="preserve"> </t>
  </si>
  <si>
    <t>UIN apliekamajā bāzē neiekļaut procentu maksājumus</t>
  </si>
  <si>
    <t>"Covid-19 infekcijas izplatības seku pārvarēšanas likums"</t>
  </si>
  <si>
    <t>UIN apliekamajā bāzē 2021. un 2022.gadā neiekļaut procentu maksājumus</t>
  </si>
  <si>
    <t>Priekšlikums, kas paredz ar UIN apliekamajā bāzē 2021. un 2022.gadā neiekļaut procentu maksājumus (Uzņēmumu ienākuma nodokļa  likuma 10.panta pirmās daļas normas), fiskālā ietekme vērtējama -5,5 milj. euro 2022. un 2023.gadā (šo pozīciju uzrāda decembra apkopojošā UIN deklarācijā, kā rezultātā nodokli maksā nākamā gada janvārī).
Aprēķinos par pamatu ņemti dati no maksātāju UIN deklarācijām par 2020.gadu (informācija uz 2021.gada 7.septembri), kur procentu maksājumi, kas tiek iekļauti ar UIN apliekamajā bāzē, veido ~22 milj. euro, kā rezultātā fiskālā ietekme vērtējama 22*20/80=5,5 milj. euro.</t>
  </si>
  <si>
    <t>20.03.2020 05.06.2020 24.11.2020 02.11.2021</t>
  </si>
  <si>
    <t>Tai skaitā 2020.gadā pašvaldību budžetā  -28,0 milj. eiro. Ņemot vērā, ka vēl nav ieviests vienotais konts un uzkrājumu princips, nav iespējams precīzi noteikti faktisko atbalstu.
Pēc VID datiem - 2019.gadā veicamo IIN avansa maksājumu summa bija 31,81 milj. EUR, 2020.gadā tie ir tikai 4,30 milj. EUR. Vienlaikus arī pēc gada ienākumu deklarāciju rezultātiem piemaksājamā IIN summa ir samazinājusies. Ja deklarācijās par 2018.gadu piemaksājamā summa bija 45,07 milj. EUR, tad par 2019.gadu tā ir 42,74 milj. EUR. Pagarināts atbalsts arī uz 2021.gadu un 2022.gadu</t>
  </si>
  <si>
    <t>Ietekme uz vispārējās valdības budžeta bilanci, milj. eiro</t>
  </si>
  <si>
    <t>Ietekme uz budžeta bilanci</t>
  </si>
  <si>
    <t>Atbalsts tautsaimniecībai</t>
  </si>
  <si>
    <t>Dīkstāves pabalsts</t>
  </si>
  <si>
    <t>Algu subsīdijas</t>
  </si>
  <si>
    <t>Slimības pabalsta apmaksa no valsts budžeta līdzekļiem saistībā ar Covid-19</t>
  </si>
  <si>
    <t>Pabalsts personām vecumā virs 60 gadiem (20 eur mēnesī)</t>
  </si>
  <si>
    <t>Slimības palīdzības pabalsts</t>
  </si>
  <si>
    <t>Citi pabalsti</t>
  </si>
  <si>
    <t>Portfeļgarantijas</t>
  </si>
  <si>
    <t>Citas ALTUM programmas</t>
  </si>
  <si>
    <t>Pārējais atbalsts</t>
  </si>
  <si>
    <t>Veselības nozarei</t>
  </si>
  <si>
    <t>Satiksmes nozarei</t>
  </si>
  <si>
    <t>Izglītības un zinātnes nozarei</t>
  </si>
  <si>
    <t>Kultūras nozarei</t>
  </si>
  <si>
    <t>Zemkopības nozarei</t>
  </si>
  <si>
    <t>Granti apgrozāmajiem līdzekļiem uzņēmumiem</t>
  </si>
  <si>
    <t>x</t>
  </si>
  <si>
    <t>KOPĀ, milj. EUR</t>
  </si>
  <si>
    <t>Visas</t>
  </si>
  <si>
    <t>Slimnīcu pamatkapitāls</t>
  </si>
  <si>
    <t>Individuālie aizsardzības līdzekļi</t>
  </si>
  <si>
    <t>Piemaksas/atlīdzība</t>
  </si>
  <si>
    <t>Veselības aprūpes pakalpojumiem</t>
  </si>
  <si>
    <t>Cits finansējums</t>
  </si>
  <si>
    <t>Covid-19 testu iegāde</t>
  </si>
  <si>
    <t>Medikamentu iegāde</t>
  </si>
  <si>
    <t>Pasākumi</t>
  </si>
  <si>
    <t>ATBALSTA APJOMS</t>
  </si>
  <si>
    <t>% no attiecīgā gada IKP</t>
  </si>
  <si>
    <t>t.sk. Nodokļu samaksas termiņa pagarinājumi</t>
  </si>
  <si>
    <t>t.sk. Ātrāka PVN pārmaksas atmaksa</t>
  </si>
  <si>
    <t>t.sk. Iespēja nemaksāt IIN avansus</t>
  </si>
  <si>
    <t>t.sk. Dīkstāves pabalsti</t>
  </si>
  <si>
    <t>t.sk. Algu subsīdijas</t>
  </si>
  <si>
    <t>t.sk. Bezdarbnieku palīdzības pabalsts</t>
  </si>
  <si>
    <t>t.sk. Slimības pabalsts 1.-10.diena no valsts budžeta dēļ Covid-19</t>
  </si>
  <si>
    <t>t.sk. Vienreizējs pabalsts (500 EUR) ģimenēm par katru bērnu</t>
  </si>
  <si>
    <t>t.sk. Vienreizējs pabalsts (200 EUR) senioriem un cilvēkiem ar invaliditāti</t>
  </si>
  <si>
    <t>t.sk. Kredītu garantijas, t.sk. piesaistītais līdzfinansējums</t>
  </si>
  <si>
    <t>t.sk. Portfeļgarantijas, t.sk. piesaistītais līdzfinansējums</t>
  </si>
  <si>
    <t>t.sk. Aizdevumi apgrozāmiem līdzekļiem, t.sk. piesaistītais līdzfinansējums</t>
  </si>
  <si>
    <t>t.sk. Kapitāla fonds lielajiem komersantiem (ALTUM atbalsts no valsts budžeta finansējuma)</t>
  </si>
  <si>
    <t>t.sk. Aizdevumi ar kapitāla atlaidi investīciju projektiem komersantiem konkurētspējas veicināšanai</t>
  </si>
  <si>
    <t>t.sk. Pašvaldību aizņēmumu limita palielināšana</t>
  </si>
  <si>
    <t>t.sk. Satiksmes nozarei (t.sk. avio nozarei)</t>
  </si>
  <si>
    <t>t.sk. Granti apgrozāmajiem līdzekļiem</t>
  </si>
  <si>
    <t>t.sk. Zemkopības nozarei</t>
  </si>
  <si>
    <t>t.sk. Kultūras nozarei</t>
  </si>
  <si>
    <t>t.sk. Izglītības un zinātnes nozarei (t.sk. sportam un attālinātajām mācībām)</t>
  </si>
  <si>
    <t>Measures</t>
  </si>
  <si>
    <t>Total support (Plan)</t>
  </si>
  <si>
    <t>TOTAL SUPPORT</t>
  </si>
  <si>
    <t>incl. Grant for current assets</t>
  </si>
  <si>
    <t>incl. Agriculture sector</t>
  </si>
  <si>
    <t>incl. Culture sector</t>
  </si>
  <si>
    <t>incl. High readiness projects submitted by ministries related to overcoming the Covid-19 crisis and economic recovery</t>
  </si>
  <si>
    <t>incl. Redistribution of EU funds</t>
  </si>
  <si>
    <t>t.sk. Augstas gatavības projekti (bez autoceļiem)</t>
  </si>
  <si>
    <r>
      <t xml:space="preserve">1 </t>
    </r>
    <r>
      <rPr>
        <sz val="10"/>
        <color theme="1"/>
        <rFont val="Times New Roman"/>
        <family val="1"/>
        <charset val="186"/>
      </rPr>
      <t>FM novērtējums, ņemot vērā Valsts kases, VID, Altum, VSAA, LIAA, ZM u.c. institūciju iesniegto informāciju.</t>
    </r>
  </si>
  <si>
    <t>incl. EU funds over-commitments</t>
  </si>
  <si>
    <t>Piešķirt Iekšlietu ministrijai finansējumu 979 646 euro apmērā, tai skaitā:
 1.1. 803 688 euro,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tā seku novēršanu laikposmā no 2021. gada 1. septembra līdz 2021. gada 30. septembrim, no tiem:
 1.1.1. Valsts policijai – 470 257 euro;
 1.1.2. Valsts robežsardzei – 333 431 euro;
 1.2. 175 958 euro Valsts policijai, lai kompensētu papildu izdevumus (vidējās izpeļņas pieaugums), kas radušies, nosakot atlīdzību  par darbu paaugstināta riska un slodzes apstākļos saistībā ar Covid-19 infekcijas slimības uzliesmojumu un tā seku novēršanu.</t>
  </si>
  <si>
    <t xml:space="preserve">Mk rīkojums Nr.627 Par finanšu līdzekļu piešķiršanu no valsts budžeta programmas "Līdzekļi neparedzētiem gadījumiem"
07.09.2021
</t>
  </si>
  <si>
    <t>MK rīk. Nr.744 Par finanšu līdzekļu piešķiršanu no valsts budžeta programmas "Līdzekļi neparedzētiem gadījumiem"
20.10.2021
(prot. Nr.70 42.§)</t>
  </si>
  <si>
    <t>MK rīk. Nr.824 Par finanšu līdzekļu piešķiršanu no valsts budžeta programmas "Līdzekļi neparedzētiem gadījumiem"
11.11.2021
(prot. Nr.74 43.§)</t>
  </si>
  <si>
    <t>Piešķirt Veselības ministrijai 1 528 euro epidemioloģisko nosacījumu, loģistikas un darba organizācijas procesa nodrošināšanai izglītības iestādē.</t>
  </si>
  <si>
    <t>Ministru kabineta rīkojums Nr. 827
(prot. Nr. 74 44. §)
Par finanšu līdzekļu piešķiršanu no valsts budžeta programmas "Līdzekļi neparedzētiem gadījumiem"</t>
  </si>
  <si>
    <t>Lai veiktu  epidemioloģisko nosacījumu, loģistikas un darba organizācijas procesa nodrošināšanu izglītības iestādēs</t>
  </si>
  <si>
    <t>AIM</t>
  </si>
  <si>
    <t>Piešķirt Aizsardzības  ministrijai 5190  euro epidemioloģisko nosacījumu, loģistikas un darba organizācijas procesa nodrošināšanai izglītības iestādē.</t>
  </si>
  <si>
    <r>
      <t xml:space="preserve">Piešķirt Izglītības un zinātnes ministrijai </t>
    </r>
    <r>
      <rPr>
        <b/>
        <sz val="11"/>
        <rFont val="Calibri"/>
        <family val="2"/>
        <charset val="186"/>
        <scheme val="minor"/>
      </rPr>
      <t>2 843 426</t>
    </r>
    <r>
      <rPr>
        <sz val="11"/>
        <rFont val="Calibri"/>
        <family val="2"/>
        <charset val="186"/>
        <scheme val="minor"/>
      </rPr>
      <t xml:space="preserve">  euro  (</t>
    </r>
    <r>
      <rPr>
        <sz val="11"/>
        <rFont val="Calibri"/>
        <family val="2"/>
        <scheme val="minor"/>
      </rPr>
      <t>361 892 euro Izglītības un zinātnes ministrijai un  2 481 534 euro Izglītības un zinātnes ministrijai (62. resors "Mērķdotācijas pašvaldībām").,  epidemioloģisko nosacījumu, loģistikas un darba organizācijas procesa nodrošināšanai izglītības iestādē.</t>
    </r>
  </si>
  <si>
    <t>Piešķirt Zemkopības  ministrijai 3210   euro epidemioloģisko nosacījumu, loģistikas un darba organizācijas procesa nodrošināšanai izglītības iestādē.</t>
  </si>
  <si>
    <t>Piešķirt Kultūras ministrijai 106 838  euro epidemioloģisko nosacījumu, loģistikas un darba organizācijas procesa nodrošināšanai izglītības iestādē.</t>
  </si>
  <si>
    <t>piemaksām VID Nodokļu un muitas policijas pārvaldes un Muitas pārvaldes amatpersonām, par nostrādāto laikposmā no 2021. gada 1. septembra līdz 2021. gada 30. septembrim</t>
  </si>
  <si>
    <t>lai segtu izdevumus, kas radušies saistībā ar Covid-19 uzliesmojumu un seku novēršanu</t>
  </si>
  <si>
    <t>Piešķirt Veselības ministrijai  finansējumu 18 983 278 euro apmērā, lai segtu izdevumus, kas radušies saistībā ar Covid-19 uzliesmojumu un seku novēršanu, tai skaitā:
1.1. Nacionālajam veselības dienestam – 18 725 744 euro, lai segtu izdevumus par  ambulatorajiem un stacionārajiem veselības aprūpes pakalpojumiem un laboratorisko izmeklējumu organizēšanu 2021. gada oktobrī un novembrī;
1.2. Neatliekamās medicīniskās palīdzības dienestam – 257 534 euro, lai segtu izdevumus par dezinfekcijas un individuālo aizsardzības līdzekļu iegādi  2021. gada oktobrī un novembrī.</t>
  </si>
  <si>
    <t>07.07.2021
16.11.2021</t>
  </si>
  <si>
    <t>piešķirt Veselībasministrijai (Nacionālajam veselības dienestam) finansējumu 206500 euro apmērā, lai nodrošinātu kombinēta monoklonāloantivielu preparāta REGN-CoV2 (casirivimabs/imdevimabs(firma Roche)) pieejamību Covid-19 ārstēšanas procesā.
16.11.2021 groz. MK rīk.nr. 502, palielinot fin par 0,4 milj. eiro</t>
  </si>
  <si>
    <r>
      <t xml:space="preserve">Vides aizsardzības un reģionālās attīstības ministrijai finansējumu, kas nepārsniedz 4 550 616 euro apmērā, lai segtu izdevumus, kas pašvaldībām radušies 2021.gadā, nodrošinot nacionāla mēroga vakcinācijas kompleksu darbību
</t>
    </r>
    <r>
      <rPr>
        <sz val="11"/>
        <color rgb="FFFF0000"/>
        <rFont val="Calibri"/>
        <family val="2"/>
        <charset val="186"/>
        <scheme val="minor"/>
      </rPr>
      <t>16.11.2021 ar groz.rīk. 247, samazina VARAM daļu 3,4 milj. (BD LNG fails uz 17.11.2021</t>
    </r>
    <r>
      <rPr>
        <sz val="11"/>
        <rFont val="Calibri"/>
        <family val="2"/>
        <charset val="186"/>
        <scheme val="minor"/>
      </rPr>
      <t>)</t>
    </r>
  </si>
  <si>
    <r>
      <t xml:space="preserve">Veselības ministrijai (Nacionālajam veselības dienestam) finansējumu, kas nepārsniedz 1 036 913 euro apmērā, lai nodrošinātu nacionāla mēroga vakcinācijas kompleksu darbību
</t>
    </r>
    <r>
      <rPr>
        <sz val="11"/>
        <color rgb="FFFF0000"/>
        <rFont val="Calibri"/>
        <family val="2"/>
        <charset val="186"/>
        <scheme val="minor"/>
      </rPr>
      <t>16.11.2021 palielināts par 175 009 eur ((BD LNG fails uz 17.11.2021))</t>
    </r>
  </si>
  <si>
    <t>14.04.2021
07.07.2021 groz.
16.11.2021 groz.</t>
  </si>
  <si>
    <t>14.04.2021
16.11.2021 groz.</t>
  </si>
  <si>
    <t>24.03.2021
16.11.2021 groz.</t>
  </si>
  <si>
    <r>
      <t xml:space="preserve">1.finansējums, kas nepārsniedz 1 186 783 euro, lai nodrošinātu tālruņa numura “8989” darbību;
2. finansējums 16 270 euro apmērā, lai segtu izdevumus, kas radušies saistībā ar tālruņa numura “8989” darbības nodrošināšanu
</t>
    </r>
    <r>
      <rPr>
        <sz val="11"/>
        <color rgb="FFFF0000"/>
        <rFont val="Calibri"/>
        <family val="2"/>
        <charset val="186"/>
        <scheme val="minor"/>
      </rPr>
      <t>16.11.2021 palielināts fin. 101 954 eur</t>
    </r>
  </si>
  <si>
    <t>P.1</t>
  </si>
  <si>
    <t>medicīnas inventāram un tā rezerves daļām, medicīnas gāzēm</t>
  </si>
  <si>
    <t>„Kultūras pasākumu rīkotāju biļešu kompensācija” 4. kārta</t>
  </si>
  <si>
    <t>mērķprogrammas “Kultūras pasākumu rīkotāju biļešu kompensācija” 4.kārtai, biļešu kompensācijai 80% apmērā un atbalsta programmas administrēšanai; 730 220 eur</t>
  </si>
  <si>
    <t>05.05.2020 30.06.2020 10.12.2020 21.12.2020 07.01.2021 11.01.2021 12.03.2021 14.04.2021 16.11.2021</t>
  </si>
  <si>
    <r>
      <t>Plānotais bezdarbnieka palīdzības pabalsta saņēmēju skaits vidēji mēnesī – 18 653 (izmaksai aprīlis – decembris); 
Vidējais palīdzības pabalsta apmērs – 180 euro mēnesī personai ne ilgāk kā 4 mēnešus pēc bezdarbnieka pabalsta izmaksas perioda beigām.
Atbilstoši Ministru kabineta 30.06.2020 rīkojumam Nr.366 (prot. Nr.42 53.§), kas veic grozījumu Ministru kabineta 05.05.2020. rīkojumā Nr.238 (prot. Nr.29 4.§), tiek paredzēts bezdarbnieka palīdzības pabalsta izmaksas nodrošināšanu un bezdarbnieka pabalsta izdevumu nepārtrauktības risku novēršanu (20 145 240 eur pārdalīti bezdarbnieku pabalstiem). Ņemot vērā izpildi, pārrēķināts nepieciešamais finansējums (FM 30.10.2020. rīkojums Nr.436). Grozījumi likumā "Par apdrošināšanu bezdarba gadījumam" (izskatīts MK 10.12.2020. sēdē) pabalsta piešķiršanas termiņs pagarināts līdz 30.06.2021. Finansiālā ietekme 3 314 520 euro (2021.gadā no LNG)</t>
    </r>
    <r>
      <rPr>
        <sz val="11"/>
        <color theme="1"/>
        <rFont val="Calibri"/>
        <family val="2"/>
        <charset val="186"/>
        <scheme val="minor"/>
      </rPr>
      <t xml:space="preserve">. ar MK 11.01.2021. rīkojumu Nr.16 (ar grozījumiem) piešķirts finansējums 14 830 016 euro apmērā. </t>
    </r>
    <r>
      <rPr>
        <sz val="11"/>
        <color rgb="FFFF0000"/>
        <rFont val="Calibri"/>
        <family val="2"/>
        <charset val="186"/>
        <scheme val="minor"/>
      </rPr>
      <t xml:space="preserve">
2021.gadā samazināts ar MK 11.01.21. rīk. Nr.16 piešķirtais finansējums par 1,7 milj. eiro bezdarbnieka palīdzības pabalsta izmaksai 180 eiro  apmērā; 
</t>
    </r>
  </si>
  <si>
    <r>
      <t xml:space="preserve">Ar MK 01.12.2020. rīkojumu Nr.707 “Par finanšu līdzekļu iešķiršanu no valsts budžeta programmas “Līdzekļi neparedzētiem gadījumiem”  tika piešķirts finansējums 2020.gadam 10 505 162 euro. Sākotnēji piešķirti arī 23 595 euro VSAA IS funkcionalitātes nodrošināšanai. 2021.gadā pie nosacījuma, ja personu loks, kas nevar strādāt attālināti, sasniegs 30% no nodarbinātajiem, 2021.gadā nepieciešamais finansējums provizoriski tiek plānots 67 554 834 euro apmērā (t.sk. 23 595 euro VSAA IS funkcionalitātes nodrošināšanai). </t>
    </r>
    <r>
      <rPr>
        <sz val="11"/>
        <color rgb="FFFF0000"/>
        <rFont val="Calibri"/>
        <family val="2"/>
        <charset val="186"/>
        <scheme val="minor"/>
      </rPr>
      <t xml:space="preserve">No LNG sākotnēji piešķirti 11 255 206  euro. 18.03.2021 MK lēma par zemāku nepieciešamo finansējumu 55 039 882 euro. 27.05.2021. MK nolēma, ka nepieciešami 14 727 412  euro.
05.10.2021 MK veic grozījumus  "Grozījums Ministru kabineta 2021. gada 11. janvāra rīkojumā Nr. 13 "Par finanšu līdzekļu piešķiršanu no valsts budžeta programmas "Līdzekļi neparedzētiem gadījumiem""", tomēr samazinot piešķirto apmēru par 1,4 m euro  (jaunā summa </t>
    </r>
    <r>
      <rPr>
        <b/>
        <sz val="11"/>
        <color rgb="FFFF0000"/>
        <rFont val="Calibri"/>
        <family val="2"/>
        <charset val="186"/>
        <scheme val="minor"/>
      </rPr>
      <t>13 368 214</t>
    </r>
    <r>
      <rPr>
        <sz val="11"/>
        <color rgb="FFFF0000"/>
        <rFont val="Calibri"/>
        <family val="2"/>
        <charset val="186"/>
        <scheme val="minor"/>
      </rPr>
      <t xml:space="preserve">  euro)
16.11.2021 </t>
    </r>
    <r>
      <rPr>
        <b/>
        <sz val="11"/>
        <color rgb="FFFF0000"/>
        <rFont val="Calibri"/>
        <family val="2"/>
        <charset val="186"/>
        <scheme val="minor"/>
      </rPr>
      <t>samazināts ar MK 11.01.21. rīk. Nr.13 piešķirtais finansējums 8 417 724 eiro</t>
    </r>
    <r>
      <rPr>
        <sz val="11"/>
        <color rgb="FFFF0000"/>
        <rFont val="Calibri"/>
        <family val="2"/>
        <charset val="186"/>
        <scheme val="minor"/>
      </rPr>
      <t xml:space="preserve"> slimības palīdzības pabalstu izmaksai;
</t>
    </r>
  </si>
  <si>
    <t>26.11.2020 01.12.2020 10.12.2020 11.01.2021 18.03.2021 27.05.2021
05.10.2021
16.11.2021</t>
  </si>
  <si>
    <t xml:space="preserve">Finansējums 2 431 560 euro, lai nodrošinātu medikamenta Veclury ar aktīvo vielu remdesivīrs pieejamību medikamentozās ārstēšanas procesā no 2021. gada janvāra līdz 2021. gada 30.jūnijam. 18.05.2021 MK piešķīris papildus 4 657 500 euro. 
23.11.2021 MK  Nr.876  (prot. Nr.76 29.§), piešķirti papildus 4 554 000 euro
</t>
  </si>
  <si>
    <t>ambulatorajiem, stacionārajiem veselības aprūpes pakalpojumiem un laboratoriskajiem izmeklējumiem;</t>
  </si>
  <si>
    <r>
      <t>Piešķirt Veselības ministrijai (Nacionālajam veselības dienestam) finansējumu</t>
    </r>
    <r>
      <rPr>
        <b/>
        <sz val="11"/>
        <rFont val="Calibri"/>
        <family val="2"/>
        <charset val="186"/>
        <scheme val="minor"/>
      </rPr>
      <t xml:space="preserve"> 4 284 321 euro</t>
    </r>
    <r>
      <rPr>
        <sz val="11"/>
        <rFont val="Calibri"/>
        <family val="2"/>
        <charset val="186"/>
        <scheme val="minor"/>
      </rPr>
      <t xml:space="preserve"> apmērā gultu izveidei un atbilstošu medicīnisko iekārtu un papildaprīkojuma iegādei, FINANSĒJUMA SLIMNĪCĀM REĢIONOS. + </t>
    </r>
    <r>
      <rPr>
        <b/>
        <sz val="11"/>
        <rFont val="Calibri"/>
        <family val="2"/>
        <charset val="186"/>
        <scheme val="minor"/>
      </rPr>
      <t xml:space="preserve"> 397 211 euro</t>
    </r>
    <r>
      <rPr>
        <sz val="11"/>
        <rFont val="Calibri"/>
        <family val="2"/>
        <charset val="186"/>
        <scheme val="minor"/>
      </rPr>
      <t xml:space="preserve">  gultu izveidei un atbilstošu medicīnisko iekārtu un papildaprīkojuma iegādei, kā arī skābekļa pievades vai izveides sistēmu uzlabošanai.</t>
    </r>
  </si>
  <si>
    <t>gultu izveidei un atbilstošu medicīnisko iekārtu un papildaprīkojuma iegādei</t>
  </si>
  <si>
    <t>finansējums valsts drošības dienestam</t>
  </si>
  <si>
    <t>D.6</t>
  </si>
  <si>
    <t>Piešķirt Satiksmes ministrijai finansējumu 116 532 euro apmērā, lai kompensētu mobilo sakaru operatoru izdevumus, kas radušies, nosūtot viesabonentiem, kuri ir reģistrējušies Latvijas mobilo sakaru operatora tīklā, SMS paziņojumu laikposmā no 2021. gada 1.aprīļa līdz 2021. gada 30. septembrim, tai skaitā:
 1. 36 056 euro – sabiedrībai ar ierobežotu atbildību „Latvijas Mobilais Telefons”;
 2. 53 110  euro – sabiedrībai ar ierobežotu atbildību „Tele2”;
3. 27 366 euro – sabiedrībai ar ierobežotu atbildību „BITE Latvija”.</t>
  </si>
  <si>
    <t xml:space="preserve">Ministru kabineta rīkojuma projekts (turpmāk – Projekts) sagatavots, lai segtu izdevumus mājokļu pieejamības pasākumiem ģimenēm ar bērniem, izsniedzot valsts garantijas un subsīdiju attiecībā uz mājokļa iegādei vai būvniecībai ņemto aizdevumu.
Projekts paredz pārdalīt finansējumu 8 000 000 euro apmērā no budžeta resora “74. Gadskārtējā valsts budžeta izpildes procesā pārdalāmais finansējums” programmas 11.00.00 "Demogrāfijas pasākumi" uz Ekonomikas ministrijas budžeta programmu 35.00.00 "Valsts atbalsta programmas".
 </t>
  </si>
  <si>
    <r>
      <t xml:space="preserve">iešķirt Iekšlietu ministrijai finansējumu </t>
    </r>
    <r>
      <rPr>
        <b/>
        <sz val="11"/>
        <color theme="1"/>
        <rFont val="Calibri"/>
        <family val="2"/>
        <charset val="186"/>
        <scheme val="minor"/>
      </rPr>
      <t>879 481 euro a</t>
    </r>
    <r>
      <rPr>
        <sz val="11"/>
        <color theme="1"/>
        <rFont val="Calibri"/>
        <family val="2"/>
        <charset val="186"/>
        <scheme val="minor"/>
      </rPr>
      <t>pmērā</t>
    </r>
    <r>
      <rPr>
        <sz val="11"/>
        <color theme="1"/>
        <rFont val="Calibri"/>
        <family val="2"/>
        <scheme val="minor"/>
      </rPr>
      <t>, lai segtu izdevumus, kas saistīti ar Iekšlietu ministrijas sistēmas iestāžu amatpersonu ar speciālajām dienesta pakāpēm piemaksām par darbu paaugstināta riska un slodzes apstākļos sabiedrības veselības apdraudējuma situācijā saistībā ar Covid-19 uzliesmojumu un seku novēršanu laikposmā no 2021. gada 1. oktobra līdz 2021. gada 31. oktobrim, kā arī piemaksām par nakts darbu iedzīvotāju pārvietošanās aizlieguma ievērošanas kontrolē no 2021. gada 21. oktobra līdz 2021. gada 14. novembrim laikposmā no plkst. 22.00 līdz plkst. 5.00, tai skaitā:
1.1.Valsts policijai – 546 185 euro;
1.2.Valsts policijas koledžai – 5 199 euro;
1.3.Valsts robežsardzei – 328 097 euro.</t>
    </r>
  </si>
  <si>
    <t>Ministru kabineta rīkojums Nr. 819
Rīgā 2021. gada 9. novembrī (prot. Nr. 74 37. §)</t>
  </si>
  <si>
    <r>
      <t>lai  segtu izdevumus mājokļu pieejamības pasākumiem ģimenēm ar bērniem, izsniedzot valsts garantijas un subsīdiju attiecībā uz mājokļa iegādei vai būvniecībai ņemto aizdevumu.</t>
    </r>
    <r>
      <rPr>
        <b/>
        <sz val="11"/>
        <rFont val="Calibri"/>
        <family val="2"/>
        <charset val="186"/>
        <scheme val="minor"/>
      </rPr>
      <t xml:space="preserve"> APRO PĀRDALE</t>
    </r>
  </si>
  <si>
    <t xml:space="preserve">14.01.2021 18.05.2021
23.11.2021 </t>
  </si>
  <si>
    <r>
      <t xml:space="preserve">Tiek plānots veikt ārpakalpojuma iegādi, lai veiktu personu aptauju apstiprinātas Covid-19 diagnozes gadījumā līdz 300 cilvēkstundām dienā. Finansējums 5 mēnešiem
</t>
    </r>
    <r>
      <rPr>
        <b/>
        <sz val="11"/>
        <rFont val="Calibri"/>
        <family val="2"/>
        <charset val="186"/>
        <scheme val="minor"/>
      </rPr>
      <t>23.11.  MK rīk.877 vekti grozījumi Mk rīk.55 Izdarīt Ministru kabineta 2021. gada 28. janvāra rīkojumā Nr. 55</t>
    </r>
    <r>
      <rPr>
        <sz val="11"/>
        <rFont val="Calibri"/>
        <family val="2"/>
        <charset val="186"/>
        <scheme val="minor"/>
      </rPr>
      <t xml:space="preserve"> "Par finanšu līdzekļu piešķiršanu no valsts budžeta programmas "Līdzekļi neparedzētiem gadījumiem"" (Latvijas Vēstnesis, 2021, 19B. nr.) šādus grozījumus:
1.
Izteikt 1. punktu šādā redakcijā:
"1. Finanšu ministrijai no valsts budžeta programmas 02.00.00 "Līdzekļi neparedzētiem gadījumiem" piešķirt Veselības ministrijai (Slimību profilakses un kontroles centram) finansējumu </t>
    </r>
    <r>
      <rPr>
        <b/>
        <sz val="11"/>
        <rFont val="Calibri"/>
        <family val="2"/>
        <charset val="186"/>
        <scheme val="minor"/>
      </rPr>
      <t>700 797 euro</t>
    </r>
    <r>
      <rPr>
        <sz val="11"/>
        <rFont val="Calibri"/>
        <family val="2"/>
        <charset val="186"/>
        <scheme val="minor"/>
      </rPr>
      <t xml:space="preserve"> apmērā, lai nodrošinātu Slimību profilakses un kontroles centra kapacitātes</t>
    </r>
  </si>
  <si>
    <t>MK rīkojums Nr. 844 Par finanšu līdzekļu piešķiršanu no valsts budžeta programmas "Līdzekļi neparedzētiem gadījumiem"</t>
  </si>
  <si>
    <t>Ministru kabineta rīkojums Nr. 842
Rīgā 2021. gada 16. novembrī (prot. Nr. 75 43. §)
Par finanšu līdzekļu piešķiršanu no valsts budžeta programmas "Līdzekļi neparedzētiem gadījumiem"</t>
  </si>
  <si>
    <t>Ministru kabineta rīkojums Nr. 796
Rīgā 2021. gada 2. novembrī (prot. Nr. 73 34. §)</t>
  </si>
  <si>
    <t>Ministru kabineta rīkojums Nr. 907
Rīgā 2021. gada 1. decembrī (prot. Nr. 78 49. §)</t>
  </si>
  <si>
    <t>Ministru kabineta rīkojums Nr. 843
Rīgā 2021. gada 16. novembrī (prot. Nr. 75 44. §)
Par finanšu līdzekļu piešķiršanu no valsts budžeta programmas "Līdzekļi neparedzētiem gadījumiem"</t>
  </si>
  <si>
    <r>
      <t xml:space="preserve">Piešķirt Veselības ministrijai (NVD) finansējumu, kas nepārsniedz 1 407 423 euro, lai palielinātu vakcinācijas aptveri uzlabojot sabiedrības veselības drošību.
16.11.2021 Mk rīk. Nr. 856, </t>
    </r>
    <r>
      <rPr>
        <b/>
        <sz val="11"/>
        <rFont val="Calibri"/>
        <family val="2"/>
        <charset val="186"/>
        <scheme val="minor"/>
      </rPr>
      <t>Grozījumi</t>
    </r>
    <r>
      <rPr>
        <sz val="11"/>
        <rFont val="Calibri"/>
        <family val="2"/>
        <charset val="186"/>
        <scheme val="minor"/>
      </rPr>
      <t xml:space="preserve">  "1. Finanšu ministrijai no valsts budžeta programmas 02.00.00 "Līdzekļi neparedzētiem gadījumiem" piešķirt Veselības ministrijai (Nacionālajam veselības dienestam) finansējumu, kas nepārsniedz 1 320 868 euro, lai palielinātu vakcinācijas aptveri un uzlabotu sabiedrības veselības drošību."</t>
    </r>
    <r>
      <rPr>
        <b/>
        <sz val="11"/>
        <rFont val="Calibri"/>
        <family val="2"/>
        <charset val="186"/>
        <scheme val="minor"/>
      </rPr>
      <t xml:space="preserve"> samazināts finansējums 86 555 eur apmērā</t>
    </r>
  </si>
  <si>
    <t>10.08.2021
16.11.2021</t>
  </si>
  <si>
    <t>Ministru kabineta rīkojums Nr. 745 "Par finanšu līdzekļu piešķiršanu no valsts budžeta programmas "Līdzekļi neparedzētiem gadījumiem"
Rīgā 2021. gada 20. oktobrī (prot. Nr. 70 43. §)</t>
  </si>
  <si>
    <t>Ministru kabineta  rīkojums Nr.799 "Par finanšu līdzekļu piešķiršanu no valsts budžeta programmas "Līdzekļi neparedzētiem gadījumiem" 02.11.2021 (prot. Nr.73 39.§)</t>
  </si>
  <si>
    <t>Ministru kabineta rīkojums Nr. 794 "Par finanšu līdzekļu piešķiršanu no valsts budžeta programmas "Līdzekļi neparedzētiem gadījumiem"
Rīgā 2021. gada 2. novembrī (prot. Nr. 73 42. §)</t>
  </si>
  <si>
    <t xml:space="preserve">Ministru kabineta rīkojums Nr.795 "Par finanšu līdzekļu piešķiršanu no valsts budžeta programmas ''Līdzekļi neparedzētiem gadījumiem''
02.11.2021 (prot. Nr. 73 46. §)
</t>
  </si>
  <si>
    <r>
      <t>Pamatojoties uz Covid-19 infekcijas izplatības seku pārvarēšanas likuma 25.pantu, atbalstīt valsts sabiedrības ar ierobežotu atbildību "Paula Stradiņa klīniskā universitātes slimnīca" pamatkapitāla palielināšanu, ieguldot tajā finanšu līdzekļus 2 330 332 euro apmērā, sabiedrības ar ierobežotu atbildību "Rīgas Austrumu klīniskā universitātes slimnīca" pamatkapitāla palielināšanu, ieguldot tajā finanšu līdzekļus 7 113 884 euro apmērā un valsts sabiedrības ar ierobežotu atbildību "Traumatoloģijas un ortopēdijas slimnīca" pamatkapitāla palielināšanu, ieguldot tajā finanšu līdzekļus 106 012 euro apmērā, jaunu gultu izveidei, medicīnisko iekārtu un papildaprīkojuma iegādei</t>
    </r>
    <r>
      <rPr>
        <b/>
        <sz val="11"/>
        <rFont val="Calibri"/>
        <family val="2"/>
        <charset val="186"/>
        <scheme val="minor"/>
      </rPr>
      <t>. KOPĀ 9 550 228 EUR PAMATKAPITĀLĀ</t>
    </r>
  </si>
  <si>
    <t>jaunu gultu izveidei, medicīnisko iekārtu un papildaprīkojuma iegādei_APRO PĀRDALE PAMATKAPITĀLA PALIELINĀŠANA</t>
  </si>
  <si>
    <t>Ministru kabineta rīkojums Nr. 797
Rīgā 2021. gada 4. novembrī (prot. Nr. 73 40. §)
Par apropriācijas palielināšanu Veselības ministrijai</t>
  </si>
  <si>
    <r>
      <t xml:space="preserve">Piešķirt Veselības ministrijai (Neatliekamās medicīniskās palīdzības dienestam) finansējumu </t>
    </r>
    <r>
      <rPr>
        <b/>
        <sz val="11"/>
        <rFont val="Calibri"/>
        <family val="2"/>
        <charset val="186"/>
        <scheme val="minor"/>
      </rPr>
      <t>873 348 euro</t>
    </r>
    <r>
      <rPr>
        <sz val="11"/>
        <rFont val="Calibri"/>
        <family val="2"/>
        <charset val="186"/>
        <scheme val="minor"/>
      </rPr>
      <t xml:space="preserve"> apmērā, lai segtu izdevumus, kas radušies saistībā ar koronavīrusa “Covid-19” uzliesmojumu un seku novēršanu, tai skaitā:
</t>
    </r>
    <r>
      <rPr>
        <sz val="8"/>
        <rFont val="Calibri"/>
        <family val="2"/>
        <charset val="186"/>
        <scheme val="minor"/>
      </rPr>
      <t xml:space="preserve">1.par medicīniskā inventāra un tā rezervju daļu iegādes izdevumiem – 38 408 euro;
2.par medicīniskās gāzes (skābekļa) iegādes un medicīniskās gāzes  (skābekļa) balonu nomas pakalpojumu izdevumiem – 39 372 euro;3.  par medicīnisko atkritumu savākšanas, izvešanas un utilizācijas pakalpojumu izdevumiem – 18 365 euro;
4.par operatīvo medicīnisko transportlīdzekļu rezerves daļu iegādes izdevumiem – 161 761 eur                                                                                                                                          5.par neatliekamās medicīniskās palīdzības brigāžu medicīniskā  aprīkojuma iegādes izdevumiem – 528 873 euro (Ministru kabineta 2020.gada 8.decembra sēdes protokols Nr. 81 7.§);                                                                                                               6.par neatliekamās medicīniskās palīdzības brigāžu pacientu pārvešanas izdevumiem – 86 569 euro (Ministru kabineta 2021.gada 2.novembra sēdes protokols Nr. 73 47.§). </t>
    </r>
  </si>
  <si>
    <t>20.04.2021
16.11.2021</t>
  </si>
  <si>
    <t xml:space="preserve">Piešķirt Veselības ministrijai finansējumu, kas nepārsniedz 52 247 703 euro, lai stiprinātu veselības nozares kapacitāti un noturību, no tiem:
1. Nacionālajam veselības dienestam finansējumu, kas nepārsniedz 52 087 557 euro, no tiem:
1.1.  51 027 000 euro apmērā, lai nodrošinātu Covid-19 vakcīnas iegādi, loģistiku un ievadi;
1.2. 640 000 euro apmērā piemaksai ģimenes ārstiem par sasniegtajiem Covid-19 vakcinācijas aptveres rādītājiem senioru un hronisko pacientu grupā;
1.3. 2 057 euro apmērā, lai nodrošinātu adrenalīna injekcijas;
1.4. 418 500 euro apmērā, lai nodrošinātu komunikācijas pasākumus saistībā ar vakcinēšanos.
2. Neatliekamās medicīniskās palīdzības dienestam  160 146 euro apmērā, lai sniegtu neatliekamo medicīnisko palīdzību personām vakcinācijas izraisīto komplikāciju (blakusparādību) gadījumos.
16.11.2021 Ministru kabineta rīkojums Nr. 852 palielināt summu par 1 412 083 euro </t>
  </si>
  <si>
    <t>Ministru kabineta rīkojums Nr. 850
Rīgā 2021. gada 17. novembrī (prot. Nr. 75 56. §)
Par finanšu līdzekļu piešķiršanu no valsts budžeta programmas "Līdzekļi neparedzētiem gadījumiem"</t>
  </si>
  <si>
    <r>
      <t xml:space="preserve">Pamatojoties uz Covid-19 infekcijas izplatības seku pārvarēšanas likuma 25.pantu, atbalstīt valsts sabiedrības ar ierobežotu atbildību “Rīgas psihiatrijas un narkoloģijas centrs” pamatkapitāla palielināšanu, ieguldot tajā finanšu līdzekļus 192 865 euro apmērā un v alsts sabiedrības ar ierobežotu atbildību “Slimnīca “Ģintermuiža”” pamatkapitāla palielināšanu, ieguldot tajā finanšu līdzekļus 26 502 euro apmērā, medicīnisko iekārtu un papildaprīkojuma iegādei. </t>
    </r>
    <r>
      <rPr>
        <b/>
        <sz val="11"/>
        <rFont val="Calibri"/>
        <family val="2"/>
        <charset val="186"/>
        <scheme val="minor"/>
      </rPr>
      <t>SUMMA 219 367 EUR PAMATKAPITĀLĀ</t>
    </r>
  </si>
  <si>
    <t>Ministru kabineta rīkojums Nr. 905
Rīgā 2021. gada 1. decembrī (prot. Nr. 78 47. §)
Par apropriācijas palielināšanu Veselības ministrijai</t>
  </si>
  <si>
    <t>Ministru kabineta rīkojums Nr. 900
Rīgā 2021. gada 1. decembrī (prot. Nr. 78 40. §)
Par apropriācijas palielināšanu Veselības ministrijai</t>
  </si>
  <si>
    <t>medicīnisko iekārtu un papildaprīkojuma iegādei
APRO PĀRDALE PAMATKAPITĀLA PALIELINĀŠANAI</t>
  </si>
  <si>
    <t>jaunu gultu izveidei, medicīnisko iekārtu un papildaprīkojuma iegādei. APRO PĀRDALE PAMATKAPITĀLA PALIELINĀŠANAI</t>
  </si>
  <si>
    <r>
      <t>Pamatojoties uz Covid-19 infekcijas izplatības seku pārvarēšanas likuma 25.pantu, atbalstīt valsts sabiedrības ar ierobežotu atbildību "Daugavpils psihoneiroloģiskā slimnīca" pamatkapitāla palielināšanu, ieguldot tajā finanšu līdzekļus 19 200 euro apmērā, valsts sabiedrības ar ierobežotu atbildību "Strenču psihoneiroloģiskā slimnīca" pamatkapitāla palielināšanu, ieguldot tajā finanšu līdzekļus 143 250 euro apmērā un valsts sabiedrības ar ierobežotu atbildību "Rīgas psihiatrijas un narkoloģijas centrs" pamatkapitāla palielināšanu, ieguldot tajā finanšu līdzekļus 1 200 euro apmērā, jaunu gultu izveidei, medicīnisko iekārtu un papildaprīkojuma iegādei.</t>
    </r>
    <r>
      <rPr>
        <b/>
        <sz val="11"/>
        <rFont val="Calibri"/>
        <family val="2"/>
        <charset val="186"/>
        <scheme val="minor"/>
      </rPr>
      <t>PAMATKAPITĀLAM 163 650 EUR</t>
    </r>
  </si>
  <si>
    <t>Ministru kabineta rīkojums Nr. 906
Rīgā 2021. gada 1. decembrī (prot. Nr. 78 48. §)
Par finanšu līdzekļu piešķiršanu no valsts budžeta programmas "Līdzekļi neparedzētiem gadījumiem"</t>
  </si>
  <si>
    <t>Ministru kabineta rīkojums Nr. 899
Rīgā 2021. gada 1. decembrī (prot. Nr. 78 39. §)
Par finanšu līdzekļu piešķiršanu no valsts budžeta programmas "Līdzekļi neparedzētiem gadījumiem"</t>
  </si>
  <si>
    <t>27.10.2021 MK rīk. nr. 777 apstiprināt pašvaldību iesniegto investīciju projektu sarakstu valsts aizdevumu piešķiršanai Covid-19 izraisītās krīzes seku mazināšanai un novēršanai (​pielikums) un piešķirt valsts aizdevumus:
1. 2021. gadā – 1 930 396,78 euro apmērā no likuma "Par valsts budžetu 2021. gadam" 12. panta trešajā daļā minētā pašvaldību aizņēmumu palielinājuma 150 000 000 euro apmērā;
2. 2022. gadā – 2 681 655,48 euro apmērā no likuma "Par vidēja termiņa budžeta ietvaru 2021., 2022. un 2023. gadam" 14. pantā noteiktā pašvaldību kopējo aizņēmumu palielinājuma 118 138 258 euro apmērā.</t>
  </si>
  <si>
    <t>06.10.2021 Mk rīk. nr. 716, apstiprināt pašvaldību iesniegto investīciju projektu sarakstu valsts aizdevumu piešķiršanai Covid-19 izraisītās krīzes seku mazināšanai un novēršanai (​pielikums) un piešķirt valsts aizdevumus:
1.1. 2021. gadā – 8 138 093,65 euro apmērā no likuma "Par valsts budžetu 2021. gadam" 12. panta trešajā daļā minētā pašvaldību aizņēmumu palielinājuma 150 000 000 euro apmērā;
1.2. 2022. gadā – 13 741 387,69 euro apmērā no likuma "Par vidēja termiņa budžeta ietvaru 2021., 2022. un 2023. gadam" 14. pantā noteiktā pašvaldību kopējo aizņēmumu palielinājuma 118 138 258 euro apmērā.
2. Jautājumu par pašvaldību kopējā aizņēmumu limita palielināšanas iespējām 2022. gadā skatīt likumprojekta "Par valsts budžetu 2022. gadam" un likumprojekta "Par vidēja termiņa budžeta ietvaru 2022., 2023. un 2024. gadam" izstrādes procesā.</t>
  </si>
  <si>
    <t>Ministru kabineta rīkojums Nr. 716
Rīgā 2021. gada 6. oktobrī (prot. Nr. 66 43. §)</t>
  </si>
  <si>
    <t>Ministru kabineta rīkojums Nr. 777
Rīgā 2021. gada 27. oktobrī (prot. Nr. 72 55. §)</t>
  </si>
  <si>
    <t>apstiprināt pašvaldību iesniegto investīciju projektu sarakstu valsts aizdevumu piešķiršanai Covid-19 izraisītās krīzes seku mazināšanai un novēršanai (​pielikums) un piešķirt valsts aizdevumus:
1. 2021. gadā – 2 128 381,49 euro apmērā no likuma "Par valsts budžetu 2021. gadam" 12. panta trešajā daļā minētā pašvaldību aizņēmumu palielinājuma 150 000 000 euro apmērā;
2. 2022. gadā – 4 966 223,51 euro apmērā no likuma "Par vidēja termiņa budžeta ietvaru 2021., 2022. un 2023. gadam" 14. pantā noteiktā pašvaldību kopējo aizņēmumu palielinājuma 118 138 258 euro apmērā.</t>
  </si>
  <si>
    <t>Ministru kabineta rīkojums Nr. 901
Rīgā 2021. gada 30. novembrī (prot. Nr. 78 41. §)</t>
  </si>
  <si>
    <t>Ministru kabineta rīkojums Nr. 902
"Par finanšu līdzekļu piešķiršanu no valsts budžeta programmas "Līdzekļi neparedzētiem gadījumiem""
Rīgā 2021. gada 1. decembrī (prot. Nr. 78 42. §)</t>
  </si>
  <si>
    <t xml:space="preserve">Ministru kabineta rīkojums Nr. 903
Par finanšu līdzekļu piešķiršanu no valsts budžeta programmas "Līdzekļi neparedzētiem gadījumiem"
Rīgā 2021. gada 1. decembrī (prot. Nr. 78 43. §)
</t>
  </si>
  <si>
    <r>
      <t xml:space="preserve">Piešķirt Aizsardzības ministrijai finansējumu 45 734 760 euro, lai saistībā ar ārkārtējo situāciju, kas izsludināta Covid-19 izplatības ierobežošanai, nodrošinātu institūciju un pašvaldību prioritāro un vajadzību sarakstā noteikto individuālo aizsarglīdzekļu un dezinfekcijas līdzekļu preču iegādes un transportēšanas izdevumu segšanu. 2021.g. piešķirti papildus 12,4 milj. eiro.
</t>
    </r>
    <r>
      <rPr>
        <sz val="11"/>
        <color rgb="FFFF0000"/>
        <rFont val="Calibri"/>
        <family val="2"/>
        <charset val="186"/>
        <scheme val="minor"/>
      </rPr>
      <t>14.12.2021 palielināts finansējums 312 442 eur apmērā</t>
    </r>
  </si>
  <si>
    <t>27.04.2020 07.01.2021
14.12.2021</t>
  </si>
  <si>
    <t xml:space="preserve"> VID Nodokļu un muitas policijas pārvaldes un Muitas pārvaldes amatpersonām, par nostrādāto laikposmā no 2021. gada 1. oktobra līdz 2021. gada 31. oktobrim atbilstoši faktiski nostrādātajām darba stundām tiešā un uzskaitāmi pierādāmā saskarē ar Covid-19 inficētām vai iespējami inficētām personām;</t>
  </si>
  <si>
    <t>Ministru kabineta rīkojums Nr. 924
Rīgā 2021. gada 7. decembrī (prot. Nr. 79 41. §)
Par finanšu līdzekļu piešķiršanu no valsts budžeta programmas "Līdzekļi neparedzētiem gadījumiem"</t>
  </si>
  <si>
    <t>Ministru kabineta rīkojums Nr. 822
Rīgā 2021. gada 11. novembrī (prot. Nr. 74 40. §)
Par finanšu līdzekļu piešķiršanu no valsts budžeta programmas "Līdzekļi neparedzētiem gadījumiem"</t>
  </si>
  <si>
    <t>VID informācijas  sistēmām</t>
  </si>
  <si>
    <t>26.10.2021
11.11.2021</t>
  </si>
  <si>
    <t>Rīk.Nr. 882 
291 312 euro, lai nodrošinātu nepieciešamo izmaiņu veikšanu Valsts ieņēmumu dienesta informācijas sistēmās saistībā ar pieņemtajiem lēmumiem Covid-19 krīzes atbalsta pasākumu ieviešanai.</t>
  </si>
  <si>
    <t>Covid-19 krīzes skarto uzņēmumu apgrozāmo līdzekļu plūsmas nodrošināšanai.</t>
  </si>
  <si>
    <t>lai nodrošinātu atbalsta sniegšanu darba devēju nodarbināto, pašnodarbināto personu, individuālo komersantu un patentmaksātāju atlīdzības kompensēšanai</t>
  </si>
  <si>
    <t>Ministru kabineta rīkojums Nr. 929
Rīgā 2021. gada 7. decembrī (prot. Nr. 79 44. §)
Par finanšu līdzekļu piešķiršanu no valsts budžeta programmas "Līdzekļi neparedzētiem gadījumiem"</t>
  </si>
  <si>
    <t>Piešķirt Iekšlietu ministrijai (Valsts drošības dienestam) finansējumu 160 694 euro apmērā, lai segtu izdevumus, kas saistīti ar Covid-19 infekcijas seku pārvarēšanas pasākumiem</t>
  </si>
  <si>
    <t>piešķirt Iekšlietu ministrijai finansējumu 227 674 euro apmērā pārskaitīšanai šā rīkojuma pielikumā minētajām pašvaldību institūcijām, lai kompensētu izdevumus, kas saistīti ar:
1.1. piemaksām pašvaldību policijas darbiniekiem par darbu paaugstināta riska un slodzes apstākļos saistībā ar Covid-19 infekcijas slimības uzliesmojumu un tās seku novēršanu laikposmā no 2021. gada 11. oktobra līdz 2021. gada 31. oktobrim;</t>
  </si>
  <si>
    <t>26.10.2021
11.11.2021
30.11.2021
07.12.2021</t>
  </si>
  <si>
    <r>
      <rPr>
        <b/>
        <sz val="11"/>
        <rFont val="Calibri"/>
        <family val="2"/>
        <charset val="186"/>
        <scheme val="minor"/>
      </rPr>
      <t xml:space="preserve">26.10.2021 </t>
    </r>
    <r>
      <rPr>
        <sz val="11"/>
        <rFont val="Calibri"/>
        <family val="2"/>
        <charset val="186"/>
        <scheme val="minor"/>
      </rPr>
      <t xml:space="preserve">algu subsīdijas  laika periodam no 01.10.2021. līdz 30.11.2021. atbalsta kompensēšanai kopumā nepieciešami 64 milj. euro. (20 milj. izmaksās 2021.g., 2022.gadā 44 milj.)
https://tapportals.mk.gov.lv/annotation/9cf3c111-c2b5-413a-bc88-d577bc4dd60c
</t>
    </r>
    <r>
      <rPr>
        <b/>
        <sz val="11"/>
        <rFont val="Calibri"/>
        <family val="2"/>
        <charset val="186"/>
        <scheme val="minor"/>
      </rPr>
      <t>11.11.2021</t>
    </r>
    <r>
      <rPr>
        <sz val="11"/>
        <rFont val="Calibri"/>
        <family val="2"/>
        <charset val="186"/>
        <scheme val="minor"/>
      </rPr>
      <t xml:space="preserve"> algu subsīdijas atbalsta kompensēšanai - 20 milj. euro)  </t>
    </r>
    <r>
      <rPr>
        <b/>
        <sz val="11"/>
        <rFont val="Calibri"/>
        <family val="2"/>
        <charset val="186"/>
        <scheme val="minor"/>
      </rPr>
      <t>Ministru kabineta rīkojums Nr. 822
              MK 26.10.2021 noteikumi Nr. 723 (prot. Nr. 72 58. §)	44 000 000
              MK 30.11.2021 noteikumi Nr.784 (prot. Nr. 78 51. §)	9 000 000
              MK 7.12.2021 noteikumi Nr. 806 (prot. Nr. 79 52. §)	4 000 000</t>
    </r>
  </si>
  <si>
    <t>Ministru kabineta rīkojums Nr. 730
Rīgā 2021. gada 13. oktobrī (prot. Nr. 69 38. §)
Par finanšu līdzekļu piešķiršanu no valsts budžeta programmas "Līdzekļi neparedzētiem gadījumiem"</t>
  </si>
  <si>
    <t>piešķirt Iekšlietu ministrijai (Nodrošinājuma valsts aģentūrai) 86 152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</si>
  <si>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Tieslietu ministrijai finansējumu 25 486 euro apmērā, lai nodrošinātu finansējuma piešķiršanu biedrībai “Katoļu Baznīcas informācijas aģentūra” dievkalpojumu translāciju nodrošināšanai laika posmā no 2021. gada 21. oktobra līdz 2021. gada 14. novembrim.</t>
  </si>
  <si>
    <t>Ministru kabineta rīkojums Nr. 820
Rīgā 2021. gada 9. novembrī (prot. Nr. 74 46. §)
Par finanšu līdzekļu piešķiršanu no valsts budžeta programmas "Līdzekļi neparedzētiem gadījumiem"</t>
  </si>
  <si>
    <t>Finansējums KaBIA
dievkalpojumu translēšanai lokdauna laikā</t>
  </si>
  <si>
    <t>lai kompensētu atbildīgajām institūcijām samaksu par ārstniecības personu un pārējo nodarbināto virsstundu darbu, kas saistīts ar Covid-19 jautājumu risināšanu un seku novēršanu</t>
  </si>
  <si>
    <t>Piešķirt Veselības ministrijai (Nacionālajam veselības dienestam) finansējumu 3 659 342 euro apmērā, lai segtu izdevumus, kas radušies saistībā ar COVID-19 uzliesmojumu un seku novēršanu 2021.gada septembrī, no tiem:
 1. par ambulatorajiem veselības aprūpes pakalpojumiem 2 793  631 euro,  tai skaitā veicot izmaksu korekciju par periodu no 2021.gada 1.janvāra līdz 30.jūnijam.
 2. par stacionārajiem veselības aprūpes pakalpojumiem  706 185 euro;
 3. par laboratorisko izmeklējumu organizēšanu 158 522 euro; 
 4. par transporta pakalpojumiem 1 004 euro.</t>
  </si>
  <si>
    <t>piešķirt Veselības ministrijai finansējumu 5 405 376 euro apmērā, lai kompensētu atbildīgajām institūcijām samaksu par ārstniecības personu un pārējo nodarbināto virsstundu darbu, kas saistīts ar Covid-19 jautājumu risināšanu un seku novēršanu, tai skaitā:</t>
  </si>
  <si>
    <t>Ministru kabineta rīkojums Nr. 733
Rīgā 2021. gada 13. oktobrī (prot. Nr. 69 44. §)
Par finanšu līdzekļu piešķiršanu no valsts budžeta programmas "Līdzekļi neparedzētiem gadījumiem"</t>
  </si>
  <si>
    <t>Informatīvais ziņojums "Priekšlikumi Covid-19 testēšanas politikas izmaiņām" 21.09.2021
(prot. Nr.62 36.§)</t>
  </si>
  <si>
    <t>Izdevumi  testēšanas nodrošināšanai par laika periodu no 2021. gada 1. decembra līdz 2021. gada 31. decembrim</t>
  </si>
  <si>
    <t>Veselības ministrijai noteiktā kārtībā sagatavot un iesniegt izskatīšanai Ministru kabinetā rīkojuma projektu par finanšu līdzekļu piešķiršanu no valsts budžeta programmas 02.00.00 "Līdzekļi neparedzētiem gadījumiem", ja nepieciešamais finansējums 2021. gadā saskaņā ar šī protokollēmuma 2. punktu pārsniedz 2021. gada 19. februāra rīkojuma Nr. 100 "Par finanšu līdzekļu piešķiršanu no valsts budžeta programmas "Līdzekļi neparedzētiem gadījumiem"" 1. punktā norādīto finansējumu.
4.
Izdevumus testēšanas nodrošināšanai par laika periodu no 2021. gada 1. decembra līdz 2021. gada 31. decembrim, kas indikatīvi nepārsniedz 14 636 985 EUR, 2022. gadā segt no valsts budžeta programmas 02.00.00 "Līdzekļi neparedzētiem gadījumiem".
21-TA-128
(iekļauts papildus) Informatīvais ziņojums "Priekšlikumi Covid-19 testēšanas politikas izmaiņām"
[3 dokumenti]</t>
  </si>
  <si>
    <t>Informatīvais ziņojums "Par drošu veselības aprūpes pakalpojumu nodrošināšanu" 26.10.2021
(prot. Nr.72 59.§)</t>
  </si>
  <si>
    <t>Ministru kabineta rīkojums Nr. 890
Rīgā 2021. gada 30. novembrī (prot. Nr. 78 18. §)
Par finanšu līdzekļu piešķiršanu no valsts budžeta programmas "Līdzekļi neparedzētiem gadījumiem"</t>
  </si>
  <si>
    <t>„Kultūras pasākumu rīkotāju biļešu kompensācija” 5.kārta</t>
  </si>
  <si>
    <t xml:space="preserve">Ministru kabineta rīkojums Nr. 953
Par finanšu līdzekļu piešķiršanu no valsts budžeta programmas "Līdzekļi neparedzētiem gadījumiem"
Rīgā 2021. gada 14. decembrī (prot. Nr. 80 80. §)
</t>
  </si>
  <si>
    <t>iešķirt Kultūras ministrijai (Valsts kultūrkapitāla fondam) 115 775 euro, lai atbilstoši mērķprogrammas "Kultūras pasākumu rīkotāju biļešu kompensācija" 5. kārtas rezultātiem kultūras pasākumu rīkotājiem nodrošinātu biļešu kompensāciju 80 % apmērā.</t>
  </si>
  <si>
    <t>Lai nodrošinātu ātro  paštestu izmantošanu izglītības iestādēs un publiskā sektora prioritārajās 2022.gadā</t>
  </si>
  <si>
    <t>Ministru kabineta noteikumi Nr. 772
Rīgā 2021. gada 9. novembrī (prot. Nr. 74 48. §)
Noteikumi par atbalstu Covid-19 krīzes skartajiem tirdzniecības un sporta centriem un kultūras, atpūtas un izklaides vietām</t>
  </si>
  <si>
    <r>
      <t xml:space="preserve">Atbalstīt valsts budžeta finansējuma 3 722 255 euro apmērā piešķiršanu CO2 gaisa kvalitātes mērītāju iegādei valsts un pašvaldību vispārējās un profesionālās izglītības iestādēm
</t>
    </r>
    <r>
      <rPr>
        <b/>
        <sz val="11"/>
        <rFont val="Calibri"/>
        <family val="2"/>
        <charset val="186"/>
        <scheme val="minor"/>
      </rPr>
      <t>2022.gadā 4 336 640</t>
    </r>
  </si>
  <si>
    <r>
      <t xml:space="preserve">12.11.2020 01.06.2021
19.10.2021
</t>
    </r>
    <r>
      <rPr>
        <sz val="11"/>
        <color rgb="FFC00000"/>
        <rFont val="Calibri"/>
        <family val="2"/>
        <charset val="186"/>
        <scheme val="minor"/>
      </rPr>
      <t>16.11.2021
30.11.2021</t>
    </r>
  </si>
  <si>
    <t>Valsts kultūrkapitāla fonda Programmas īstenošanai</t>
  </si>
  <si>
    <t>26.10.2021
(prot. Nr.72 _.§)</t>
  </si>
  <si>
    <t>Valsts kultūrkapitāla fonda Programmas īstenošanai, tostarp administratīvo izdevumu pamatojošo dokumentu izvērtēšanai, nepieciešamais finansējums 2022.gadā nepārsniegs 1 799 128 euro, tiks piešķirts no valsts budžeta programmas 02.00.00 „Līdzekļi neparedzētiem gadījumiem”.</t>
  </si>
  <si>
    <t>MK noteikumu projekta “Grozījumi Ministru kabineta 2018.gada 28.augusta noteikumos Nr.555 “Veselības aprūpes pakalpojumu organizēšanas un samaksas kārtība”” 245.3. un 245.4apakšpunktā iekļautajiem pasākumiem nepieciešami izdevumi ne vairāk kā 5 003 416 euro apmērā.</t>
  </si>
  <si>
    <t>08.10.2021 (prot. Nr.67 2.§)</t>
  </si>
  <si>
    <t xml:space="preserve">MK noteikumu projekta “Grozījumi Ministru kabineta 2018.gada 28.augusta noteikumos Nr.555 “Veselības aprūpes pakalpojumu organizēšanas un samaksas kārtība”” 245.3. un 245.4apakšpunktā iekļautajiem pasākumiem </t>
  </si>
  <si>
    <t xml:space="preserve"> Piešķirt Veselības ministrijai (Nacionālajam veselības dienestam) finansējumu 447 752 euro apmērā samaksai ģimenes ārstu praksēm par sasniegtajiem Covid-19 vakcinācijas aptveres rādītājiem par laikposmu no 2021.gada 1.janvāra līdz 2021.gada 30.septembrim.</t>
  </si>
  <si>
    <t>19.10.2021 (prot. Nr.70 43.§)</t>
  </si>
  <si>
    <r>
      <t xml:space="preserve">Piemaksām un atvaļinājuma rezerves uzkrājumam atbilstoši aprēķinātajai piemaksu summai par laika periodu no 2021.gada 1.novembra līdz 2021.gada 31.decembrim atbildīgo institūciju ārstniecības personām un citiem nodarbinātajiem par darbu paaugstināta riska un slodzes apstākļos ārkārtas sabiedrības veselības apdraudējumā saistībā ar Covid-19 uzliesmojumu un seku novēršanu, nepieciešami izdevumi, kas nepārsniedz </t>
    </r>
    <r>
      <rPr>
        <sz val="11"/>
        <color rgb="FFFF0000"/>
        <rFont val="Calibri"/>
        <family val="2"/>
        <charset val="186"/>
        <scheme val="minor"/>
      </rPr>
      <t>31 339 444 euro.(2022.g.)</t>
    </r>
  </si>
  <si>
    <t>Lai nodrošinātu papildus gultu izvēršanu un atbilstošu materiāltehnisko nodrošinājumu, kā arī skābekļa pievades vai izveides sistēmu uzlabošanu  2022. gadā, Veselības ministrijai normatīvajos aktos noteiktā kārtībā sagatavot un iesniegt izskatīšanai Ministru kabinetā rīkojumu projektus par finanšu līdzekļu piešķiršanu no valsts budžeta programmas 02.00.00 "Līdzekļi neparedzētiem gadījumiem", kas nepārsniedz 1 976 769 euro</t>
  </si>
  <si>
    <t>02.11.2021
(prot. Nr.73 _.§)
21-TA-953</t>
  </si>
  <si>
    <t xml:space="preserve">Lai nodrošinātu papildus gultu izvēršanu un atbilstošu materiāltehnisko nodrošinājumu, kā arī skābekļa pievades vai izveides sistēmu uzlabošanu  2022. gadā, </t>
  </si>
  <si>
    <t>Lai Neatliekamās medicīniskās palīdzības dienests var veidot papildus neatliekamās medicīniskās palīdzības brigādes pacientu, pārvešanai  no daudzprofilu klīniskās universitātes slimnīcas VSIA “PSKUS” un SIA “RAKUS” uz  to sadarbības iestādēm 2022. gadā, Veselības ministrijai normatīvajos aktos noteiktā kārtībā sagatavot un iesniegt izskatīšanai Ministru kabinetā rīkojumu projektus par finanšu līdzekļu piešķiršanu no valsts budžeta programmas 02.00.00 "Līdzekļi neparedzētiem gadījumiem", kas nepārsniedz 43 284 euro par periodu 2022. gada janvāri.</t>
  </si>
  <si>
    <t xml:space="preserve"> medicīniskās palīdzības brigādes pacientu, pārvešanai  no daudzprofilu klīniskās universitātes slimnīcas VSIA “PSKUS” un SIA “RAKUS” uz  to sadarbības iestādēm 2022. gadā, V</t>
  </si>
  <si>
    <t>Covid - 19 infekcijas uzliesmojumu un seku novēršanai</t>
  </si>
  <si>
    <t>Nr._
16.11.2021
(prot. Nr.75 _.§)
21-TA-695</t>
  </si>
  <si>
    <t>Rīkojumā iekļautajiem pasākumiem, kas ir radušies saistībā ar Covid - 19 infekcijas uzliesmojumu un seku novēršanu 2021. gada decembra mēnesī, nepieciešamos izdevumus ne vairāk kā 6 264 205 euro apmērā segt no valsts budžeta programmas 02.00.00 “Līdzekļi neparedzētiem gadījumiem” 2022. gadā</t>
  </si>
  <si>
    <t>. Lai nodrošinātu papildus izvērsto gultu aprīkošanu un atbilstošu materiāltehnisko nodrošinājumu, kā arī skābekļa pievades vai izveides sistēmu uzlabošanu 2022. gadā finansējumu, kas nepārsniedz 120 338 euro (MK 23.11.21. sēdes prot. Nr.76 40.§).</t>
  </si>
  <si>
    <t xml:space="preserve"> papildus izvērsto gultu aprīkošanu un atbilstošu materiāltehnisko nodrošinājumam</t>
  </si>
  <si>
    <t>23.11.2021 
(prot. Nr.76 40.§)</t>
  </si>
  <si>
    <t xml:space="preserve">Covid-19 pasākumu izdevumu segšanai </t>
  </si>
  <si>
    <t xml:space="preserve"> Lai nodrošinātu personu vecumā no 60 gadiem vakcinācijas aptveres paaugstināšanu, Veselības ministrijai (Nacionālajam veselības dienestam) nepieciešamos izdevumus ne vairāk kā 1 195 737 euro apmērā, 2022. gadā segt no valsts budžeta programmas 02.00.00 “Līdzekļi neparedzētiem gadījumiem".</t>
  </si>
  <si>
    <t xml:space="preserve"> personu vecumā no 60 gadiem vakcinācijas aptveres paaugstināšanai</t>
  </si>
  <si>
    <t>D.632+D.63</t>
  </si>
  <si>
    <t>Piešķirt Labklājības ministrijai finansējumu, kas nepārsniedz 263 875 euro, lai 2022.gadā segtu izdevumus, kas saistīti ar slimības palīdzības pabalsta izmaksu personām, ja tām ir sadarbspējīgs vakcinācijas vai pārslimošanas sertifikāts vai tās ir saņēmušas klīniskās universitātes slimnīcas speciālista vai speciālistu konsilija atzinumu par nepieciešamību atlikt personas vakcināciju pret Covid-19, par laikposmu no 2021.gada 1.decembra līdz 2021.gada 31.decembrim.</t>
  </si>
  <si>
    <r>
      <t xml:space="preserve">Precīzi ietekmi novērtēt nevar, jo nav paredzama Covid-19 slimības tālāka izplatība. Plānotie izdevumi norādīti atbilstoši Valsts kases datiem par izdevumiem Covid-19 sakarā par 1-10 dienu (faktiskās izpildes apmērā, jo LM nevar prognozēt slimības tālāku izpaltību), ko līdz grozījumiem apmaksāja darba devējs. Izmaksātās summas 22250717 eiro t.sk,  6906 eiro par darbnespējas 2.-10.dienu; 11640982 eiro par darbanespējas 1.-10.dienu  un  10 602 829 euro darbnespējas turpinājums pēc 10.dienas.
 Izmaksātās summas 34812470 eiro t.sk,  124851 eiro par darbnespējas 2.-10.dienu; 19691287 eiro par darbanespējas 1.-10.dienu.
</t>
    </r>
    <r>
      <rPr>
        <sz val="11"/>
        <color rgb="FFC00000"/>
        <rFont val="Calibri"/>
        <family val="2"/>
        <charset val="186"/>
        <scheme val="minor"/>
      </rPr>
      <t xml:space="preserve">16.11.2021 Piešķirt Labklājības ministrijai (Valsts sociālās apdrošināšanas aģentūrai) finansējumu 22 250 717 euro apmērā, veicot valsts budžeta uzturēšanas izdevumu transfertu no valsts pamatbudžeta uz valsts speciālā budžeta apakšprogrammu 04.04.00 “Invaliditātes, maternitātes un slimības speciālais budžets”, lai segtu izdevumus par slimības pabalstiem saistībā ar Covid-19 izplatības sekām par 2021.gada II ceturksni. (MK Nr.846 , 17.11.2021  (prot. Nr.75 47.§).
</t>
    </r>
    <r>
      <rPr>
        <sz val="11"/>
        <color theme="1"/>
        <rFont val="Calibri"/>
        <family val="2"/>
        <charset val="186"/>
        <scheme val="minor"/>
      </rPr>
      <t xml:space="preserve">30.11.2021 Piešķirt Labklājības ministrijai (Valsts sociālās apdrošināšanas aģentūrai) finansējumu 6 991 811 euro apmērā, veicot valsts budžeta uzturēšanas izdevumu transfertu no valsts pamatbudžeta uz valsts speciālā budžeta apakšprogrammu 04.04.00 "Invaliditātes, maternitātes un slimības speciālais budžets", lai atbilstoši likuma "Par maternitātes un slimības apdrošināšanu" pārejas noteikumu 55. un 56. punktam personām, kurām ir sadarbspējīgs vakcinācijas vai pārslimošanas sertifikāts vai atzinums par nepieciešamību atlikt personas vakcināciju pret Covid-19, </t>
    </r>
    <r>
      <rPr>
        <b/>
        <sz val="11"/>
        <color theme="1"/>
        <rFont val="Calibri"/>
        <family val="2"/>
        <charset val="186"/>
        <scheme val="minor"/>
      </rPr>
      <t>izmaksātu slimības pabalstu no pirmās darbnespējas dienas, ja tām izsniegta darbnespējas lapa sakarā ar saslimšanu ar Covid-19 vai atrašanos mājas karantīnā no 2021. gada 6. novembra līdz 2021. gada 31. decembrim</t>
    </r>
    <r>
      <rPr>
        <sz val="11"/>
        <color theme="1"/>
        <rFont val="Calibri"/>
        <family val="2"/>
        <charset val="186"/>
        <scheme val="minor"/>
      </rPr>
      <t xml:space="preserve">, vai no darbnespējas pirmās dienas līdz darbnespējas trešajai dienai, ja tām izsniegta darbnespējas lapa akūtu augšējo elpceļu infekciju dēļ.
</t>
    </r>
    <r>
      <rPr>
        <b/>
        <sz val="11"/>
        <color rgb="FFFF0000"/>
        <rFont val="Calibri"/>
        <family val="2"/>
        <charset val="186"/>
        <scheme val="minor"/>
      </rPr>
      <t>19.10.2021 (prot. Nr.70 45.§) 2022.gadam no valsts budžeta programmas 02.00.00 "Līdzekļi neparedzētiem gadījumiem” 5 593 449 euro apmērā,</t>
    </r>
  </si>
  <si>
    <t>Mājokļu pabalsts</t>
  </si>
  <si>
    <t>Valsts mērķdotāciju pašvaldībām mājokļa pabalstam (50%)</t>
  </si>
  <si>
    <t xml:space="preserve">No LNG Satiksmes ministrijai piešķirt:
- finansējumu 11 870 485 euro apmērā 2021. gadā uzsākto valsts reģionālo un vietējo autoceļu būvniecības projektu īstenošanai 2022. gadā (ceļu saraksts informatīvā ziņojuma pielikumā);
- finansējumu 11 918 449 euro apmērā autoceļiem, kas nepieciešami investīciju programmas īstenošanai autoceļu attīstībai administratīvi teritoriālās reformas kontekstā 2022. gadā.
</t>
  </si>
  <si>
    <r>
      <t xml:space="preserve">
Piešķirt Ekonomikas ministrijai atbilstoši MK noteikumiem "Noteikumiem par atbalstu Covid-19 krīzes skartajiem tirdzniecības un sporta centriem un kultūras, atpūtas un izklaides vietām” Kopā ir 50 mln: 30 mln tirdzn centriem(EM), 15 mln sporta c.(IZM), 5 mln kultūras un izklaides iestādēm (KM). </t>
    </r>
    <r>
      <rPr>
        <b/>
        <sz val="11"/>
        <rFont val="Calibri"/>
        <family val="2"/>
        <charset val="186"/>
        <scheme val="minor"/>
      </rPr>
      <t xml:space="preserve">
 2022.gadā 50 mln  + 125 tūkst.administrēšanas izmaksām  EM </t>
    </r>
    <r>
      <rPr>
        <sz val="11"/>
        <rFont val="Calibri"/>
        <family val="2"/>
        <scheme val="minor"/>
      </rPr>
      <t xml:space="preserve">
ANOTĀCIJA https://tapportals.mk.gov.lv/annotation/c6714d05-eccd-4be2-83c3-f123748033aa</t>
    </r>
  </si>
  <si>
    <t xml:space="preserve">Atbilstoši sporta nozares iesniegtajiem datiem sporta centri ar platību virs 500 m2 ir 109, savukārt kopējā iekštelpu platība ir aptuveni 320 000 m2.
Līdz ar to kopējais atbalsts sporta centriem ir 25*320 000=8 000 000 euro.
</t>
  </si>
  <si>
    <t xml:space="preserve">29.04.2021 27.05.2021
</t>
  </si>
  <si>
    <r>
      <t xml:space="preserve">Pēc  VSAA sniegtās informācijas 2021.gada janvārī Latvijā dzīvojoši pensiju saņēmēji ir 511,9 tūkst. (no tiem, vecuma pensiju saņēmēji – 431,3 tūkst, invaliditātes pensiju saņēmēji – 73,0 tūkst.), atlīdzību saņēmēji – 9,8 tūkst., valsts sociālā nodrošinājuma pabalsta saņēmēji – 21,8 tūkst., bērna īpašas kopšanas pabalsta saņēmēji – 2,6 tūkst. un pilngadīgas personas ar invaliditāti, kuras saņem īpašas kopšanas pabalstu, – 16,2 tūkst. 37 752 euro, lai nodrošinātu VSAA IT sistēmu pielāgošanu.
</t>
    </r>
    <r>
      <rPr>
        <sz val="11"/>
        <color rgb="FFFF0000"/>
        <rFont val="Calibri"/>
        <family val="2"/>
        <charset val="186"/>
        <scheme val="minor"/>
      </rPr>
      <t xml:space="preserve">Pieskaitīts klāt pie plāna  arī 16 800 eur AiM sektora  kontingenta pabalsta izmaksām </t>
    </r>
  </si>
  <si>
    <t>Piešķirt veselības ministrijai ne vairāk kā 7 760 334 euro, t.sk.:
2.1.Vakcinācijas procesa infrastruktūras uzturēšanu un citu resursu nodrošināšanu, tai skaitā 2 lielo vakcinācijas centru darbību uzsākšanu no 2021.gada 27.decembra;
2.2.Vakcinācijas informācijas tehnoloģijas sistēmas uzturēšanu;
2.3.Komunikācijas un iedzīvotāju informēšanas aktivitātes īstenošanu;
2.4.Zvanu un klientu apkalpošanas centra “8989” darbības nodrošināšanu;
2.5.Digitālo sertifikātu uzturēšanu;</t>
  </si>
  <si>
    <r>
      <t xml:space="preserve">KOPĀ Lai nodrošinātu antigēnu testēšanu ambulatorajās ārstniecības iestādēs laika periodā no 2021. gada 1. novembra līdz 2022. gada 11. janvārim, papildus nepieciešams finansējums 12 396 674 euro apmērā.
2021.GADĀ Piešķirt Veselības ministrijai 5 264 338 euro, lai nodrošinātu antigēnu testēšanu ambulatorajās ārstniecības iestādēs laika periodā 2021. gada novembrī 2021. gadā 5 264 338 euro apmērā
2022.GADĀ 
Informatīvajā ziņojumā iekļautajiem pasākumiem, kas ir radušies saistībā ar antigēnu testēšanas nodrošināšanu ārstniecības iestādēs laika periodā no 2021. gada 1. decembra līdz </t>
    </r>
    <r>
      <rPr>
        <sz val="11"/>
        <color rgb="FFFF0000"/>
        <rFont val="Calibri"/>
        <family val="2"/>
        <charset val="186"/>
        <scheme val="minor"/>
      </rPr>
      <t>2022. gada</t>
    </r>
    <r>
      <rPr>
        <sz val="11"/>
        <rFont val="Calibri"/>
        <family val="2"/>
        <charset val="186"/>
        <scheme val="minor"/>
      </rPr>
      <t xml:space="preserve"> 11. janvārim, nepieciešamos izdevumus ne vairāk kā </t>
    </r>
    <r>
      <rPr>
        <sz val="11"/>
        <color rgb="FFFF0000"/>
        <rFont val="Calibri"/>
        <family val="2"/>
        <charset val="186"/>
        <scheme val="minor"/>
      </rPr>
      <t>7 132 336 euro</t>
    </r>
    <r>
      <rPr>
        <sz val="11"/>
        <rFont val="Calibri"/>
        <family val="2"/>
        <charset val="186"/>
        <scheme val="minor"/>
      </rPr>
      <t xml:space="preserve"> apmērā segt no valsts budžeta programmas 02.00.00 "Līdzekļi neparedzētiem gadījumiem" 2022. gadā.</t>
    </r>
  </si>
  <si>
    <t>antigēnu testēšanas nodrošināšanai  ambulatorajās ārstniecības iestādēs
FINANSĒJUMS 2021. UN 2022.GADAM</t>
  </si>
  <si>
    <t xml:space="preserve">Vakcinācijas procesa infrastruktūras uzturēšanai 2022.g. </t>
  </si>
  <si>
    <t>nav MK  lēmuma un datuma</t>
  </si>
  <si>
    <t>23.12.2021
(prot. Nr.82 4.§)
21-TA-1650
Informatīvais ziņojums "Par  Covid-19 vakcināciju 2022. gadā"</t>
  </si>
  <si>
    <t>pasākumiem, kas ir  radušies saistībā ar Covid - 19 uzliesmojumu un seku novēršanu 2022.g.</t>
  </si>
  <si>
    <t>Grozījumi Ministru kabineta 2018. gada 28. augusta noteikumos Nr. 555 "Veselības aprūpes pakalpojumu organizēšanas un samaksas kārtība"
 (MK 29.12.2021
(prot. Nr.83 1.§)).</t>
  </si>
  <si>
    <t>Aizdevumi apgrozāmiem līdzekļiem </t>
  </si>
  <si>
    <t>COVID-19 uzliesmojumu un seku novēršanai</t>
  </si>
  <si>
    <t>Ministru kabineta rīkojums Nr. 689 "Par finanšu līdzekļu piešķiršanu no valsts budžeta programmas "Līdzekļi neparedzētiem gadījumiem"</t>
  </si>
  <si>
    <t>Ministru kabineta rīkojums Nr. 688 "Par finanšu līdzekļu piešķiršanu no valsts budžeta programmas "Līdzekļi neparedzētiem gadījumiem"</t>
  </si>
  <si>
    <t>Piešķirt Veselības ministrijai finansējumu 2 857 581 euro apmērā, lai segtu izdevumus, kas radušies saistībā ar COVID-19 uzliesmojumu un seku novēršanu, no tiem:
1. Nacionālajam veselības dienestam par periodu 2021.gada jūnijs 2 482 940 euro apmērā, tai skaitā:
1.1. par ambulatorajiem veselības aprūpes pakalpojumiem 1 706 781 euro;
1.2. par stacionārajiem veselības aprūpes pakalpojumiem 632 227 euro;
1.3. par laboratorisko izmeklējumu organizēšanu 127 644 euro;
1.4. par transporta pakalpojumiem 16 288 euro.
 2. Neatliekamās medicīniskās palīdzības dienestam par periodu 2021.gada jūnijs – augusts 374 641 euro apmērā dezinfekcijas un individuālo aizsardzības līdzekļu iegādei.</t>
  </si>
  <si>
    <t>Piešķirt Veselības ministrijai (Nacionālajam veselības dienestam finansējumu 2 335 085 euro apmērā, lai segtu izdevumus, kas radušies saistībā ar COVID-19 uzliesmojumu un seku novēršanu 2021.gada jūlijā, tai skaitā:
1. par ambulatorajiem veselības aprūpes pakalpojumiem 1 673  033 euro;
2. par stacionārajiem veselības aprūpes pakalpojumiem 530  051 euro, tai skaitā veicot izmaksu korekciju par pacientu ar pozitīvu COVID-19 transportēšanu 2021.gada maijā un jūnijā;
3. par laboratorisko izmeklējumu organizēšanu 132 001 euro.</t>
  </si>
  <si>
    <t>MK rīk. Nr.996 "Par finanšu līdzekļu piešķiršanu no valsts budžeta programmas "Līdzekļi neparedzētiem gadījumiem""</t>
  </si>
  <si>
    <t>Piešķirt Veselības ministrijai (Nacionālajam veselības dienestam) finansējumu 20 920 744 euro, lai segtu izdevumus saistībā ar Covid-19 testēšanas politikas mērķu sasniegšanu, veicinot Covid-19 testēšanas jaudas palielināšanai Latvijā un ņemot vērā laboratoriju kopējo testēšanas kapacitāti</t>
  </si>
  <si>
    <t>Ministriju iesniegtie augstas gatavības projekti, kas saistīti ar Covid-19 krīzes pārvarēšanu un ekonomikas atlabšanu. Pamatkapitāla palielināšana</t>
  </si>
  <si>
    <t>Ministru kabineta rīkojums Nr. 17
Rīgā 2022. gada 12. janvārī (prot. Nr. 2 62. §)
Par finanšu līdzekļu piešķiršanu no valsts budžeta programmas "Līdzekļi neparedzētiem gadījumiem"</t>
  </si>
  <si>
    <t>Piešķirt Labklājības ministrijai (Valsts sociālās apdrošināšanas aģentūrai) finansējumu, kas nepārsniedz 91 800 euro, lai atbilstoši Covid-19 infekcijas izplatības seku pārvarēšanas likuma 63.1 panta otrajai daļai un 68.1 pantam nodrošinātu vienreizēja atbalsta izmaksu bērna vecākam, aizbildnim, audžuģimenei vai ilgstošas sociālās aprūpes un sociālās rehabilitācijas institūcijas vadītājam 500 euro apmērā par katru bērnu, kuram piešķirts alternatīvās personas statuss, un vienreizēju pabalstu 200 euro apmērā personai ar alternatīvo statusu, kura ir sasniegusi vecuma pensijas piešķiršanai nepieciešamo vecumu vai tai ir noteikta invaliditāte, vai personai ir Veselības un darbspēju ekspertīzes ārstu valsts komisijas izsniegts atzinums par īpašas kopšanas nepieciešamību.</t>
  </si>
  <si>
    <t xml:space="preserve"> Covid-19 infekcijas izplatības seku pārvarēšanas likuma 63.1 panta otrajai daļai un 68.1 pants
MK 11.01.2022  Nr.19
(prot. Nr.2 64.§)</t>
  </si>
  <si>
    <t>vienreizēja atbalsta izmaksām bērna vecākam, aizbildnim,SAC vadītājam (500 eur), vai personai ar alternatīvo statusu,kura sasniegusu pensijas vecumu/ ir invaliditate (200 eur)</t>
  </si>
  <si>
    <t>Ministru kabineta rīkojums Nr. 18
Rīgā 2022. gada 11. janvārī (prot. Nr. 2 63. §)
Par finanšu līdzekļu piešķiršanu no valsts budžeta programmas "Līdzekļi neparedzētiem gadījumiem"</t>
  </si>
  <si>
    <t>Vienreizējs pabalsts</t>
  </si>
  <si>
    <t>Piešķirt Iekšlietu ministrijai finansējumu 338 999 euro apmērā pārskaitīšanai šā rīkojuma pielikumā minētajām pašvaldību institūcijām, lai kompensētu izdevumus, kas saistīti ar:
1.1. piemaksām pašvaldību policijas darbiniekiem par darbu paaugstināta riska un slodzes apstākļos saistībā ar Covid-19 infekcijas slimības uzliesmojumu un tās seku novēršanu laikposmā no 2021. gada 1. novembra līdz 2021. gada 30. novembrim;
1.2. piemaksām par nakts darbu pašvaldību policijas darbiniekiem, kuri tika iesaistīti virsstundu darbā (dienesta pienākumu izpildē virs noteiktā dienesta pienākumu izpildes laika) no 2021. gada 1. novembra līdz 2021. gada 14. novembrim, lai kontrolētu iedzīvotāju pārvietošanās aizlieguma ievērošanu laikposmā no plkst. 22.00 līdz plkst. 5.00, – 75 procentu apmērā no aprēķinātās atlīdzības summas (ar darba devēja valsts sociālās apdrošināšanas obligātajām iemaksām).</t>
  </si>
  <si>
    <t>Piešķirt Iekšlietu ministrijai finansējumu  838 080 euro apmērā,</t>
  </si>
  <si>
    <t>Ministru kabineta rīkojums Nr. 16
Rīgā 2022. gada 11. janvārī (prot. Nr. 2 61. §)
Par finanšu līdzekļu piešķiršanu no valsts budžeta programmas "Līdzekļi neparedzētiem gadījumiem"</t>
  </si>
  <si>
    <t xml:space="preserve">apgrozāmo līdzekļu atbalsta sniegšanai 120 milj
https://tapportals.mk.gov.lv/annotation/342f3394-25d8-4234-b5d5-fcf22cdc98dd
https://tapportals.mk.gov.lv/annotation/0c9b8061-896c-4991-a301-b5b02af240dc
MK 26.10. 2021 noteikumi Nr.722 (prot. Nr. 72 57. §)	120 000 000
MK 16.11.2021 noteikumi Nr.760 (prot. Nr. 75 58. §)	30 000 000
MK 30.11.2021 noteikumi Nr.783 (prot. Nr. 78 45. §)	8 400 000
MK 7.12.2021 noteikumi Nr. 805 (prot. Nr. 79 51. §)	1 635 000
</t>
  </si>
  <si>
    <t>Atbalsts kultūras nozares komersantiem</t>
  </si>
  <si>
    <t>Noteikumi par atbalstu mākslas, izklaides un atpūtas nozaru komersantiem, kuru darbību ietekmējusi Covid-19 izplatība</t>
  </si>
  <si>
    <r>
      <t xml:space="preserve">Piešķirt Kultūras ministrijai 6 000 000 euro pārskaitīšanai akciju sabiedrībai „Attīstības finanšu institūcija Altum” atbalsta piešķiršanai komersantiem, kuri organizē pastāvīgu publisku mākslas, izklaides un atpūtas pasākumu norisi, lai mazinātu Covid-19 krīzes radīto negatīvo seku ietekmi uz mākslas, izklaides un atpūtas nozarēm. </t>
    </r>
    <r>
      <rPr>
        <b/>
        <sz val="11"/>
        <color rgb="FFFF0000"/>
        <rFont val="Calibri"/>
        <family val="2"/>
        <charset val="186"/>
        <scheme val="minor"/>
      </rPr>
      <t>Pārcelts pie ALTUM programmām.</t>
    </r>
  </si>
  <si>
    <t>piešķirt Veselības ministrijai finansējumu, kas nepārsniedz 49 522 230 euro, lai nodrošinātu piemaksas un atvaļinājuma rezerves uzkrājumu atbilstoši aprēķinātajai piemaksu summai no 2022. gada 1. janvāra līdz 2022. gada 31. martam atbildīgo institūciju ārstniecības personām un citiem nodarbinātajiem par darbu paaugstināta riska un slodzes apstākļos sabiedrības veselības apdraudējuma situācijā saistībā ar Covid-19 uzliesmojumu un seku novēršanu</t>
  </si>
  <si>
    <t>piemaksas un atvaļinājuma rezerves uzkrājums mediķiem</t>
  </si>
  <si>
    <t>Izpilde</t>
  </si>
  <si>
    <t>Atbalsta apjoms</t>
  </si>
  <si>
    <t xml:space="preserve">Ietekme uz budžeta bilanci </t>
  </si>
  <si>
    <t>incl. Transport sector (incl. aviation)</t>
  </si>
  <si>
    <t>Ministru kabineta rīkojums Nr. 40
Rīgā 2022. gada 27. janvārī (prot. Nr. 4 35. §)
Par finanšu līdzekļu piešķiršanu no valsts budžeta programmas "Līdzekļi neparedzētiem gadījumiem"</t>
  </si>
  <si>
    <t xml:space="preserve">piešķirt Kultūras ministrijai (profesionālās izglītības kompetences centram "Liepājas Mūzikas, mākslas un dizaina vidusskola") 470 420 euro, lai Covid-19 krīzes seku pārvarēšanas un ekonomikas atlabšanas pasākumu ietvaros veiktu investīcijas kultūras infrastruktūrā un atjaunotu profesionālās izglītības kompetences centra "Liepājas Mūzikas, mākslas un dizaina vidusskola" </t>
  </si>
  <si>
    <t>Ministru kabineta rīkojums Nr. 46
Rīgā 2022. gada 1. februārī (prot. Nr. 5 36. §)
Par finanšu līdzekļu piešķiršanu no valsts budžeta programmas "Līdzekļi neparedzētiem gadījumiem"</t>
  </si>
  <si>
    <t>piešķirt Iekšlietu ministrijai finansējumu 2 725 548 euro apmērā, tai skaitā:</t>
  </si>
  <si>
    <t>piešķirt Veselības ministrijai (Nacionālajam veselības dienestam) finansējumu 446 320 euro apmērā, lai nodrošinātu medikamentu pieejamību Covid-19 ārstēšanas procesā, no tiem:</t>
  </si>
  <si>
    <t>Ministru kabineta rīkojums Nr. 49
Rīgā 2022. gada 1. februārī (prot. Nr. 5 40. §)
Par finanšu līdzekļu piešķiršanu no valsts budžeta programmas "Līdzekļi neparedzētiem gadījumiem"</t>
  </si>
  <si>
    <t>medikamentu iegādei</t>
  </si>
  <si>
    <t>Ministru kabineta rīkojums Nr. 41
Rīgā 2022. gada 25. janvārī (prot. Nr. 4 36. §)
Par finanšu līdzekļu piešķiršanu no valsts budžeta programmas "Līdzekļi neparedzētiem gadījumiem</t>
  </si>
  <si>
    <t xml:space="preserve"> Piešķirt Veselības ministrijai finansējumu, kas nepārsniedz 724 049  euro apmērā Covid-19 gadījumu efektīvai epidemioloģiskajai pārvaldīšanai zvanu veikšanai izmantojot ārpakalpojumus laikposmā no 2022.gada 1.februāra līdz 2022.gada 30.jūnijam, tai skaitā:
 1.1. Slimību profilakses un kontroles centram – finansējumu, kas nepārsniedz 489 805 euro;
 1.2. Veselības inspekcijai – finansējumu, kas nepārsniedz 234 244 euro.</t>
  </si>
  <si>
    <t>Covid-19 gadījumu efektīvai epidemioloģiskajai pārvaldīšanai zvanu veikšanai</t>
  </si>
  <si>
    <t>MK rīkojums Nr. 48
Rīgā 2022. gada 1. februārī (prot. Nr. 5 39. §)
Par finanšu līdzekļu piešķiršanu no valsts budžeta programmas "Līdzekļi neparedzētiem gadījumiem"</t>
  </si>
  <si>
    <t>3.
Veselības ministrijai atbilstoši Ministru kabineta 2022. gada 29. decembra sēdes protokollēmuma (prot. Nr. 83 1. §) 3. punktam normatīvajos aktos noteiktā kārtībā sagatavot un iesniegt izskatīšanai Ministru kabinetā rīkojuma projektu par finanšu līdzekļu piešķiršanu no valsts budžeta programmas 02.00.00 "Līdzekļi neparedzētiem gadījumiem" par 2021. gada otro ceturksni ne vairāk kā 62 415 501 euro, ņemot vērā 2022. gada pirmā ceturkšņa faktisko izpildi.</t>
  </si>
  <si>
    <t>Covid-19 uzliesmojuma un seku novēršanai šā gada pirmajā ceturksnī.</t>
  </si>
  <si>
    <t>Piešķirt Finanšu ministrijai (Valsts ieņēmumu dienestam)  245 061 euro, lai segtu izdevumus, kas saistīti ar piemaksu izmaksu Valsts ieņēmumu dienesta Muitas pārvaldes un Nodokļu un muitas policijas pārvaldes amatpersonām ar speciālajām dienesta pakāpēm par darbu paaugstināta riska un slodzes apstākļos sabiedrības veselības apdraudējuma situācijā saistībā ar Covid-19 uzliesmojumu un seku novēršanu laikposmā no 2021. gada 1. decembra līdz 2021. gada 31. decembrim</t>
  </si>
  <si>
    <t>Ministru kabineta rīkojums Nr. 80
Rīgā 2022. gada 11. februārī (prot. Nr. 6 44. §)
Par finanšu līdzekļu piešķiršanu no valsts budžeta programmas "Līdzekļi neparedzētiem gadījumiem"</t>
  </si>
  <si>
    <t>Piešķirt finansējumu ne vairāk ka 8 438 952  euro  apmērā Veselības ministrijai (Nacionālajam veselības dienestam), lai nodrošinātu efektīvu vakcināciju pret Covid-19 un personu vecumā no 60 gadiem vakcinācijas aptveres paaugstināšanu.</t>
  </si>
  <si>
    <t>Ministru kabineta rīkojums Nr. 81
Rīgā 2022. gada 9. februārī (prot. Nr. 6 45. §)</t>
  </si>
  <si>
    <t>Ministru kabineta rīkojums Nr. 82
Rīgā 2022. gada 9. februārī (prot. Nr. 6 46. §)</t>
  </si>
  <si>
    <t>Piešķirt Ekonomikas ministrijai (Centrālajai statistikas pārvaldei) finansējumu, kas nepārsniedz 42 272 euro, lai nodrošinātu personu, kuras saslimušas ar Covid-19 un kurām ir uzsākta un pabeigta vakcinācija pret Covid-19, datu apstrādi.</t>
  </si>
  <si>
    <t>Ministru kabineta rīkojums Nr. 79
Rīgā 2022. gada 9. februārī (prot. Nr. 6 43. §)</t>
  </si>
  <si>
    <r>
      <t xml:space="preserve">Lai laika periodā no 2020.gada 1.decembra līdz 2021.gada 30.jūnijam nodrošinātu piemaksu līdz 50% apmērā no mēnešalgas paaugstināta riska apstākļos aprūpē iesaistītajam personālam, ja institūcijā, kurā  sociālos pakalpojumus ar izmitināšanu, klientiem ir konstatēta Covid-19 infekcija, tai skaitā:
1) līdz 2 897 857 euro apmērā institūcijās, kurā sociālos pakalpojumus sniedz pašvaldības dibināts sociālo pakalpojumu sniedzējs vai tāds, kuram noslēgts līgums ar pašvaldību par minēto pakalpojumu sniegšanu (50% apmērā no pašvaldību faktiskajiem papildu atlīdzības izdevumiem);
2) līdz 5 076 644 euro apmērā valsts dibinātam sociālo pakalpojumu sniedzējam vai tādam pakalpojumu sniedzējam,  kuram ir noslēgts līgums ar Labklājības ministriju par sociālo pakalpojumu sniegšanu (100% apmērā no institūciju faktiskajiem papildu atlīdzības izdevumiem). 
14.07.2021 grozījums MK rīk. Nr.17, samazina summu par 649 229 eur
12.10.2021 grozījums MK rīk. Nr.17- samazina summu par 6 092 168 eur
</t>
    </r>
    <r>
      <rPr>
        <b/>
        <sz val="11"/>
        <rFont val="Calibri"/>
        <family val="2"/>
        <charset val="186"/>
        <scheme val="minor"/>
      </rPr>
      <t>MK 12.10.2021 (prot. Nr.69 39.§) finansējums 2022.gadam 135 700 eur
15.02.2022 piešķirti 392 910 euro,</t>
    </r>
    <r>
      <rPr>
        <sz val="11"/>
        <rFont val="Calibri"/>
        <family val="2"/>
        <charset val="186"/>
        <scheme val="minor"/>
      </rPr>
      <t xml:space="preserve"> (MK rīk Nr.106
15.02.2022 (prot. Nr.8 51.§)
</t>
    </r>
  </si>
  <si>
    <t>Piešķirt Kultūras ministrijai (Valsts kultūrkapitāla fondam) 1 020 044 euro, lai mazinātu Covid-19 krīzes radīto negatīvo seku ietekmi uz kultūras nozari, tai skaitā:
1.1.  1 008 428 euro, lai atbilstoši mērķprogrammas “Kultūras pasākumu rīkotāju biļešu kompensācija” 6. kārtas rezultātiem kultūras pasākumu rīkotājiem nodrošinātu biļešu kompensāciju 80 % apmērā;
1.2.  11 616 euro, lai Valsts kultūrkapitāla fonds nodrošinātu mērķprogrammas “Kultūras pasākumu rīkotāju biļešu kompensācija” 6. un 7. kārtas pieteikumu (pamatojošo dokumentu) izvērtēšanu.</t>
  </si>
  <si>
    <t>“Kultūras pasākumu rīkotāju biļešu kompensācija” 6. kārta</t>
  </si>
  <si>
    <t xml:space="preserve">Ministru kabineta rīkojums Nr. 107, Rīgā 2022. gada 15. februārī (prot. Nr. 8 52. §)
Par finanšu līdzekļu piešķiršanu no valsts budžeta programmas "Līdzekļi neparedzētiem gadījumiem"
</t>
  </si>
  <si>
    <t>Execution</t>
  </si>
  <si>
    <t>Ministru kabineta rīkojums Nr. 55
Rīgā 2022. gada 1. februārī (prot. Nr. 5 50. §)</t>
  </si>
  <si>
    <t>informatīvā tālruņa 8345 izdevumi</t>
  </si>
  <si>
    <t>piešķirt Valsts kancelejai finansējumu ne vairāk kā 64 847 euro apmērā, lai segtu vienotā informatīvā tālruņa 8345 izdevumus, kas radušies, informējot personas par Latvijā noteiktajiem Covid-19 epidemioloģiskās drošības pasākumiem.</t>
  </si>
  <si>
    <r>
      <t xml:space="preserve">29.12.2021
</t>
    </r>
    <r>
      <rPr>
        <sz val="11"/>
        <color rgb="FFFF0000"/>
        <rFont val="Calibri"/>
        <family val="2"/>
        <charset val="186"/>
        <scheme val="minor"/>
      </rPr>
      <t>09.02.2022</t>
    </r>
  </si>
  <si>
    <t xml:space="preserve">Veselības ministrijai noteikumu 243.1., 243.2., 243.3., 243.4., 243.6., 245.1., 245.2., 246.1., 246.2., 246.3., 246.4., 254.1., 254.2., 254.3.apakšpunktā un 243.1, 245.5 punktā iekļautajiem pasākumiem, kas ir  radušies saistībā ar Covid - 19 uzliesmojumu un seku novēršanu, nepieciešamos izdevumus ne vairāk kā 124 831 005 euro apmērā segt no valsts budžeta programmas 02.00.00 “Līdzekļi neparedzētiem gadījumiem”. 
</t>
  </si>
  <si>
    <t>Lai nodrošinātu Covid-19 testēšanas politikas mērķu sasniegšanu, veicinot Covid-19 testēšanas jaudas palielināšanu Latvijā un ņemot vērā laboratoriju kopējo testēšanas kapacitāti 2021.gada decembrī papildus finansējumu, kas nepārsniedz 1 739 480 euro,</t>
  </si>
  <si>
    <t>Ministru kabineta sēdes protokols Nr. 81
Rīgā 2021. gada 21. decembrī</t>
  </si>
  <si>
    <t>Covid-19 testēšanai</t>
  </si>
  <si>
    <t>D.0</t>
  </si>
  <si>
    <t>Piešķirt Labklājības ministrijai finansējumu 46 002 euro apmērā, lai institūcijām,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t>
  </si>
  <si>
    <t>Ministru kabineta rīkojums Nr. 47
Rīgā 2022. gada 1. februārī (prot. Nr. 5 38. §)
Par finanšu līdzekļu piešķiršanu no valsts budžeta programmas "Līdzekļi neparedzētiem gadījumiem"</t>
  </si>
  <si>
    <t>soc.pakalpojumu snidzejām,  institūcijām, dezinfekc.līdz.</t>
  </si>
  <si>
    <r>
      <t xml:space="preserve">20.03.2020 01.04.2020 16.04.2020 07.01.2021 11.01.2021 11.02.2021 05.03.2021
</t>
    </r>
    <r>
      <rPr>
        <sz val="11"/>
        <color rgb="FFFF0000"/>
        <rFont val="Calibri"/>
        <family val="2"/>
        <charset val="186"/>
        <scheme val="minor"/>
      </rPr>
      <t xml:space="preserve">17.08.2021
01.02.2022
</t>
    </r>
  </si>
  <si>
    <r>
      <t xml:space="preserve">Atbilstoši MK 05.03.2021. rīkojuma Nr.143 anotācijā norādītajam, lai nodrošinātu pabalstu krīzes situācijā kompensēšanu pašvaldībām par pieciem mēnešiem (2021.gada februāri (atbilstoši plānotajam valsts nodrošinātās mērķdotācijas palielinājumam no 40 euro uz 75 euro), martu, aprīli, maiju un jūniju).
</t>
    </r>
    <r>
      <rPr>
        <sz val="11"/>
        <color rgb="FFFF0000"/>
        <rFont val="Calibri"/>
        <family val="2"/>
        <charset val="186"/>
        <scheme val="minor"/>
      </rPr>
      <t>MK 17.08.2021-Piešķirt Labklājības ministrijai finansējumu, kas nepārsniedz 22 969 euro, lai 2022.gadā</t>
    </r>
    <r>
      <rPr>
        <sz val="11"/>
        <rFont val="Calibri"/>
        <family val="2"/>
        <scheme val="minor"/>
      </rPr>
      <t xml:space="preserve"> par 2021.gada decembri atbilstoši Sociālo pakalpojumu un sociālās palīdzības likuma pārejas noteikumu 37.1 punktam kompensētu pašvaldībām izdevumus 50 procentu apmērā no mājsaimniecībai izmaksātā pabalsta krīzes situācijā. Atbilstoši MK 17.08.2021. rīkojuma Nr.585 anotācijā norādītajam, lai nodrošinātu krīzes pabalsta izmaksu termiņa pagarināšanu no 2021.gada 1.jūlija līdz 31.decembrim, izdevumi tiks veikti ar MK 11.01.2021. rīkojumu Nr.11 piešķirto līdzekļu līdz 375 000 euro apmērā ietvaros.”
</t>
    </r>
    <r>
      <rPr>
        <sz val="11"/>
        <color rgb="FFFF0000"/>
        <rFont val="Calibri"/>
        <family val="2"/>
        <charset val="186"/>
        <scheme val="minor"/>
      </rPr>
      <t>01.02.2022. piešķir vēl finansējumu 7 645 euro, lai segtu izdevumus par 2021.g. decembri (pievienots 2022.g. plānam)</t>
    </r>
  </si>
  <si>
    <t xml:space="preserve">incl. Health sector </t>
  </si>
  <si>
    <t>incl. Education and science (incl. sports and distance learning)</t>
  </si>
  <si>
    <t>Ministru kabineta rīkojums Nr. 125
Rīgā 2022. gada 22. februārī (prot. Nr. 9 34. §)
Par finanšu līdzekļu piešķiršanu no valsts budžeta programmas "Līdzekļi neparedzētiem gadījumiem"</t>
  </si>
  <si>
    <t>piešķirt Zemkopības ministrijai (valsts zinātniskajam institūtam "Pārtikas drošības, dzīvnieku veselības un vides zinātniskais institūts "BIOR"") finansējumu 50 148 euro apmērā, lai laikposmā no 2022. gada 1. janvāra līdz 2022. gada 30. jūnijam nodrošinātu ūdeļu, citu Mustelidae dzimtas dzīvnieku un jenotsuņu populācijā ņemto paraugu laboratorisko izmeklēšanu Covid-19 infekcijas ierosinātāja noteikšanai, kā arī dzīvnieku līķu sekciju un iznīcināšanu.</t>
  </si>
  <si>
    <t xml:space="preserve">C19 analīžu veikšanai  ūdeļu, citu Mustelidae dzimtas dzīvnieku un jenotsuņu populācijā </t>
  </si>
  <si>
    <t>Ministru kabineta rīkojums Nr. 124
Rīgā 2022. gada 22. februārī (prot. Nr. 9 33. §)
Par finanšu līdzekļu piešķiršanu no valsts budžeta programmas "Līdzekļi neparedzētiem gadījumiem"</t>
  </si>
  <si>
    <t>piešķirt Iekšlietu ministrijai finansējumu 332 413 euro apmērā pārskaitīšanai šā rīkojuma pielikumā minētajām pašvaldību institūcijām, lai kompensētu izdevumus, kas saistīti ar</t>
  </si>
  <si>
    <t>Prognoze uz SP 2022-2025</t>
  </si>
  <si>
    <t>Daudzreiz lietojamie mutes un deguna aizsegu iegāde izglītības iestādēm</t>
  </si>
  <si>
    <t>Piešķirt Aizsardzības ministrijai (Valsts aizsardzības loģistikas un iepirkumu centram) finansējumu, kas nepārsniedz 1 313 584 euro, lai saskaņā ar Ministru kabineta 2021. gada 31. augusta sēdes protokollēmumu "Informatīvais ziņojums "Par daudzreiz lietojamo mutes un deguna aizsegu iegādi izglītības iestādēm"" (prot. Nr. 58 47. §) un Ministru kabineta 2021. gada 13. maija noteikumiem Nr. 308 "Noteikumi par prioritāro institūciju un vajadzību sarakstā iekļautajām institūcijām nepieciešamajiem epidemioloģiskās drošības nodrošināšanas resursiem" iegādātos daudzreiz lietojamos mutes un deguna aizsegus, kas paredzēti izglītojamiem, kuri apgūst formālo izglītību.</t>
  </si>
  <si>
    <t>epidemioloģisko nosacījumu, loģistikas un darba organizācijas procesa nodrošināšanai izglītības iestādēs</t>
  </si>
  <si>
    <t>Ministru kabineta rīkojums Nr. 140 Par finanšu līdzekļu piešķiršanu no valsts budžeta programmas "Līdzekļi neparedzētiem gadījumiem"</t>
  </si>
  <si>
    <t>Finanšu ministrijai no valsts budžeta programmas 02.00.00 "Līdzekļi neparedzētiem gadījumiem" piešķirt 2 962 984 euro par epidemioloģisko nosacījumu, loģistikas un darba organizācijas procesa nodrošināšanu izglītības iestādēs</t>
  </si>
  <si>
    <t>IZM; AiM, ZM; LM; KM; VM</t>
  </si>
  <si>
    <t>Piešķirt Labklājības ministrijai finansējumu, kas nepārsniedz 392 910 euro, lai par laikposmu no 2021. gada 1. decembra līdz 2022. gada 31. martam nodrošinātu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vai valsts dibināts sociālo pakalpojumu sniedzējs vai pakalpojumu sniedzējs, kuram ir noslēgts līgums ar pašvaldību vai valsti par minēto pakalpojumu sniegšanu, klientiem ir konstatēta Covid-19 infekcija vai noteikts Covid-19 inficētas personas kontaktpersonas statuss, kā arī piemaksu, kas noteikta personālam, kas iesaistīts personu testēšanā SARS-CoV-2 antigēna noteikšanai, tai skaitā:
1.1. finansējumu, kas nepārsniedz 53 088 euro, institūcijām, kurās sociālos pakalpojumus sniedz pašvaldības dibināts sociālo pakalpojumu sniedzējs vai pakalpojumu sniedzējs, kuram noslēgts līgums ar pašvaldību par sociālo pakalpojumu sniegšanu (50 % apmērā no pašvaldību faktiskajiem papildu izdevumiem);
1.2. finansējumu, kas nepārsniedz 339 822 euro, valsts dibinātam sociālo pakalpojumu sniedzējam vai tādam pakalpojumu sniedzējam, kuram ir noslēgts līgums ar Labklājības ministriju par sociālo pakalpojumu sniegšanu (100 % apmērā no institūcijas faktiskajiem papildu izdevumiem).</t>
  </si>
  <si>
    <t>piemaksu līdz 50 % no mēnešalgas personām, kas iesaistītas aprūpē paaugstināta riska apstākļos</t>
  </si>
  <si>
    <t xml:space="preserve">MK rīkojums Nr. 106 "Par finanšu līdzekļu piešķiršanu no valsts budžeta programmas "Līdzekļi neparedzētiem gadījumiem"" </t>
  </si>
  <si>
    <t>Piešķirt Veselības ministrijai (Nacionālajam veselības dienestam) finansējumu ne vairāk kā 2 519 496 euro apmērā samaksai ģimenes ārstu praksēm par aizvietošanas nodrošināšanu par laikposmu no 2022.gada 1.janvāra līdz 30.jūnijam.</t>
  </si>
  <si>
    <t>Ārstu praksēm</t>
  </si>
  <si>
    <t>piešķirt Iekšlietu ministrijai finansējumu 784 932 euro apmērā, tai skaitā:
1.1. 724 573 euro, lai segtu izdevumus, kas saistīti ar piemaksām Iekšlietu ministrijas sistēmas iestāžu amatpersonām ar speciālajām dienesta pakāpēm par darbu paaugstināta riska un slodzes apstākļos sabiedrības veselības apdraudējuma situācijā saistībā ar Covid-19 uzliesmojumu un tā seku novēršanu laikposmā no 2022. gada 1. janvāra līdz 2022. gada 31. janvārim.
1.2. 60 359 euro, lai kompensētu papildu izdevumus (vidējās izpeļņas pieaugums), kas rodas, nosakot piemaksu par darbu paaugstināta riska un slodzes apstākļos saistībā ar Covid-19 uzliesmojumu un tā seku novēršanu.</t>
  </si>
  <si>
    <t>Finanšu ministrijai no valsts budžeta programmas 02.00.00 ''Līdzekļi neparedzētiem gadījumiem'' piešķirt Veselības ministrijai (Nacionālajam veselības dienestam) finansējumu 5 103 176 euro apmērā, lai segtu izdevumus, kas radušies saistībā ar Covid-19 infekcijas uzliesmojumu un seku novēršanu 2021. gada decembrī, no tiem:
1.1. par ambulatorajiem veselības aprūpes pakalpojumiem 1 920 322 euro;
1.2. par stacionārajiem veselības aprūpes pakalpojumiem  3 058 909 euro;
1.3. par laboratorisko izmeklējumu organizēšanu 110 338 euro;
1.4. par transporta pakalpojumiem 13 607 euro.</t>
  </si>
  <si>
    <t>Fiskāla ietekme uz vispārējās valdības budžeta bilanci no programmas realizēšanas norādīta 2022.-2024.gados. Atbalsta apjoms 2022.g. 70 mEUR apmērā ALTUM 2022.g. janvāra prognoze.</t>
  </si>
  <si>
    <t>Pabalsts vakcinētām personām virs 60 gadiem</t>
  </si>
  <si>
    <r>
      <t xml:space="preserve">Piešķirt Kultūras ministrijai 6 000 000 euro pārskaitīšanai akciju sabiedrībai „Attīstības finanšu institūcija Altum” atbalsta piešķiršanai komersantiem, kuri organizē pastāvīgu publisku mākslas, izklaides un atpūtas pasākumu norisi, lai mazinātu Covid-19 krīzes radīto negatīvo seku ietekmi uz mākslas, izklaides un atpūtas nozarēm. </t>
    </r>
    <r>
      <rPr>
        <b/>
        <sz val="11"/>
        <color rgb="FFFF0000"/>
        <rFont val="Calibri"/>
        <family val="2"/>
        <charset val="186"/>
        <scheme val="minor"/>
      </rPr>
      <t>Pārcelts no atbalsta Kultūrai.</t>
    </r>
  </si>
  <si>
    <t xml:space="preserve">atbalstīt apropriācijas pārdali no budžeta resora ''74. Gadskārtējā valsts budžeta izpildes procesā pārdalāmais finansējums'' programmas 12.00.00 ''Finansējums veselības jomas pasākumiem Covid-19 infekcijas izplatības ierobežošanai'' 11 548 412 euro apmērā uz šādām Veselības ministrijas budžeta apakšprogrammām,  lai segtu izdevumus, kas radušies saistībā ar Covid-19 infekcijas uzliesmojumu un tā seku novēršanu:
 1.1. uz budžeta apakšprogrammu 33.04.00 ''Centralizēta medikamentu un materiālu iegāde'' 11 505 820 euro apmērā  – Nacionālajam veselības dienestam, tai skaitā:
 1.1.1. 11 305 402 euro  apmērā vakcīnu iegādei;
 1.1.2. 58 150 euro apmērā šļirču un injekciju šķīdumu iegādei;
 1.1.3. 142 268 euro apmērā vakcīnu uzglabāšanai un loģistikai;
 1.2. uz budžeta apakšprogrammu 39.03.00 ''Asins un asins komponentu nodrošināšana''  42 592 euro apmērā  – Valsts asinsdonoru centram medicīnas dziļsaldētavu iegādei. </t>
  </si>
  <si>
    <t>Ministru kabineta rīkojums Nr. 188
Rīgā 2022. gada 15. martā (prot. Nr. 15 52. §)</t>
  </si>
  <si>
    <t>Ministru kabineta rīkojums Nr. 189
Rīgā 2022. gada 17. martā (prot. Nr. 15 42. §)</t>
  </si>
  <si>
    <t>izglītības pakalpojuma nepārtrauktības nodrošināšanu augsta epidemioloģiskā riska apstākļos</t>
  </si>
  <si>
    <t>IZM; 62.resors.,  AiM, ZM; LM; KM; VM</t>
  </si>
  <si>
    <t>piešķirt 8 798 402 euro par izglītības pakalpojuma nepārtrauktības nodrošināšanu augsta epidemioloģiskā riska apstākļos, tai skaitā:</t>
  </si>
  <si>
    <t>Ministru kabineta rīkojums Nr. 183
Rīgā 2022. gada 15. martā (prot. Nr. 15 37. §)</t>
  </si>
  <si>
    <t>piešķirt Iekšlietu ministrijai finansējumu 312 691 euro apmērā pārskaitīšanai šā rīkojuma pielikumā minētajām pašvaldību institūcijām, lai kompensētu izdevumus, kas saistīti ar piemaksām pašvaldību policijas darbiniekiem par darbu paaugstināta riska un slodzes apstākļos saistībā ar Covid-19 uzliesmojumu un tā seku novēršanu laikposmā no 2022. gada 1. janvāra līdz 2022. gada 31. janvārim.</t>
  </si>
  <si>
    <t>Ministru kabineta rīkojums Nr. 160
Rīgā 2022. gada 9. martā (prot. Nr. 13 49. §)</t>
  </si>
  <si>
    <t>Ministru kabineta rīkojums Nr. 123
Rīgā 2022. gada 22. februārī (prot. Nr. 9 31. §)
Par finanšu līdzekļu piešķiršanu no valsts budžeta programmas "Līdzekļi neparedzētiem gadījumiem"</t>
  </si>
  <si>
    <r>
      <t xml:space="preserve">Lai nodrošinātu ātro SARS-CoV-2 vīrusa antigēna noteikšanas paštestu izmantošanu izglītības iestādēs un publiskā sektora prioritārajās jomās, laika periodā no 2022. gada 1. janvāra, nepieciešamos izdevumus ne vairāk kā 7 124 688 euro apmērā
</t>
    </r>
    <r>
      <rPr>
        <sz val="11"/>
        <color rgb="FFFF0000"/>
        <rFont val="Calibri"/>
        <family val="2"/>
        <charset val="186"/>
        <scheme val="minor"/>
      </rPr>
      <t xml:space="preserve">GROZĪJUMS Ministru kabineta rīkojums Nr. 141, Rīgā 2022. gada 2. martā (prot. Nr. 12 40. §), PALIELINOT SUMMU PAR 8 424 082 EUR, </t>
    </r>
    <r>
      <rPr>
        <b/>
        <sz val="11"/>
        <color rgb="FFFF0000"/>
        <rFont val="Calibri"/>
        <family val="2"/>
        <charset val="186"/>
        <scheme val="minor"/>
      </rPr>
      <t>(kopā 14,751 400 eur)</t>
    </r>
  </si>
  <si>
    <t>09.11.2021
11.01.2022
 02.03.2022</t>
  </si>
  <si>
    <t>Ministru kabineta rīkojums Nr. 161
Rīgā 2022. gada 9. martā (prot. Nr. 13 51. §)
Par finanšu līdzekļu piešķiršanu no valsts budžeta programmas ''Līdzekļi neparedzētiem gadījumiem''</t>
  </si>
  <si>
    <t xml:space="preserve">09.11.2021
09.03.2022
</t>
  </si>
  <si>
    <t>Ministru kabineta rīkojums Nr. 185
Rīgā 2022. gada 15. martā (prot. Nr. 15 39. §)
Par finanšu līdzekļu piešķiršanu no valsts budžeta programmas "Līdzekļi neparedzētiem gadījumiem"</t>
  </si>
  <si>
    <t>Vakcinācijas pasākumi</t>
  </si>
  <si>
    <t>Piešķirt Veselības ministrijai (Nacionālajam veselības dienestam) finansējumu, kas nepārsniedz 6 237 770 euro, lai nodrošinātu vakcinācijas plāna iekļauto pasākumu īstenošanu, no tiem:</t>
  </si>
  <si>
    <t>Ministru kabineta rīkojums Nr. 184
Rīgā 2022. gada 15. martā (prot. Nr. 15 38. §)
Par finanšu līdzekļu piešķiršanu no valsts budžeta programmas "Līdzekļi neparedzētiem gadījumiem"</t>
  </si>
  <si>
    <t>rehabilitācijas pakalpojumiem pacientiem pēc pārslimotas Covid-19 infekcijas</t>
  </si>
  <si>
    <t>piešķirt Veselības ministrijai (Nacionālajam veselības dienestam) finansējumu 835 969 euro apmērā, lai segtu izdevumus ārstniecības iestādēm par 2021. gada decembrī sniegtajiem rehabilitācijas pakalpojumiem pacientiem pēc pārslimotas Covid-19 infekcijas, tai skaitā:</t>
  </si>
  <si>
    <t>https://tapportals.mk.gov.lv/meetings/protocols/bc243829-e155-46ec-9f94-d0bf9fd202be</t>
  </si>
  <si>
    <t>01.03.2022
 (prot. Nr.12 69.§)
IP</t>
  </si>
  <si>
    <t>medikamenta Sotrovimab un Paxlovid iegādē</t>
  </si>
  <si>
    <t xml:space="preserve">1.Piešķirt Veselības ministrijai (Nacionālajam veselības dienestam) pieteikties kopējā iepirkumā medikamenta Sotrovimab iegādē, kopā iegādājoties 50 medikamenta Sotrovimab devas. Medikamenta  iegādes un loģistikas izdevumus, kas nepārsniedz 112 000 euro (ar PVN), 2022. gadā segt no valsts budžeta programmas 02.00.00 "Līdzekļi neparedzētiem gadījumiem" (MK 01.03.2022. sēdes prot. Nr.12 69.paragrāfs)
2.Piešķirt Veselības ministrijai (Nacionālajam veselības dienestam) saglabāt sākotnēji pieteikto Paxlovid daudzumu – 5000 kursiem. Medikamenta  iegādes un loģistikas izdevumus, kas nepārsniedz 3 724 000 euro (ar PVN), 2022. gadā segt no valsts budžeta programmas 02.00.00 "Līdzekļi neparedzētiem gadījumiem" (MK 01.03.2022. sēdes prot. Nr.12 69.paragrāfs)
</t>
  </si>
  <si>
    <t>Medicīnisko iekārtu un papildaprīkojuma iegāde</t>
  </si>
  <si>
    <t>piešķirt Aizsardzības ministrijai (Valsts aizsardzības loģistikas un iepirkumu centram) finansējumu, kas nepārsniedz 1 419 663 euro, lai saskaņā ar Ministru kabineta 2021. gada 13. maija noteikumiem Nr. 308 "Noteikumi par prioritāro institūciju un vajadzību sarakstā iekļautajām institūcijām nepieciešamajiem epidemioloģiskās drošības nodrošināšanas resursiem" iegādātos  respiratorus FFP2 bez vārsta un IIR tipa vienreizlietojamas ķirurģiskās sejas maskas.</t>
  </si>
  <si>
    <t>Ministru kabineta rīkojums Nr. 182
Rīgā 2022. gada 18. martā (prot. Nr. 15 34. §)
Par finanšu līdzekļu piešķiršanu no valsts budžeta programmas "Līdzekļi neparedzētiem gadījumiem"</t>
  </si>
  <si>
    <t>Respiratoru un sejas masku iegāde</t>
  </si>
  <si>
    <t>Piešķirt Veselības ministrijai (Nacionālajam veselības dienestam) 5 194 939 euro, lai segtu izdevumus, kas radušies 2021.gada oktobrī, novembrī un decembrī saistībā ar medicīnisko iekārtu un papildaprīkojuma iegādi, kā arī intensīvajai terapijai paredzēto gultu uzturēšanu, tai skaitā:
 1. sabiedrībai ar ierobežotu atbildību “Daugavpils reģionālā slimnīca” – 33 638 euro;
 2. sabiedrībai ar ierobežotu atbildību “Vidzemes slimnīca” – 1 292 468 euro;
 3. sabiedrībai ar ierobežotu atbildību “Jēkabpils reģionālā slimnīca” – 454 677 euro;
 4. sabiedrībai ar ierobežotu atbildību “Rēzeknes slimnīca” – 125 991 euro;
 5. sabiedrībai ar ierobežotu atbildību “Rīgas 1. slimnīca” –  8 100 euro;
 6. sabiedrībai ar ierobežotu atbildību “Dobeles un apkārtnes slimnīca” – 11 737 euro;
 7. Nacionālajam veselības dienestam – 3 268 328 euro.</t>
  </si>
  <si>
    <t>Ministru kabineta rīkojums Nr. 203
Rīgā 2022. gada 23. martā (prot. Nr. 17 45. §)
Par finanšu līdzekļu piešķiršanu no valsts budžeta programmas "Līdzekļi neparedzētiem gadījumiem"</t>
  </si>
  <si>
    <t>Piešķirt Veselības ministrijai  (Nacionālajam veselības dienestam) 213 030 euro, lai segtu izdevumus par Covid-19 pasākumu īstenošanu laikposmā no 2021.gada 1.septembra līdz 2021.gada 31.decembrim, tai skaitā:</t>
  </si>
  <si>
    <t>par Covid-19 pasākumu īstenošanu</t>
  </si>
  <si>
    <t>Ministru kabineta rīkojums Nr. 205
Rīgā 2022. gada 23. martā (prot. Nr. 17 47. §)
Par finanšu līdzekļu piešķiršanu no valsts budžeta programmas "Līdzekļi neparedzētiem gadījumiem"</t>
  </si>
  <si>
    <t xml:space="preserve"> Piešķirt Veselības ministrijai  (Nacionālajam veselības dienestam) 1 968 487 euro, lai segtu izdevumus, kas radušies saistībā ar medikamenta Molnupiravir iegādi.</t>
  </si>
  <si>
    <t>Molnupiravir iegādei</t>
  </si>
  <si>
    <t>Ministru kabineta rīkojums Nr. 206
Rīgā 2022. gada 23. martā (prot. Nr. 17 48. §)
Par finanšu līdzekļu piešķiršanu no valsts budžeta programmas "Līdzekļi neparedzētiem gadījumiem"</t>
  </si>
  <si>
    <t>Piešķirt Veselības ministrijai (Nacionālajam veselības dienestam) 3 924 913 euro samaksai ģimenes ārstu praksēm par vakcinācijas veicināšanas pasākumiem, tai skaitā:
	1.  3 385 931 euro apmērā gala maksājuma veikšanai ģimenes ārstu praksēm par 2021.gadā sasniegtajiem Covid-19 vakcinācijas aptveres rādītājiem;
	2.  538 982 euro apmērā papildus samaksai ģimenes ārstu praksēm, kas veic vakcināciju pret Covid-19, par katru pacientam ievadīto vakcīnas devu laikposmā no 2021.gada 1.decembra līdz 2021.gada 31.decembrim.</t>
  </si>
  <si>
    <t>Ministru kabineta rīkojums Nr. 226
Rīgā 2022. gada 29. martā (prot. Nr. 18 43. §)
Par finanšu līdzekļu piešķiršanu no valsts budžeta programmas "Līdzekļi neparedzētiem gadījumiem"</t>
  </si>
  <si>
    <t>samaksai ģimenes ārstu praksēm par vakcinācijas veicināšanas pasākumiem</t>
  </si>
  <si>
    <t xml:space="preserve"> Piešķirt Iekšlietu ministrijai finansējumu 719 678 euro apmērā, tai skaitā:
1.1.664 336 euro, lai segtu izdevumus, kas saistīti ar piemaksām Iekšlietu ministrijas sistēmas iestāžu amatpersonām ar speciālajām dienesta pakāpēm par darbu paaugstināta riska un slodzes apstākļos sabiedrības veselības apdraudējuma situācijā saistībā ar Covid-19 uzliesmojumu un tā seku novēršanu laikposmā no 2022. gada 1. februāra līdz 2022. gada 28. februārim,</t>
  </si>
  <si>
    <t>Ministru kabineta rīkojums Nr. 227
Rīgā 2022. gada 29. martā (prot. Nr. 18 45. §)
Par finanšu līdzekļu piešķiršanu no valsts budžeta programmas "Līdzekļi neparedzētiem gadījumiem"</t>
  </si>
  <si>
    <t>Piešķirt Finanšu ministrijai (Valsts ieņēmumu dienestam) finansējumu ne vairāk kā 357 740 euro apmērā, tai skaitā:</t>
  </si>
  <si>
    <t>Ministru kabineta rīkojums Nr. 234
Rīgā 2022. gada 5. aprīlī (prot. Nr. 19 6. §)
Par finanšu līdzekļu piešķiršanu no valsts budžeta programmas "Līdzekļi neparedzētiem gadījumiem"</t>
  </si>
  <si>
    <t>Piešķirt Izglītības un zinātnes ministrijai 16 319 euro, lai saistībā ar ārkārtējo situāciju, kas izsludināta Covid-19 izplatības ierobežošanai (Ministru kabineta 2021. gada 9. oktobra rīkojums Nr. 720 "Par ārkārtējās situācijas izsludināšanu"), nodrošinātu epidemioloģisko drošības pasākumu Covid-19 infekcijas izplatības ierobežošanai ievērošanas kontroli izglītības jomā.</t>
  </si>
  <si>
    <t>epidemioloģisko drošības pasākumu Covid-19 infekcijas izplatības ierobežošanai ievērošanas kontroli izglītības jomā.</t>
  </si>
  <si>
    <t>Ministru kabineta rīkojums Nr. 246
Rīgā 2022. gada 5. aprīlī (prot. Nr. 19 28. §)
Par finanšu līdzekļu piešķiršanu no valsts budžeta programmas "Līdzekļi neparedzētiem gadījumiem"</t>
  </si>
  <si>
    <t>“Kultūras pasākumu rīkotāju biļešu kompensācija” 7. kārta</t>
  </si>
  <si>
    <t>Piešķirt Kultūras ministrijai (Valsts kultūrkapitāla fondam) 247 432 euro, lai atbilstoši mērķprogrammas „Kultūras pasākumu rīkotāju biļešu kompensācija” 7. kārtas rezultātiem kultūras pasākumu rīkotājiem nodrošinātu biļešu kompensāciju 80 % apmērā.</t>
  </si>
  <si>
    <t>Ministru kabineta rīkojums Nr. 260
Rīgā 2022. gada 13. aprīlī (prot. Nr. 20 29. §)
Par finanšu līdzekļu piešķiršanu no valsts budžeta programmas "Līdzekļi neparedzētiem gadījumiem"</t>
  </si>
  <si>
    <t>Piešķirt VM finansējumu, kas nepārsniedz 23 125 884 euro, lai nodrošinātu piemaksas un atvaļinājuma rezerves uzkrājumu atbilstoši aprēķinātajai piemaksu summai no 2022. gada 1. aprīļa līdz 2022. gada 30. jūnijam atbildīgo institūciju ārstniecības personām un citiem nodarbinātajiem par darbu paaugstināta riska un slodzes apstākļos sabiedrības veselības apdraudējuma situācijā saistībā ar Covid-19 uzliesmojumu un seku novēršanu, tai skaitā:
	1.1. finansējumu, kas nepārsniedz 21 347 625 euro, piemaksu nodrošināšanai;
	1.2. finansējumu, kas nepārsniedz 1 778 259 euro, atvaļinājuma rezerves uzkrājumu nodrošināšanai.</t>
  </si>
  <si>
    <t>Ministru kabineta rīkojums Nr. 261
Rīgā 2022. gada 13. aprīlī (prot. Nr. 20 30. §)
Par finanšu līdzekļu piešķiršanu no valsts budžeta programmas "Līdzekļi neparedzētiem gadījumiem"</t>
  </si>
  <si>
    <t xml:space="preserve">piemaksas un atvaļinājuma rezerves uzkrājumu </t>
  </si>
  <si>
    <t>Piešķirt Iekšlietu ministrijai finansējumu 314 247 euro apmērā pārskaitīšanai  pašvaldību institūcijām, lai kompensētu izdevumus, kas saistīti ar piemaksām pašvaldību policijas darbiniekiem par darbu paaugstināta riska un slodzes apstākļos saistībā ar Covid-19 uzliesmojumu un tās seku novēršanu  laikposmā no 2022. gada 1. februāra līdz 2022. gada 28. februārim.</t>
  </si>
  <si>
    <t>Ministru kabineta rīkojums Nr. 262
Rīgā 2022. gada 13. aprīlī (prot. Nr. 20 32. §)
Par finanšu līdzekļu piešķiršanu no valsts budžeta programmas "Līdzekļi neparedzētiem gadījumiem"</t>
  </si>
  <si>
    <t>Piešķirt Veselības ministrijai  finansējumu 909 694 euro apmērā, lai segtu izdevumus saistībā ar skābekļa pievades vai izveides sistēmu uzlabošanu 2021. un 2022. gadā, tai skaitā:</t>
  </si>
  <si>
    <t>izdevumiem saistībā ar skābekļa pievades vai izveides sistēmu uzlabošanu</t>
  </si>
  <si>
    <t>Ministru kabineta rīkojums Nr. 279
Rīgā 2022. gada 19. aprīlī (prot. Nr. 22 29. §)
Par finanšu līdzekļu piešķiršanu no valsts budžeta programmas "Līdzekļi neparedzētiem gadījumiem"</t>
  </si>
  <si>
    <t>18.12.2020 07.01.2021 11.01.2021 21.04.2021
14.07.2021 12.10.2021</t>
  </si>
  <si>
    <t>MK rīkojums Nr.123 22.02.2022</t>
  </si>
  <si>
    <t>MK 2021.gada 14.jūlijā prot.Nr. 52 1.§
Nr.114 22.02.2022</t>
  </si>
  <si>
    <t>Nr.127 22.02.2022</t>
  </si>
  <si>
    <t xml:space="preserve">Piešķirt Veselības ministrijai (Neatliekamās medicīniskās palīdzības dienestam) finansējumu 10 446 euro apmērā, lai atbilstoši Ministru kabineta 2020. gada 9. jūnija noteikumu Nr. 360 "Epidemioloģiskās drošības pasākumi Covid-19 infekcijas izplatības ierobežošanai" 38.63 punktam nodrošinātu to personu, kurām ir pozitīvs Covid-19 tests, nogādāšanu uz dzīvesvietu vai uzturēšanās vietu, vai Latvijas Investīciju un attīstības aģentūras administrētajā tūristu mītņu sarakstā minētu tūristu mītni, par laika periodu no 2021. gada 1.decembra līdz 2022. gada 13. janvārim </t>
  </si>
  <si>
    <t>personu, kurām ir pozitīvs Covid-19 tests, nogādāšanu uz dzīvesvietu vai uzturēšanās vietu</t>
  </si>
  <si>
    <t>MK Nr.187 15.03.2022</t>
  </si>
  <si>
    <t>Nr.204 23.03.2022</t>
  </si>
  <si>
    <t>Finanšu ministrijai no valsts budžeta programmas 02.00.00 "Līdzekļi neparedzētiem gadījumiem" piešķirt Veselības ministrijai finansējumu  3 190 315 euro apmērā, lai segtu izdevumus par Covid-19  vakcīnu ievadi 2021. gada decembrī</t>
  </si>
  <si>
    <t>Piešķirt Veselības ministrijai (Nacionālajam veselības dienestam) finansējumu 3 255 493 euro apmērā, lai segtu izdevumus, kas radušies no 2021.gada decembra līdz 2022. gada aprīlim saistībā ar medicīnisko iekārtu un papildaprīkojuma iegādi</t>
  </si>
  <si>
    <t>saistībā ar medicīnisko iekārtu un papildaprīkojuma iegādi</t>
  </si>
  <si>
    <t>Impact on Budget Balance</t>
  </si>
  <si>
    <t>Piešķirt Veselības ministrijai  (Nacionālajam veselības dienestam) finansējumu 100 000 euro apmērā, lai segtu izdevumus, kas radušies saistībā ar medikamenta Sotrovimab iegādi.</t>
  </si>
  <si>
    <t>Ministru kabineta rīkojums Nr. 308 Rīgā 2022. gada 3. maijā
Par finanšu līdzekļu piešķiršanu no valsts budžeta programmas "Līdzekļi neparedzētiem gadījumiem"</t>
  </si>
  <si>
    <t>Piešķirt Satiksmes ministrijai finansējumu 99 542 euro apmērā, lai kompensētu mobilo sakaru operatoru izdevumus, kas radušies, nosūtot viesabonentiem, kuri ir reģistrējušies Latvijas mobilo sakaru operatora tīklā, SMS paziņojumu laikposmā no 2021. gada 1. oktobra līdz 2022. gada 28. februārim, tai skaitā:
1. 34 051 euro – sabiedrībai ar ierobežotu atbildību "Latvijas Mobilais Telefons";
2. 38 344 euro – sabiedrībai ar ierobežotu atbildību "Tele2";
3. 27 147  euro – sabiedrībai ar ierobežotu atbildību "BITE Latvija".</t>
  </si>
  <si>
    <t>Rīkojums Nr.304 "Par finanšu līdzekļu piešķiršanu no valsts budžeta programmas "Līdzekļi neparedzētiem gadījumiem""</t>
  </si>
  <si>
    <t>7. Izglītības un zinātnes ministrijai sagatavot un iesniegt izskatīšanai Ministru kabineta sēdē papildu izglītības nozares projektus 7 291 160 EUR apmērā, kas atbilst šajā ziņojumā izvirzītajiem augstas gatavības projektu nosacījumiem.</t>
  </si>
  <si>
    <t>MK 18.03.2022 sēdes prot. Nr. 28.,42.paragr.   https://tap.mk.gov.lv/mk/mksedes/saraksts/protokols/?protokols=2021-03-18</t>
  </si>
  <si>
    <t>piešķirt Kultūras ministrijai 3 002 519 euro pārskaitīšanai akciju sabiedrībai "Attīstības finanšu institūcija Altum",</t>
  </si>
  <si>
    <t>Lai nodrošinātu atbalsta piešķiršanu komersantiem, kuri organizē pastāvīgus publiskus pasākumus, izklaides un atpūtas pasāķumus, mazinātu Covid -19 krīzes radīto negatīvo seku ietekmi uz mākslas , izklaides un atpūtas nozari</t>
  </si>
  <si>
    <t>Ministru kabineta rīkojums Nr. 58
Rīgā 2022. gada 1. februārī (prot. Nr. 5 52. §)
Par finanšu līdzekļu piešķiršanu no valsts budžeta programmas "Līdzekļi neparedzētiem gadījumiem"</t>
  </si>
  <si>
    <t>piešķirt Veselības ministrijai finansējumu 8 339 082 euro apmērā, lai segtu izdevumus saistībā ar Covid-19 testēšanas politikas mērķu sasniegšanu, veicinot Covid-19 testēšanas jaudas palielināšanu un ņemot vērā laboratoriju kopējo testēšanas kapacitāti, tai skaitā:</t>
  </si>
  <si>
    <t>Ministru kabineta rīkojums Nr. 228
Rīgā 2022. gada 29. martā (prot. Nr. 18 46. §)
Par finanšu līdzekļu piešķiršanu no valsts budžeta programmas "Līdzekļi neparedzētiem gadījumiem"</t>
  </si>
  <si>
    <t xml:space="preserve">izdevumus saistībā ar Covid-19 testēšanas politikas mērķu sasniegšanu, </t>
  </si>
  <si>
    <t>Ministru kabineta rīkojums Nr. 588
Rīgā 2021. gada 23. augustā (prot. Nr. 56 62. §)
Par akciju sabiedrības "Air Baltic Corporation" pamatkapitāla palielināšanu</t>
  </si>
  <si>
    <t xml:space="preserve">23.08.2021
23.05.2022 </t>
  </si>
  <si>
    <r>
      <t xml:space="preserve">Palielināt Satiksmes ministrijai apropriāciju 45 000 000 euro apmērā budžeta programmā 48.00.00 “AS “Air Baltic Corporation” pamatkapitāla palielināšana” resursiem no dotācijas no vispārējiem ieņēmumiem un paredzēt apropriāciju kategorijā “Akcijas un cita līdzdalība pašu kapitālā” akciju sabiedrības “Air Baltic Corporation” (turpmāk – sabiedrība) pamatkapitāla palielināšanai, lai kompensētu zaudējumus, kas radušies saistībā ar Covid-19 izplatību, un nodrošinātu sabiedrības likviditāti, kā arī veicinātu ekonomiskās krīzes pārvarēšanu un nozares stabilizēšanu. </t>
    </r>
    <r>
      <rPr>
        <b/>
        <sz val="11"/>
        <color rgb="FFFF0000"/>
        <rFont val="Calibri"/>
        <family val="2"/>
        <charset val="186"/>
        <scheme val="minor"/>
      </rPr>
      <t>(23.05. 2022 EK akceptēja 45 milj. 2022.gadam) FM rīkojums Nr.336 no 02.06.2022</t>
    </r>
  </si>
  <si>
    <t xml:space="preserve">lai kompensētu piemaksas un nodrošinātu atvaļinājuma rezerves uzkrājumu atbilstoši aprēķinātajai piemaksu summai laikposmā līdz 2021.gada 31.decembrim atbildīgo institūciju ārstniecības personām </t>
  </si>
  <si>
    <t>Ministru kabineta rīkojums Nr. 333
Rīgā 2022. gada 17. maijā (prot. Nr. 27 27. §)
Par finanšu līdzekļu piešķiršanu no valsts budžeta programmas "Līdzekļi neparedzētiem gadījumiem"</t>
  </si>
  <si>
    <t>piešķirt Veselības ministrijai finansējumu 31 968 716 euro apmērā, lai kompensētu piemaksas un nodrošinātu atvaļinājuma rezerves uzkrājumu atbilstoši aprēķinātajai piemaksu summai laikposmā līdz 2021. gada 31. decembrim atbildīgo institūciju ārstniecības personām un citiem nodarbinātajiem par darbu paaugstināta riska un slodzes apstākļos sabiedrības veselības apdraudējuma situācijā saistībā ar Covid-19 uzliesmojumu un seku novēršanu, no tiem:</t>
  </si>
  <si>
    <t>Ministru kabineta rīkojums Nr. 346
Rīgā 2022. gada 24. maijā (prot. Nr. 28 11. §)
Par finanšu līdzekļu piešķiršanu no valsts budžeta programmas "Līdzekļi neparedzētiem gadījumiem"</t>
  </si>
  <si>
    <t>Piešķirt Finanšu ministrijai (Valsts ieņēmumu dienestam) no valsts budžeta programmas 02.00.00 "Līdzekļi neparedzētiem gadījumiem" finansējumu 413 294 euro apmērā, tai skaitā:</t>
  </si>
  <si>
    <t>Ministru kabineta rīkojums Nr. 355
Rīgā 2022. gada 24. maijā (prot. Nr. 28 34. §)
Par finanšu līdzekļu piešķiršanu no valsts budžeta programmas "Līdzekļi neparedzētiem gadījumiem"</t>
  </si>
  <si>
    <t>piešķirt Iekšlietu ministrijai finansējumu 881 843 euro apmērā, no tiem:</t>
  </si>
  <si>
    <t>Ministru kabineta rīkojums Nr. 349
Rīgā 2022. gada 24. maijā (prot. Nr. 28 22. §)
Par finanšu līdzekļu piešķiršanu no valsts budžeta programmas "Līdzekļi neparedzētiem gadījumiem"</t>
  </si>
  <si>
    <t>Ministru kabineta rīkojums Nr. 422
Rīgā 2022. gada 15. jūnijā (prot. Nr. 32 14. §)
Par finanšu līdzekļu piešķiršanu no valsts budžeta programmas "Līdzekļi neparedzētiem gadījumiem"</t>
  </si>
  <si>
    <t xml:space="preserve">piešķirt Iekšlietu ministrijai (Nodrošinājuma valsts aģentūrai) finansējumu  1 790 753  euro apmērā, lai augstas gatavības projektos, kas saistīti ar  Covid-19 krīzes  pārvarēšanu un ekonomikas atlabšanu (jaunu ugunsdzēsības depo būvniecība Aizputē, Dagdā, Iecavā, Ilūkstē, Kandavā, Priekulē, Rūjienā un Saulkrastos), segtu būvniecības izmaksu sadārdzinājumu, kas radies saistībā ar Krievijas militāro agresiju pret Ukrainu. </t>
  </si>
  <si>
    <t>Ministru kabineta rīkojums Nr. 291
Rīgā 2022. gada 26. aprīlī (prot. Nr. 23 11. §)
Par finanšu līdzekļu piešķiršanu no valsts budžeta programmas "Līdzekļi neparedzētiem gadījumiem"</t>
  </si>
  <si>
    <r>
      <t xml:space="preserve">piešķirt Veselības ministrijai finansējumu 6 696 934 euro apmērā, lai kompensētu atbildīgajām institūcijām samaksu par ārstniecības personu un pārējo nodarbināto virsstundu darbu, kas saistīts ar Covid-19 jautājumu risināšanu un seku novēršanu, tai skaitā:1.1. Nacionālajam veselības dienestam – 6 026 931 euro, lai nodrošinātu samaksu ārstniecības iestādēm (5 760 352 euro) par 2021. gadu un samaksu Nacionālā veselības dienesta darbiniekiem (266 579 euro) par laikposmu </t>
    </r>
    <r>
      <rPr>
        <b/>
        <sz val="11"/>
        <rFont val="Calibri"/>
        <family val="2"/>
        <charset val="186"/>
        <scheme val="minor"/>
      </rPr>
      <t>no 2021. gada 1. decembra līdz 2022. gada 30. aprīlim;</t>
    </r>
  </si>
  <si>
    <t>lai kompensētu atbildīgajām institūcijām samaksu par ārstniecības personu un pārējo nodarbināto virsstundu darbu, kas saistīts ar Covid-19 jautājumu risināšanu un seku novēršanu par laikposmu no 2021. gada 1. decembra līdz 2022. gada 30. aprīlim;</t>
  </si>
  <si>
    <t>Ministru kabineta rīkojums Nr. 389
Rīgā 2022. gada 31. maijā (prot. Nr. 29 34. §)
Par finanšu līdzekļu piešķiršanu no valsts budžeta programmas "Līdzekļi neparedzētiem gadījumiem"</t>
  </si>
  <si>
    <t xml:space="preserve"> lai segtu faktiskos  izdevumus par 2022.gada pirmo ceturksni, kas radušies saistībā ar COVID – 19 infekcijas uzliesmojumu un seku novēršanu, tai skaitā:</t>
  </si>
  <si>
    <r>
      <t xml:space="preserve">Piešķirt Veselības ministrijai (Nacionālajam veselības dienestam) finansējumu 35 854 661 euro apmērā, </t>
    </r>
    <r>
      <rPr>
        <b/>
        <sz val="11"/>
        <rFont val="Calibri"/>
        <family val="2"/>
        <charset val="186"/>
        <scheme val="minor"/>
      </rPr>
      <t>lai segtu faktiskos  izdevumus par 2022.gada pirmo ceturksni,</t>
    </r>
    <r>
      <rPr>
        <sz val="11"/>
        <rFont val="Calibri"/>
        <family val="2"/>
        <charset val="186"/>
        <scheme val="minor"/>
      </rPr>
      <t xml:space="preserve"> kas radušies saistībā ar COVID – 19 infekcijas uzliesmojumu un seku novēršanu, tai skaitā:</t>
    </r>
  </si>
  <si>
    <t>Ministru kabineta rīkojums Nr. 518
Rīgā 2022. gada 14. jūlijā (prot. Nr. 36 57. §)
Par finanšu līdzekļu piešķiršanu no valsts budžeta programmas "Līdzekļi neparedzētiem gadījumiem"</t>
  </si>
  <si>
    <t>Piešķirt Veselības ministrijai finansējumu 12 175 806 euro apmērā, lai segtu faktiskos izdevumus, kas radušies saistībā ar COVID-19 infekcijas uzliesmojumu un seku novēršanu 2022.gada aprīlī, no tiem:</t>
  </si>
  <si>
    <r>
      <t>Piešķirt Veselības ministrijai finansējumu 12 175 806 euro apmērā, lai segtu faktiskos izdevumus, kas radušies saistībā ar COVID-19 infekcijas uzliesmojumu un seku novēršan</t>
    </r>
    <r>
      <rPr>
        <b/>
        <sz val="11"/>
        <rFont val="Calibri"/>
        <family val="2"/>
        <charset val="186"/>
        <scheme val="minor"/>
      </rPr>
      <t>u 2022.gada aprīlī</t>
    </r>
    <r>
      <rPr>
        <sz val="11"/>
        <rFont val="Calibri"/>
        <family val="2"/>
        <charset val="186"/>
        <scheme val="minor"/>
      </rPr>
      <t>, no tiem:</t>
    </r>
  </si>
  <si>
    <t>Investīcijas kultūras infrastruktūrā;</t>
  </si>
  <si>
    <t>Ministru kabineta rīkojums Nr. 533
Rīgā 2022. gada 20. jūlijā (prot. Nr. 36 77. §)
Par finanšu līdzekļu piešķiršanu no valsts budžeta programmas "Līdzekļi neparedzētiem gadījumiem"</t>
  </si>
  <si>
    <t>Piešķirt Vides aizsardzības un reģionālās attīstības ministrijai 27 150 000 euro pašvaldīibām augstas gatavības investīciju projektu īstenošanai 2021.gadā un 23,8 milj. euro 2022. gadā. IZPILDE no VARAM pārskatiem pēc MK not.Nr. 242</t>
  </si>
  <si>
    <t>piešķirt Zemkopības ministrijai finansējumu 217 426 euro apmērā, lai segtu Pārtikas un veterinārā dienesta izdevumus, kas saistīti ar atalgojuma izmaksu amatpersonām, kuras veic robežkontroles inspektora pienākumus sabiedrības veselības apdraudējuma situācijā saistībā ar Covid-19 uzliesmojumu. VIRSSTUNDAS UN PIEMAKSAS PVD</t>
  </si>
  <si>
    <t>22.02.2022
groz. 09.08.2022 (teksts)</t>
  </si>
  <si>
    <t>Pārtikas un veterinārā dienesta izdevumus, kas saistīti ar atalgojuma izmaksu amatpersonām, kuras veic robežkontroles inspektora pienākumus</t>
  </si>
  <si>
    <t>Ministru kabineta rīkojums Nr. 547
Rīgā 2022. gada 9. augustā (prot. Nr. 39 61. §)
Par finanšu līdzekļu piešķiršanu no valsts budžeta programmas "Līdzekļi neparedzētiem gadījumiem"</t>
  </si>
  <si>
    <t>programmas 12.00.00 "Finansējums veselības jomas pasākumiem Covid-19 infekcijas izplatības ierobežošanai" 3 682 307 euro apmērā uz šādām Veselības ministrijas (Nacionālā veselības dienesta) budžeta apakšprogrammām,  lai segtu izdevumus, kas radušies saistībā ar Covid-19 infekcijas uzliesmojumu un tā seku novēršanu:</t>
  </si>
  <si>
    <t>Ministru kabineta rīkojums Nr. 490
Rīgā 2022. gada 6. jūlijā (prot. Nr. 35 45. §)
Par finanšu līdzekļu apropriācijas pārdali no budžeta resora
"74. Gadskārtējā valsts budžeta izpildes procesā pārdalāmais finansējums" valsts budžeta programmas 12.00.00 "Finansējums veselības jomas pasākumiem Covid-19 infekcijas izplatības ierobežošanai"</t>
  </si>
  <si>
    <t>Vakcīnu iegādei, uzglabāšanai , loģistikai</t>
  </si>
  <si>
    <t>RAKUS pamatkapitāls</t>
  </si>
  <si>
    <t>Ministru kabineta rīkojums Nr. 186</t>
  </si>
  <si>
    <t>Atbalstīt sabiedrības ar ierobežotu atbildību "Rīgas Austrumu klīniskā universitātes slimnīca" pamatkapitāla palielināšanu, ieguldot tajā finanšu līdzekļus 627 470 euro apmērā, un valsts sabiedrības ar ierobežotu atbildību "Traumatoloģijas un ortopēdijas slimnīca" pamatkapitāla palielināšanu, ieguldot tajā finanšu līdzekļus 7 242 euro apmērā, skābekļa sistēmas pilnveidošanai.</t>
  </si>
  <si>
    <r>
      <t xml:space="preserve">Atbilstoši likumprojekta “Grozījums Covid-19 infekcijas izplatības seku pārvarēšanas likumā” anotācijai paredzēts piešķirt Labklājības ministrijai finansējumu, kas nepārsniedz 16 692 129 euro, lai nodrošinātu valsts mērķdotāciju pašvaldībām mājokļa pabalstam 2022.gadā. 
</t>
    </r>
    <r>
      <rPr>
        <sz val="11"/>
        <color rgb="FFFF0000"/>
        <rFont val="Calibri"/>
        <family val="2"/>
        <charset val="186"/>
        <scheme val="minor"/>
      </rPr>
      <t>SADALĪJUMS Ministru kabineta rīkojums Nr. 18
 2022. gada 11. janvārī (prot. Nr. 2 63. §)
Par finanšu līdzekļu piešķiršanu no valsts budžeta programmas "Līdzekļi neparedzētiem gadījumiem"</t>
    </r>
  </si>
  <si>
    <r>
      <t>Mk rīk.Nr. 994 https://likumi.lv/ta/id/328669
Likumprojekta izstrādes mērķis ir veicināt vakcinācijas procesu pret saslimšanu ar Covid-19, laikposmā no 2021.gada 1.novembra līdz 2022.gada 31.martam</t>
    </r>
    <r>
      <rPr>
        <b/>
        <sz val="11"/>
        <rFont val="Calibri"/>
        <family val="2"/>
        <charset val="186"/>
        <scheme val="minor"/>
      </rPr>
      <t xml:space="preserve"> izmaksājot pabalstu 20 euro mēnesī Latvijā dzīvojošai personai, kura līdz 2021.gada 31.decembrim ir sasniegusi 60 gadu vecumu un ir veikusi pilnu vakcinācijas kursu pret Covid-19 infekciju vai arī ir saņēmušas konsīlija atzinumu par nepieciešamību atlikt personas vakcināciju pret Covid-19 līdz 2022.gada 31.martam</t>
    </r>
    <r>
      <rPr>
        <sz val="11"/>
        <rFont val="Calibri"/>
        <family val="2"/>
        <scheme val="minor"/>
      </rPr>
      <t xml:space="preserve">.Līdz ar to papildus finansējums kopā: 48 504 240 + 21 236 (informācijas sistēmām) + 37 893 (VSAA virsstundām) = 48 563 369 euro (noapaļojot pilnos euro), no tā </t>
    </r>
    <r>
      <rPr>
        <b/>
        <sz val="11"/>
        <rFont val="Calibri"/>
        <family val="2"/>
        <charset val="186"/>
        <scheme val="minor"/>
      </rPr>
      <t>2021.gadā - 18 504 250 euro un 2022.gadā - 30 059 119 euro.</t>
    </r>
  </si>
  <si>
    <t xml:space="preserve">Piešķirt Veselības ministrijai finansējumu 6 797 970 euro apmērā, lai kompensētu atbildīgajām institūcijām samaksu par ārstniecības personu un pārējo nodarbināto virsstundu darbu, kas saistīts ar Covid-19 jautājumu risināšanu un seku novēršanu, tai skaitā. </t>
  </si>
  <si>
    <t>samaksu par ārstniecības personu un pārējo nodarbināto virsstundu darbu, kas saistīts ar Covid-19 jautājumu (pievienots tabulā pēc 09.09)</t>
  </si>
  <si>
    <t>Ministru kabineta rīkojums Nr. 595
Rīgā 2022. gada 7. septembrī (prot. Nr. 44 34. §)
Par finanšu līdzekļu piešķiršanu no valsts budžeta programmas "Līdzekļi neparedzētiem gadījumiem"</t>
  </si>
  <si>
    <t>Atbalsta apjoms, milj.eiro un % no IKP</t>
  </si>
  <si>
    <t>Ietekme uz budžeta bilanci, milj.eiro un % no IKP</t>
  </si>
  <si>
    <t>Energo</t>
  </si>
  <si>
    <t>Ukraina</t>
  </si>
  <si>
    <t>Atbalsts KOPĀ</t>
  </si>
  <si>
    <t>Atbalsta ietekme uz bilanci KOPĀ</t>
  </si>
  <si>
    <t>% no IKP</t>
  </si>
  <si>
    <r>
      <t xml:space="preserve">Valdības apstiprinātā atbalsta apjoms Covid-19 seku mazināšanai </t>
    </r>
    <r>
      <rPr>
        <b/>
        <vertAlign val="superscript"/>
        <sz val="14"/>
        <color theme="1"/>
        <rFont val="Times New Roman"/>
        <family val="1"/>
        <charset val="186"/>
      </rPr>
      <t>1</t>
    </r>
    <r>
      <rPr>
        <b/>
        <sz val="14"/>
        <color theme="1"/>
        <rFont val="Times New Roman"/>
        <family val="1"/>
        <charset val="186"/>
      </rPr>
      <t>, milj. eiro</t>
    </r>
  </si>
  <si>
    <t>Atbalsta saņēmēji</t>
  </si>
  <si>
    <t>Plāns uz 09.09.2022</t>
  </si>
  <si>
    <t>Operatīvā izpilde uz 31.08.2022</t>
  </si>
  <si>
    <t>Iekšzemes kopprodukts (Augusts, 2022)</t>
  </si>
  <si>
    <t>14,2 tūkst. termiņa pagarinājumu 3,7 tūkst. nodokļu maksātājiem</t>
  </si>
  <si>
    <t>5,3 tūkst. termiņa pagarinājumu 1,5 tūkst.  nodokļu maksātājiem</t>
  </si>
  <si>
    <t>pēc 44 lēmumiem 28 nodokļu maksātājiem piešķirti 112 termiņa pagarinājumi</t>
  </si>
  <si>
    <t>157,8 tūkst. atbalsti 66,5 tūkst. fiziskajām personām</t>
  </si>
  <si>
    <t>291,6 tūkst. atbalsti 76,3 tūkst. fiziskajām personām</t>
  </si>
  <si>
    <t>Eksporta progr. 260 komersanti, Tūrisma progr. 826 komersanti, VID programma 10,3 tūkst. atbalsti 10,2 tūkst. fiz.pers.</t>
  </si>
  <si>
    <t>113,3 tūkst. atbalsti 49,4 tūkst. fiziskajām personām</t>
  </si>
  <si>
    <t>22 931 atbalsts 12 836 fiziskajām personām</t>
  </si>
  <si>
    <t>Veikti 30 503 maksājumi</t>
  </si>
  <si>
    <t>Veikti 5 036 maksājumi</t>
  </si>
  <si>
    <t>Veikti 11 474 maksājumi</t>
  </si>
  <si>
    <t>Veikti 148 755  maksājumi. Daļa no spec.b. līdzekļiem</t>
  </si>
  <si>
    <t>160 291 maksājumi</t>
  </si>
  <si>
    <t>t.sk. pabalsts personām virs 60 gadiem (20 EUR piecu mēnešu periodā)</t>
  </si>
  <si>
    <t>Veikti 750 841 maksājumi</t>
  </si>
  <si>
    <t>1 187 842 maksājumi</t>
  </si>
  <si>
    <t xml:space="preserve">Veikti 375 918 maksājumi </t>
  </si>
  <si>
    <t>385 maksājumi</t>
  </si>
  <si>
    <t xml:space="preserve">Veikti  549 770 maksājumi </t>
  </si>
  <si>
    <t>85  maksājumi</t>
  </si>
  <si>
    <t>35 saņēmēji (196 darījumi)</t>
  </si>
  <si>
    <t>4 saņēmēji (13 darījumi)</t>
  </si>
  <si>
    <t>16 saņēmēji (34 darījumi)</t>
  </si>
  <si>
    <t>1 saņēmējs (1 darījums)</t>
  </si>
  <si>
    <t>513 saņēmēji (527 darījumi)</t>
  </si>
  <si>
    <t xml:space="preserve">
130 saņēmēji (133 darījumi)</t>
  </si>
  <si>
    <t>10 darījumi, 10 saņēmēji</t>
  </si>
  <si>
    <t>t.sk. Atbalsts lielajiem komersantiem garantiju veidā, t.sk. piesaistītais līdzfinansējums</t>
  </si>
  <si>
    <t>0 komersanti</t>
  </si>
  <si>
    <t>Instruments netiks īstenots, līdzekļi pārdalīti</t>
  </si>
  <si>
    <t>t.sk. Atbalsts lielajiem komersantiem aizdevumu un procentu likmju subsīdiju veidā, t.sk. piesaistītais līdzfinansējums</t>
  </si>
  <si>
    <t>5 komersanti (ALTUM 48,9% no 32,9 milj. eiro investīcijas)</t>
  </si>
  <si>
    <t>1 saņēmējs</t>
  </si>
  <si>
    <t>Atbilstoši Valsts kases datiem par izsniegtajām atļaujām</t>
  </si>
  <si>
    <r>
      <t>t.sk. Veselības nozarei</t>
    </r>
    <r>
      <rPr>
        <vertAlign val="superscript"/>
        <sz val="12"/>
        <color theme="1"/>
        <rFont val="Times New Roman"/>
        <family val="1"/>
        <charset val="186"/>
      </rPr>
      <t xml:space="preserve"> 2</t>
    </r>
  </si>
  <si>
    <t>Atbilstoši Valsts kases datiem</t>
  </si>
  <si>
    <t xml:space="preserve">Tai skaitā 165 milj. eiro izmaksāts piemaksām mediķiem </t>
  </si>
  <si>
    <t>Tai skaitā 126,5 milj. eiro ceļu būvniecībai</t>
  </si>
  <si>
    <t>5 atbalsti 5 granta pieteicējiem</t>
  </si>
  <si>
    <t>41,9 tūkst. atbalsti 11,4 tūkst. granta pieteicējiem</t>
  </si>
  <si>
    <t>6 924 atbalsti 4 194 granta pieteicējiem</t>
  </si>
  <si>
    <t>Tai skaitā 13,1  milj. eiro piemaksām pedagogiem</t>
  </si>
  <si>
    <r>
      <t>t.sk. ES fondu pārdales</t>
    </r>
    <r>
      <rPr>
        <vertAlign val="superscript"/>
        <sz val="12"/>
        <color theme="1"/>
        <rFont val="Times New Roman"/>
        <family val="1"/>
        <charset val="186"/>
      </rPr>
      <t>3</t>
    </r>
  </si>
  <si>
    <t>Kohēzijas politikas vadības informācijas sistēmas dati par veiktajiem maksājumiem projektu ieviesējiem</t>
  </si>
  <si>
    <t>Kohēzijas politikas vadības IS dati uz 20.12.2021 par veiktajiem maksājumiem projektu ieviesējiem (11 mēnešos)</t>
  </si>
  <si>
    <t>Nav plānots 2021.gadā</t>
  </si>
  <si>
    <t>Pārējāis atbalsts</t>
  </si>
  <si>
    <r>
      <t xml:space="preserve">2 </t>
    </r>
    <r>
      <rPr>
        <sz val="10"/>
        <color theme="1"/>
        <rFont val="Times New Roman"/>
        <family val="1"/>
        <charset val="186"/>
      </rPr>
      <t>Ieskaitot Aizsardzības ministrijas iepirkumus medic. aizsardzības līdzekļiem.</t>
    </r>
  </si>
  <si>
    <r>
      <rPr>
        <vertAlign val="superscript"/>
        <sz val="10"/>
        <color theme="1"/>
        <rFont val="Times New Roman"/>
        <family val="1"/>
        <charset val="186"/>
      </rPr>
      <t>3</t>
    </r>
    <r>
      <rPr>
        <sz val="10"/>
        <color theme="1"/>
        <rFont val="Times New Roman"/>
        <family val="1"/>
        <charset val="186"/>
      </rPr>
      <t xml:space="preserve"> Izpildes dati atbilstoši faktiskajiem maksājumiem no KPVIS (Informācijai: atbilstoši MK lēmumiem ES fondi tika pārstrukturēti 2020.gadā 499 milj. eiro apmērā un papildus virssaistības tika uzņemtas 199,4 milj. eiro apmērā). Izpildes dati tiek aktualizēti reizi mēnesī.</t>
    </r>
  </si>
  <si>
    <t>KOPĀ</t>
  </si>
  <si>
    <t>Centralizētās siltumapgādes pakalpojuma maksas kompensācija no 2022.gada 1.janvāra līdz 2022.gada 30.aprīlim</t>
  </si>
  <si>
    <t>Dabasgāzes tirdzniecības pakalpojuma maksas kompensācija no 2022.gada 1.janvāra līdz 2022.gada 30.aprīlim</t>
  </si>
  <si>
    <t>Obligātā iepirkuma komponentes maksas  kompensācija par periodu no 2022.gada 1.janvāra līdz 2022.gada 30.aprīlim</t>
  </si>
  <si>
    <t>Sociālie pabalsti KOPĀ</t>
  </si>
  <si>
    <t>Atbalsta izmaksa 20 eiro mēnesī senioriem un personām ar invaliditāti laikposmā no 2022.gada 1.janvāra līdz 2022.gada 30.aprīlim</t>
  </si>
  <si>
    <t>Atbalsta izmaksa 50 eiro mēnesī ģimenēm ar bērniem laikposmā no 2022.gada 1.janvāra līdz 2022.gada 30.aprīlim</t>
  </si>
  <si>
    <t>Atbalsta izmaksa 20 eiro mēnesī Aizsardzības ministrijas izdienas pensijas saņēmējiem, kuri nav sasnieguši vecuma pensijas piešķiršanai nepieciešamo vecumu un kuriem ir noteikta invaliditāte, laikposmā no 2022.gada 1.janvāra līdz 2022.gada 30.aprīlim</t>
  </si>
  <si>
    <t>IT sistēmu pielāgošana</t>
  </si>
  <si>
    <r>
      <t xml:space="preserve">Atbalsts senioriem, personām ar invaliditāti, apgādnieku zaudējušām personām ( 01.11.2022. līdz 30.05.2023 </t>
    </r>
    <r>
      <rPr>
        <u/>
        <sz val="16"/>
        <color theme="1"/>
        <rFont val="Times New Roman"/>
        <family val="1"/>
        <charset val="186"/>
      </rPr>
      <t>tik izmaksāti 10, 20 vai 30 eiro mēnesī</t>
    </r>
    <r>
      <rPr>
        <sz val="16"/>
        <color theme="1"/>
        <rFont val="Times New Roman"/>
        <family val="1"/>
        <charset val="186"/>
      </rPr>
      <t>, atkarībā no saņēmēja pensijas ienākuma apmēra)</t>
    </r>
  </si>
  <si>
    <t>Atbalsta izmaksa Aizsardzības ministrijas izdienas pensijas saņēmējiem (01.11.2022. līdz 30.05.2023 tik izmaksāti 10, 20 vai 30 eiro mēnesī, atkarībā no saņēmēja pensijas ienākuma apmēra)</t>
  </si>
  <si>
    <t xml:space="preserve">2022.g. </t>
  </si>
  <si>
    <t xml:space="preserve">2023.g. </t>
  </si>
  <si>
    <t>Iemaksas starptautiskajās organizācijās</t>
  </si>
  <si>
    <t>Total support, mln euro and % of GDP</t>
  </si>
  <si>
    <t>Impact on budgetary balance, mln euro and % of GDP</t>
  </si>
  <si>
    <t>Covid-19</t>
  </si>
  <si>
    <t>Ukraine</t>
  </si>
  <si>
    <t>GDP</t>
  </si>
  <si>
    <r>
      <t>Summary of Covid-19 crisis economic support measures and their fiscal impact</t>
    </r>
    <r>
      <rPr>
        <b/>
        <vertAlign val="superscript"/>
        <sz val="14"/>
        <color theme="1"/>
        <rFont val="Times New Roman"/>
        <family val="1"/>
        <charset val="186"/>
      </rPr>
      <t>*</t>
    </r>
    <r>
      <rPr>
        <b/>
        <sz val="14"/>
        <color theme="1"/>
        <rFont val="Times New Roman"/>
        <family val="1"/>
        <charset val="186"/>
      </rPr>
      <t>, mln euro</t>
    </r>
  </si>
  <si>
    <t>Total support</t>
  </si>
  <si>
    <t>I Support to the field of taxation, incl.</t>
  </si>
  <si>
    <t>II Aid in the field of benefits, incl.</t>
  </si>
  <si>
    <t>Downtime benefits for company employees, patent payers, self-employed</t>
  </si>
  <si>
    <t>Wage subsidies for part-time workers</t>
  </si>
  <si>
    <t>Payment of Covid sickness benefits from the 1st day</t>
  </si>
  <si>
    <t>Benefit for vaccinated seniors aged over 60</t>
  </si>
  <si>
    <t>III Aid in the field of loans and guarantees, incl.</t>
  </si>
  <si>
    <t>Loans with a capital discount for investment projects for entrepreneurs to promote competitiveness</t>
  </si>
  <si>
    <t>Increase of the local governments borrowing limit</t>
  </si>
  <si>
    <t>Support measures related to high energy costs, mln euro</t>
  </si>
  <si>
    <t>Execution*</t>
  </si>
  <si>
    <t>Electricity system service fee compensation in full for all end users from December 1, 2021 to April 30, 2022</t>
  </si>
  <si>
    <t>Reduction of the mandatory procurement component in 2022 to 7.55 euro per megawatt hour**</t>
  </si>
  <si>
    <t>Compensation of district heating service fee from January 1, 2022 to April 30, 2022</t>
  </si>
  <si>
    <t>Compensation of natural gas trade service fee from January 1, 2022 to April 30, 2022</t>
  </si>
  <si>
    <t>Compensation of the mandatory procurement component fee for the period from January 1, 2022 to April 30, 2022</t>
  </si>
  <si>
    <t>Compensation for increased firewood purchase costs for households (proof with bill / receipt)</t>
  </si>
  <si>
    <t>Compensation for the increase in the cost of pellets for households</t>
  </si>
  <si>
    <t>Compensation for the increase in the cost of briquettes for households</t>
  </si>
  <si>
    <t>Social Benefits, TOTAL</t>
  </si>
  <si>
    <t>Heating Season 2021/2022</t>
  </si>
  <si>
    <t>Payment of support 20 euro per month for seniors and persons with disabilities in the period from 1 January 2022 to 30 April 2022</t>
  </si>
  <si>
    <t>Payment of support 50 euro per month for families with children in the period from 1 January 2022 to 30 April 2022</t>
  </si>
  <si>
    <t>Payment of support 20 euro per month to recipients of a long-service pension of the Ministry of Defense who have not reached the age required for granting an old-age pension and who have been diagnosed with a disability in the period from 1 January 2022 to 30 April 2022</t>
  </si>
  <si>
    <t>Adaptation of IT systems</t>
  </si>
  <si>
    <t>Support for seniors, persons with disabilities, persons who have lost their breadwinners (from 01.11.2022 to 30.05.2023, benefit amount of 10, 20 or 30 euro per month, depending on the amount of the recipient's pension income)</t>
  </si>
  <si>
    <t>Payment of support to the recipients of a long-service pension of the Ministry of Defense who have not reached the age required for granting an old-age pension and who have been diagnosed with a disability (from 01.11.2022 to 30.05.2023 10, 20 or 30 euro per month, depending on the amount of the recipient's pension income)</t>
  </si>
  <si>
    <t>Costs related to Ukraine civilians, mln euro</t>
  </si>
  <si>
    <t>Payments to the international organizations</t>
  </si>
  <si>
    <t>For local governments, expenses for accommodation and food for refugees, education for children</t>
  </si>
  <si>
    <t>Other measures (incl. social benefits, funds for language training, health care related expenditure)</t>
  </si>
  <si>
    <t>Estimate</t>
  </si>
  <si>
    <t>Centralizētās siltumapgādes izmaksu kompensēšana mājsaimniecībām (papildus 90% apmērā tarifa pieaugumam virs 150 euro/MWh)</t>
  </si>
  <si>
    <t>Central heat compensation for households (90% over 150 euro/MWh)</t>
  </si>
  <si>
    <t>Firewood for which the receipt has not been saved, 60 euro allowance (purchased by August 31) for households</t>
  </si>
  <si>
    <t>Energy</t>
  </si>
  <si>
    <t>Kompensējošie pasākumi cenu pieauguma samazināšanai KOPĀ</t>
  </si>
  <si>
    <r>
      <t xml:space="preserve">* </t>
    </r>
    <r>
      <rPr>
        <sz val="10"/>
        <color theme="1"/>
        <rFont val="Times New Roman"/>
        <family val="1"/>
        <charset val="186"/>
      </rPr>
      <t>Assessment of the Ministry of Finance according to the Treasury data, information received from the State Revenue Service, ALTUM, Ministry of Agriculture</t>
    </r>
  </si>
  <si>
    <t>I Atbalsts nodokļu jomā, t.sk.</t>
  </si>
  <si>
    <t>Nodokļu samaksas termiņa pagarinājumi</t>
  </si>
  <si>
    <t>Iespēja nemaksāt IIN avansus</t>
  </si>
  <si>
    <t>II Atbalsts pabalstu jomā, t.sk.</t>
  </si>
  <si>
    <t>Dīkstāves pabalsti</t>
  </si>
  <si>
    <t>Slimības palīdzības pabalsts un piemaksa pie tā par bērnu</t>
  </si>
  <si>
    <t>Slimības pabalsts 1.-10.diena no valsts budžeta dēļ Covid-19</t>
  </si>
  <si>
    <t>Vienreizējs pabalsts (500 EUR) ģimenēm par katru bērnu</t>
  </si>
  <si>
    <t>Vienreizējs pabalsts (200 EUR) senioriem un cilvēkiem ar invaliditāti</t>
  </si>
  <si>
    <t>Pabalsts vakcinētām personām virs 60 gadiem (20 EUR piecu mēnešu periodā)</t>
  </si>
  <si>
    <t>III Atbalsts aizdevumu un garantiju jomā, t.sk.</t>
  </si>
  <si>
    <t>Kredītu garantijas, t.sk. piesaistītais līdzfinansējums</t>
  </si>
  <si>
    <t>Portfeļgarantijas, t.sk. piesaistītais līdzfinansējums</t>
  </si>
  <si>
    <t>Aizdevumi apgrozāmiem līdzekļiem, t.sk. piesaistītais līdzfinansējums</t>
  </si>
  <si>
    <t>Kapitāla fonds lielajiem komersantiem (ALTUM atbalsts no valsts budžeta finansējuma)</t>
  </si>
  <si>
    <t>IV Atbalsts nozarēm, t.sk.</t>
  </si>
  <si>
    <t>Satiksmes nozarei (t.sk. avio nozarei)</t>
  </si>
  <si>
    <t>Granti apgrozāmajiem līdzekļiem</t>
  </si>
  <si>
    <t>Izglītības un zinātnes nozarei (t.sk. sportam un attālinātajām mācībām)</t>
  </si>
  <si>
    <t>Augstas gatavības projekti (bez autoceļiem)</t>
  </si>
  <si>
    <t>2021./2022.gada apkures sezona, t.sk.</t>
  </si>
  <si>
    <t>Elektroenerģijas sistēmas pakalpojuma maksas kompensācija 50% (decembris 2021) apmērā un pilnā apmērā visiem galalietotājiem līdz 2022.gada 30.aprīlim</t>
  </si>
  <si>
    <t>Elektroenerģijas sistēmas pakalpojuma maksas samazinājums uzņēmumiem pilnā apmērā 2022.gada 1.oktobris līdz 2023.gada 30.aprīlis</t>
  </si>
  <si>
    <t>Elektroenerģijas izmaksu pieauguma kompensācija mājsaimniecībām no 2022.g. oktobra līdz 2023.g. aprīlim, kuras apkurei izmanto elektroenerģiju (ja tērē virs 500 KWh mēnesī, 50% virs 0,16 eiro par KWh, max 0,1 eiro par KWh)</t>
  </si>
  <si>
    <t>Dabasgāzes izmaksu pieauguma kompensācija mājsaimniecībām no 2022.gada 1.jūlija līdz 2023.gada 30.aprīlim (kompensējamā dabasgāzes cenas daļa - 30 euro/MWh)</t>
  </si>
  <si>
    <t>Centralizētās siltumenerģijas apgādes izmaksu pieauguma kompensācija mājsaimniecībām (50% virs 68 euro/MWh) no 2022.gada 1.oktobra līdz 2023.gada 30.aprīlim</t>
  </si>
  <si>
    <t>Malkas iegādes izmaksu pieauguma kompensācija mājsaimniecībām (ar čeku) ar iegādi no 2022.gada 1.maija līdz 2023.gada 30.aprīlim, (ja izmaksas pārsniedz 40 EUR/berkubikmetrā), bet ne vairāk kā 15 euro /berkubikmetrā apmērā</t>
  </si>
  <si>
    <t>Brikešu iegādes izmaksu pieauguma kompensācija mājsaimniecībām ar iegādi no 2022.gada 1.maija līdz 2023.gada 30.aprīlim (50% apmērā (ja izmaksas pārsniedz 300 eiro/tonnu), bet ne vairāk kā 100 eiro/tonnu apmērā)</t>
  </si>
  <si>
    <t>Granulu izmaksu pieauguma kompensācija mājsaimniecībām ar iegādi no 2022.gada 1.maija līdz 2023.gada 30.aprīlim (50% apmērā (ja izmaksas pārsniedz 300 eiro/tonnu), bet ne vairāk kā 100 eiro/tonnu apmērā)</t>
  </si>
  <si>
    <t>Malka par kuru nav saglabāts čeks, 60 eiro vienreizējs pabalsts (līdz 31.augustam iegāde notikusi) mājsaimniecībām</t>
  </si>
  <si>
    <t>Starpības kompensācija starp regulēto tarifu un tirgus cenu dabasgāzei mājsaimniecībām (noteikt dabasgāzes tirgus cenu mājsaimniecībām identisku regulētās dabasgāzes cenai: 108,7 eiro/MWh no 2022.gada 1.oktobra līdz 2023.gada 30.aprīlim)</t>
  </si>
  <si>
    <t>Juridisko lietotāju elektroenerģijas kompensācijas (kompensēt visiem juridiskajiem lietotājiem elektroenerģijas izmaksu pieaugumu 50% apmērā virs elektroenerģijas cenas 160 eiro/MWh laika periodā no 2022.gada 1.oktobra līdz 2023.gada 31.martam)</t>
  </si>
  <si>
    <t>A cost-cutting measures for end-users, TOTAL</t>
  </si>
  <si>
    <t>Electricity compensations for companies (50% over 160 euro/MWh) from October 2022 till March 2023</t>
  </si>
  <si>
    <t>Natural gas threshold for households (not more than 108,7 euro/MWh from October 2022 till April 2023)</t>
  </si>
  <si>
    <t>Electricity system service fee compensation in full for companies October 2022 till April 2023)</t>
  </si>
  <si>
    <t>Compensation for natural gas cost increases for households (30 euro/MWh)</t>
  </si>
  <si>
    <t>Compensation for the increase in heat costs for households (50% over 68 euro MWh)</t>
  </si>
  <si>
    <t>Elektroenerģijas cenas starpības kompensācija starp tirgus cenu un paredzamajiem cenas griestiem mājsaimniecībām (visām mājsaimniecībām elektroenerģijas patēriņa pirmo 100 kWh cenu par fiksētu maksu 160 eiro/MWh no 2022.gada 1.oktobra līdz 2023.gada 30.aprīlim)</t>
  </si>
  <si>
    <t>Electricity compensation for households (first 100 KWh for the price of 0,16 euro/KWh)</t>
  </si>
  <si>
    <t xml:space="preserve">Compensation for the increase in electricity costs for households using electricity for heating – 50% over 0,16 euro/KWh, max 0,10 euro/KWh support if uses more than 500 KWh per month </t>
  </si>
  <si>
    <t>Ministru kabineta rīkojums Nr. 682
Rīgā 2022. gada 5. oktobrī
Par finanšu līdzekļu piešķiršanu no valsts budžeta programmas "Līdzekļi neparedzētiem gadījumiem"</t>
  </si>
  <si>
    <t>Zāļu valsts aģentūra veiktu šādus maksājumus saistībā ar vakcīnas pret Covid-19 infekciju blakusparādību izraisīto smagu vai vidēji smagu kaitējumu pacienta veselībai vai dzīvībai</t>
  </si>
  <si>
    <t>Ministru kabineta rīkojums Nr. 678
Rīgā 2022. gada 5. oktobrī
Par finanšu līdzekļu piešķiršanu no valsts budžeta programmas "Līdzekļi neparedzētiem gadījumiem"</t>
  </si>
  <si>
    <t>lai segtu faktiskos izdevumus, kas radušies saistībā ar Covid-19 infekcijas uzliesmojumu un tā seku novēršanu</t>
  </si>
  <si>
    <t>Piešķirt Veselības ministrijai finansējumu 16 711 868 euro apmērā, lai segtu faktiskos izdevumus, kas radušies saistībā ar Covid-19 infekcijas uzliesmojumu un tā seku novēršanu, no tiem:
	1.1. 9 703 448 euro apmērā, lai segtu faktiskos izdevumus, kas radušies saistībā ar Covid-19 infekcijas uzliesmojumu un tā seku novēršanu 2022. gada maijā, tai skaitā:
	1.1.1. Nacionālajam veselības dienestam – 9 611 456 euro, no tiem:
	1.1.1.1. 2 233 079 euro – laboratorisko izmeklējumu organizēšanai, veikšanai un paraugu nogādāšanai līdz laboratorijai;
	1.1.1.2. 15 967 euro – pacientu nogādāšanai no stacionārās ārstniecības iestādes uz mājām, pulsa oksimetra nomai un ceļa izdevumiem par pulsa oksimetra piegādi;
	1.1.1.3. 4 451 533 euro – pacientu veselības stāvokļa novērošanai uzņemšanas nodaļā, ārstēšanai intensīvās terapijas gultā vai nodaļā, diagnostikai un ārstēšanai, subakūtajai medicīniskajai rehabilitācijai, tai skaitā izmaksu korekcijai par pacientu nodrošināšanu ar subakūto medicīnisko rehabilitāciju no 2022. gada 1. janvāra līdz 31. martam;
	1.1.1.4. 200 633 euro – ģimenes ārstu mājas vizītēm un ģimenes ārstu attālināti sniegtajām konsultācijām;
	1.1.1.5. 2 542 297 euro – individuālo aizsardzības līdzekļu un dezinfekcijas līdzekļu izmantošanai pakalpojumu sniegšanā, samaksai par epidemioloģisko prasību nodrošināšanu saskaņā ar manipulāciju sarakstu vai ikmēneša fiksēto maksājumu, tai skaitā izmaksu korekcijai par individuālo aizsardzības līdzekļu un dezinfekcijas līdzekļu izmantošanu pakalpojumu sniegšanā no 2022. gada 1. janvāra līdz 30. aprīlim;
	1.1.1.6. 11 393 euro – sekundārajiem ambulatorajiem veselības aprūpes pakalpojumiem personām ar aktīvu apstiprinātu Covid-19 infekciju, epidemioloģiskās drošības pasākumiem Covid-19 infekcijas izplatības ierobežošanai kontaktpersonas (kas par tādu noteikta atbilstoši normatīvajiem aktiem) medicīniskās novērošanas periodā un riska maksājumam sekundārās ambulatorās veselības aprūpes speciālistiem;
	1.1.1.7. 156 554 euro – ārstniecības iestādes personāla psihoemocionālā atbalsta nodrošināšanai un konsultatīvā tālruņa darbības nodrošināšanai, lai pusaudžiem sniegtu psihoemocionālo atbalstu;
	1.1.2. Neatliekamās medicīniskās palīdzības dienestam – 91 992 euro, no tiem:
	1.1.2.1. 91 953 euro – individuālo aizsardzības līdzekļu un dezinfekcijas līdzekļu izmantošanai pakalpojumu sniegšanā;
	1.1.2.2. 39 euro – ārstniecības iestādes personāla psihoemocionālā atbalsta nodrošināšanai;
	1.2. 7 008 420 euro apmērā, lai segtu faktiskos izdevumus, kas radušies saistībā ar Covid-19 infekcijas uzliesmojumu un tā seku novēršanu, tai skaitā:
	1.2.1. Nacionālajam veselības dienestam – 6 988 486 euro, lai segtu izdevumus, kas radušies 2022. gada jūnijā, no tiem:
	1.2.1.1. 1 833 181 euro – laboratorisko izmeklējumu organizēšanai, veikšanai un paraugu nogādāšanai līdz laboratorijai, tai skaitā izmaksu korekcijai par laboratorisko izmeklējumu organizēšanu no 2022. gada 1. janvāra līdz 31. maijam;
	1.2.1.2. 6109 euro – pacientu nogādāšanai no stacionārās ārstniecības iestādes uz mājām, pulsa oksimetra nomai un ceļa izdevumiem par pulsa oksimetra piegādi;
	1.2.1.3. 3 886 558 euro – pacientu veselības stāvokļa novērošanai uzņemšanas nodaļā, ārstēšanai intensīvās terapijas gultā vai nodaļā, diagnostikai un ārstēšanai, subakūtajai medicīniskajai rehabilitācijai, tai skaitā izmaksu korekcijai par pacientu nodrošināšanu ar subakūto medicīnisko rehabilitāciju no 2022. gada 1. janvāra līdz 30. aprīlim;
	1.2.1.4. 134 385 euro – ģimenes ārstu mājas vizītēm un ģimenes ārstu attālināti sniegtajām konsultācijām;
	1.2.1.5. 971 926 euro – individuālo aizsardzības līdzekļu un dezinfekcijas līdzekļu izmantošanai pakalpojumu sniegšanā, samaksai par epidemioloģisko prasību nodrošināšanu saskaņā ar manipulāciju sarakstu vai ikmēneša fiksēto maksājumu, tai skaitā izmaksu korekcijai par individuālo aizsardzības līdzekļu un dezinfekcijas līdzekļu izmantošanu pakalpojumu sniegšanā no 2022. gada 1. janvāra līdz 31. martam un no 2022. gada 1. maija līdz 31. maijam;
	1.2.1.6. 565 euro – sekundārajiem ambulatorajiem veselības aprūpes pakalpojumiem personām ar aktīvu apstiprinātu Covid-19 infekciju, epidemioloģiskās drošības pasākumiem Covid-19 infekcijas izplatības ierobežošanai kontaktpersonas (kas par tādu noteikta atbilstoši normatīvajiem aktiem) medicīniskās novērošanas periodā un riska maksājumam sekundārās ambulatorās veselības aprūpes speciālistiem;
	1.2.1.7. 155 762 euro – ārstniecības iestādes personāla psihoemocionālā atbalsta nodrošināšanai un konsultatīvā tālruņa darbības nodrošināšanai, lai pusaudžiem sniegtu psihoemocionālo atbalstu;
	1.2.2. Neatliekamās medicīniskās palīdzības dienestam – 19 393 euro, lai segtu izdevumus, kas radušies 2022. gada jūnijā, no tiem:
	1.2.2.1. 12 672 euro – individuālo aizsardzības līdzekļu un dezinfekcijas līdzekļu izmantošanai pakalpojumu sniegšanā;
	1.2.2.2. 6721 euro – ārstniecības iestādes personāla psihoemocionālā atbalsta nodrošināšanai;
	1.2.3. Valsts tiesu medicīnas ekspertīzes centram – 541 euro, lai segtu izdevumus par laboratorisko izmeklējumu veikšanu no 2022. gada 1. janvāra līdz 31. martam.</t>
  </si>
  <si>
    <t>Piešķirt Veselības ministrijai finansējumu 152 290 euro apmērā, lai Zāļu valsts aģentūra veiktu izmaksas saistībā ar vakcīnas pret Covid-19 infekciju blakusparādību izraisīto smagu vai vidēji smagu kaitējumu pacienta veselībai vai dzīvībai, tai skaitā:
1. finansējumu 142 290 euro apmērā – saskaņā ar 2022.gada 7.septembra lēmumu Nr.1-56/254;
2. finansējumu 10 000 euro apmērā – saskaņā ar 2022.gada 7.septembra lēmumu Nr.1-56/255.</t>
  </si>
  <si>
    <t>20.07.2022 13.10.2022</t>
  </si>
  <si>
    <t>1.
Izteikt 1. punktu šādā redakcijā:
"1. Finanšu ministrijai no valsts budžeta programmas 02.00.00 "Līdzekļi neparedzētiem gadījumiem" piešķirt Kultūras ministrijai 1 494 399 euro, tai skaitā:
1.1. 505 139 euro pārskaitīšanai valsts sabiedrībai ar ierobežotu atbildību "Rīgas cirks", lai Covid-19 krīzes seku pārvarēšanas un ekonomikas atlabšanas pasākumu ietvaros veiktu investīcijas kultūras infrastruktūrā un nodrošinātu Rīgas cirka vēsturiskās ēkas Merķeļa ielā 4, Rīgā, pārbūvi;
1.2. 640 000 euro pārskaitīšanai valsts akciju sabiedrībai "Valsts nekustamie īpašumi" Valmieras drāmas teātra ēkas Lāčplēša ielā 4, Valmierā, pārbūvei;
1.3. 349 260 euro pārskaitīšanai valsts sabiedrībai ar ierobežotu atbildību "Valmieras drāmas teātris" teātra turpmākās darbības nodrošināšanai ārpus pastāvīgajām darba telpām."</t>
  </si>
  <si>
    <t>Ministru kabineta rīkojums Nr. 767
Par finanšu līdzekļu piešķiršanu no valsts budžeta programmas "Līdzekļi neparedzētiem gadījumiem"</t>
  </si>
  <si>
    <t>Finanšu ministrijai no valsts budžeta programmas 02.00.00 "Līdzekļi neparedzētiem gadījumiem" piešķirt Kultūras ministrijai pārskaitīšanai valsts akciju sabiedrībai "Valsts nekustamie īpašumi" 15 592 euro, lai Covid-19 krīzes seku pārvarēšanas un ekonomikas atlabšanas pasākumu ietvaros veiktu investīcijas kultūras infrastruktūrā un nodrošinātu projekta "Energoefektivitātes paaugstināšana Latvijas Leļļu teātra ēkā Krišjāņa Barona ielā 16/18, Rīgā" īstenošanu (audiovizuālās vadības sistēmas izbūvi).</t>
  </si>
  <si>
    <t>Ministru kabineta rīkojums Nr. 664
Par finanšu līdzekļu piešķiršanu no valsts budžeta programmas "Līdzekļi neparedzētiem gadījumiem"</t>
  </si>
  <si>
    <t>lai segtu izdevumus saistībā ar skābekļa pievades vai izveides sistēmu uzlabošanu un operatīvā datu paneļa izstrādi (aizstāts ar SAIRIS sistēmas pilnveidošanu) no 2021. gada janvāra līdz 2022. gada augustam</t>
  </si>
  <si>
    <t>Piešķirt Veselības ministrijai (Nacionālajam veselības dienestam) finansējumu 162 032 euro apmērā, lai segtu izdevumus saistībā ar skābekļa pievades vai izveides sistēmu uzlabošanu un operatīvā datu paneļa izstrādi (aizstāts ar SAIRIS sistēmas pilnveidošanu) no 2021. gada janvāra līdz 2022. gada augustam, tai skaitā:
1. sabiedrībai ar ierobežotu atbildību "Liepājas reģionālā slimnīca" 19 866 euro, lai segtu izdevumus, kas radušies par skābekļa pievades vai izveides sistēmu uzlabošanu;
2. sabiedrībai ar ierobežotu atbildību "Daugavpils reģionālā slimnīca" 29 685 euro, lai segtu izdevumus, kas radušies par skābekļa pievades vai izveides sistēmu uzlabošanu;
3. Nacionālajam veselības dienestam 112 481 euro, lai segtu izdevumus, kas radušies par operatīvā datu paneļa izstrādi (aizstāts ar SAIRIS sistēmas pilnveidošanu).</t>
  </si>
  <si>
    <t>2022./2023.gada apkures sezona, t.sk.</t>
  </si>
  <si>
    <t>2022/2023.gada apkures sezona, t.sk.</t>
  </si>
  <si>
    <t>V ES fondu finansējuma atbalsts*, t.sk.</t>
  </si>
  <si>
    <t>Atbalsts energoefektīvajiem uzņēmumiem</t>
  </si>
  <si>
    <t>*  Assessment of the Ministry of Finance, taking into account the operative data on costs provided by the Ministry of Economics and other institutions</t>
  </si>
  <si>
    <t>*** Financing for this purpose is 20.6 mln euro, incl. 6.5 mln euro as Covid-19 measure (see Table lines 30 and 32)</t>
  </si>
  <si>
    <t>**** Amendments in Law "On state pensions" Adopted by the Parliament on 14 July 2022</t>
  </si>
  <si>
    <t>Faster indexation of pensions (from August 2022) ****</t>
  </si>
  <si>
    <t>Heating Season 2022/2023</t>
  </si>
  <si>
    <t>Datu avots:  FM novērtējums, ņemot vērā Valsts kases, VID, Altum, VSAA, LIAA, ZM u.c. institūciju iesniegto informāciju.</t>
  </si>
  <si>
    <t>* No 2023.gada ES fondu finansējums Covid-19 atbalstā netiek iekļauts.</t>
  </si>
  <si>
    <t>Datu avots:  FM novērtējums, ņemot vērā Ekonomikas ministrijas, BVKB sniegtos operatīvos datus par izmaksām (atbalsta aizsargātajiem lietotājiem izmaksās norādīts finansējums, kas attiecināms uz attiecīgo atbalsta periodu, nevis izriet no Valsts kases pārskatiem par izmaksām), Labklājības ministrijas informāciju.</t>
  </si>
  <si>
    <t>Apstiprinātais atbalsts Covid-19 seku mazināšanai, milj. eiro</t>
  </si>
  <si>
    <t>Apstiprinātais atbalsts Ukrainas civiliedzīvotājiem, milj. eiro</t>
  </si>
  <si>
    <t>Prognoze uz DBP 11.10.2022</t>
  </si>
  <si>
    <t>Novērt.</t>
  </si>
  <si>
    <t>Prognoze uz Budget 15.12.2022</t>
  </si>
  <si>
    <t>Ministru kabineta rīkojums Nr. 819
Rīgā 2022. gada 15. novembrī (prot. Nr. 57 35. §)
Par finanšu līdzekļu piešķiršanu no valsts budžeta programmas "Līdzekļi neparedzētiem gadījumiem"</t>
  </si>
  <si>
    <t>Lai veiktu norēķinus par datu paneļa izstrādi (aizstāts ar SAIRIS sistēmas pilnveidošanu) no 2022. gada augusta līdz 2022. gada septembrim</t>
  </si>
  <si>
    <t>Ministru kabineta rīkojums Nr. 812
Rīgā 2022. gada 15. novembrī (prot. Nr. 57 22. §)
Par finanšu līdzekļu piešķiršanu no valsts budžeta programmas "Līdzekļi neparedzētiem gadījumiem"</t>
  </si>
  <si>
    <t>Lai 2022.gadā nodrošinātu faktiski apgūtā finansējuma apmaksu, kā arī veiktu norēķinus ar ārstniecības iestādēm par gultu izvēršanu un atbilstošu materiāltehnisko nodrošinājumu un slimnīcu infrastruktūras uzlabošanas darbiem 2022.gada septembrī kopā papildus ārstniecības iestādēm nepieciešami 306 087 euro.</t>
  </si>
  <si>
    <t>Ministru kabineta rīkojums Nr. 852
Rīgā 2022. gada 29. novembrī (prot. Nr. 61 18. §)
Par finanšu līdzekļu piešķiršanu no valsts budžeta programmas "Līdzekļi neparedzētiem gadījumiem"</t>
  </si>
  <si>
    <t>Piešķirt Veselības ministrijai (Nacionālajam veselības dienestam) finansējumu 40 320 euro apmērā, lai segtu izdevumus, kas radušies saistībā ar Covid-19 medikamenta Evusheld iegādi.</t>
  </si>
  <si>
    <t>Valsts budžeta mērķdotācija pašvaldībām mājokļa pabalsta nodrošināšanai - 50 procentu apmērā no faktiskajiem izdevumiem mājokļa pabalstam, kas radušies 2023.gadā</t>
  </si>
  <si>
    <t>Apstiprinātie energoatbalsta pasākumi, milj. eiro</t>
  </si>
  <si>
    <t>State budget grant to local governments for the provision of housing benefit - in the amount of 50 per cent of the actual expenses for housing benefit incurred in the period from 1 January 2022 to 31 December 2022***</t>
  </si>
  <si>
    <t>State budget grant to local governments for the provision of housing benefit - in the amount of 50 per cent of the actual expenses for housing benefit incurred in the year 2023</t>
  </si>
  <si>
    <t>Support for the energy efficient businesses</t>
  </si>
  <si>
    <t>11.05.2022 16.06.2022 14.07.2022 18.08.2022 21.09.2022 05.10.2022 06.12.2022</t>
  </si>
  <si>
    <t>Ministru kabineta rīkojums Nr. 325
Rīgā 2022. gada 11. maijā (Nr.429; Nr.535; Nr.555; Nr.643; Nr.685; Nr.879)</t>
  </si>
  <si>
    <t>Piešķirt Veselības ministrijai (Nacionālajam veselības dienestam) finansējumu</t>
  </si>
  <si>
    <t>Ministru kabineta rīkojums Nr. 915
Rīgā 2022. gada 13. decembrī
Par finanšu līdzekļu piešķiršanu no valsts budžeta programmas "Līdzekļi neparedzētiem gadījumiem"</t>
  </si>
  <si>
    <t>Ministru kabineta rīkojums Nr. 922
Rīgā 2022. gada 13. decembrī
Par finanšu līdzekļu piešķiršanu no valsts budžeta programmas "Līdzekļi neparedzētiem gadījumiem"</t>
  </si>
  <si>
    <t>Ministru kabineta rīkojums Nr. 955
Rīgā 2022. gada 13. decembrī
Par finanšu līdzekļu piešķiršanu no valsts budžeta programmas "Līdzekļi neparedzētiem gadījumiem"</t>
  </si>
  <si>
    <t>piešķirt Veselības ministrijai (Nacionālajam veselības dienestam) finansējumu 361 200 euro apmērā, lai segtu izdevumus, kas radušies saistībā ar medikamenta Paxlovid (Covid-19 ārstēšanai) iegādi.</t>
  </si>
  <si>
    <t>Veselības ministrijai (Nacionālajam veselības dienestam) finansējumu 107 049 euro apmērā samaksai ģimenes ārstu praksēm, kuras veic vakcināciju pret Covid-19, par tajās nodarbināto personu veselības veicināšanas un rehabilitācijas pasākumiem, kas īstenoti laikposmā no 2021. gada 1. oktobra līdz 2022. gada 31. augustam</t>
  </si>
  <si>
    <t>Ministru kabineta rīkojums Nr. 837
Rīgā 2022. gada 23. novembrī
Par finanšu līdzekļu piešķiršanu no valsts budžeta programmas "Līdzekļi neparedzētiem gadījumiem"</t>
  </si>
  <si>
    <t>** Impact on deficit. Execution data subject to change when data from Ministry of Economics will be received.</t>
  </si>
  <si>
    <t>Starpības kompensācija par patērēto dabasgāzi par cenu virs 0,07875 eiro par 1 kWh no 2022.gada 1.decembra līdz 2023. gada 30.aprīlim - maksas samazinājums rēķinos</t>
  </si>
  <si>
    <t>Prognoze uz SP 2023-2026</t>
  </si>
  <si>
    <t xml:space="preserve"> Ja apkurei izmanto sašķidrināto naftas gāzi </t>
  </si>
  <si>
    <t xml:space="preserve"> Ja apkurei izmanto dīzeļdegvielu</t>
  </si>
  <si>
    <t xml:space="preserve">Impact on Budget Balance </t>
  </si>
  <si>
    <t>Compensation of the difference for the consumed natural gas at a price above EUR 0.07875 per 1 kWh from 1 December 2022 to 30 April 2023 - reduction of the fee in invoices</t>
  </si>
  <si>
    <t xml:space="preserve"> If liquefied petroleum gas is used for heating</t>
  </si>
  <si>
    <t xml:space="preserve"> If diesel fuel is used for heating</t>
  </si>
  <si>
    <t xml:space="preserve">IKP (marts 2023)                 </t>
  </si>
  <si>
    <t>-</t>
  </si>
  <si>
    <t>Pašvaldībām bēgļu izmitināšanai un ēdināšanai, izglītības izdevumiem bērniem</t>
  </si>
  <si>
    <t>Increase of support for protected users by 10 euro in the period from 1 November 2021 to 31 December 2023</t>
  </si>
  <si>
    <t>Ministru kabineta rīkojumi Par apropriācijas pārdali no budžeta resora "74. Gadskārtējā valsts budžeta izpildes procesā pārdalāmais finansējums" valsts budžeta programmas 12.00.00 "Finansējums veselības jomas pasākumiem Covid-19 infekcijas izplatības ierobežošanai, u.c.</t>
  </si>
  <si>
    <t>Cits ar MK rīkojumu piešķirtais finansējums*</t>
  </si>
  <si>
    <t>*Izpildes dati - ar FM rīkojumu pārdalītais finansējums uz resora budžetu</t>
  </si>
  <si>
    <t>Prognoze uz Budget 2024</t>
  </si>
  <si>
    <t>20.04.2023 03.05.2023 06.07.2023</t>
  </si>
  <si>
    <t>Datu avots: Faktiskā izpilde atbilstoši Valsts kases u.c. institūciju sniegtajai informācijai. Plāns atbilstoši FM novērtējumam, ņemot vērā MK lēmumus līdz 26.09.2023.</t>
  </si>
  <si>
    <t>Novērtējums (oktobris 2023)</t>
  </si>
  <si>
    <t>Novērtējums (16.10.2023)</t>
  </si>
  <si>
    <t>Estimate (16th October)</t>
  </si>
  <si>
    <t>Support to compensate for the increase in electricity/distribution tariffs*****</t>
  </si>
  <si>
    <t>Other support (no measures yet)*****</t>
  </si>
  <si>
    <t>***** In 2023, EUR 30.5 million increase of distribution tariffs is compensated from the state budget and covered by Latvenergo dividends (with the impact of EUR 12 million on the balance sheet of the general government budget). In 2024, the financing for support to compensate for the increase in electricity tariffs will be covered from Latvenergo dividends (without impact on the balance sheet of the general government budget).</t>
  </si>
  <si>
    <t>Faktiskā izpilde 2023.gadā (uz 31.12.2023), milj. eiro</t>
  </si>
  <si>
    <t>Izpilde (31.12.2023)</t>
  </si>
  <si>
    <t>Operatīvā izpilde 
(31.12.2023)</t>
  </si>
  <si>
    <t>Actual performance</t>
  </si>
  <si>
    <t>Atbalsta aizsargātajiem lietotājiem paaugstināšana par 10 eiro laika posmā no 2021.gada 1.novembra līdz 2023.gada 31.decembrim</t>
  </si>
  <si>
    <t>Obligātā iepirkuma komponentes samazinājums 2022.gadā (līdz 7,55 eiro/MWh)*</t>
  </si>
  <si>
    <t>* Norādītais finansējums ir ietekme uz vispārējās valdības budžeta deficītu. Faktiskās izpildes dati var tikt precizēti, ņemot vērā no EM saņemto informāciju.</t>
  </si>
  <si>
    <t>Ātrāka vecuma pensiju indeksācija (no 2022.gada augusta)***</t>
  </si>
  <si>
    <t>Valsts budžeta mērķdotācija pašvaldībām mājokļa pabalsta nodrošināšanai - 50 procentu apmērā no faktiskajiem izdevumiem mājokļa pabalstam, kas radušies laikposmā no 2022.gada 1.janvāra līdz 2022.gada 31.decembrim**</t>
  </si>
  <si>
    <t>** Finansējums šim mērķim 2022.gadam kopumā ir 20,6 milj. eiro, t.sk. 6,5 milj. eiro paredzēts kā Covid-19 atbalsta pasākums.</t>
  </si>
  <si>
    <t>*** Grozījumi likumā "Par valsts pensijām" (pieņemti Saeimā 14.07.2022).</t>
  </si>
  <si>
    <t>**** 2023.gadā 30,5 milj. eiro sadales tarifu pieaugumu kompensē no valsts budžeta un sedz no Latvenergo dividendēm (ar 12 milj. eiro ietekmi uz vispārējās valdības budžeta bilanci). 2024.gadā finansējums atbalstam elektroenerģijas tarifu pieauguma kompensēšanai tiks segts no Latvenergo dividendēm (bez ietekmes uz vispārējās valdības budžeta bilanci).</t>
  </si>
  <si>
    <t>Cits atbalsts (nav iezīmēts)****</t>
  </si>
  <si>
    <t>Atbalstam elektroenerģijas/sadales tarifu pieauguma kompensēšanai****</t>
  </si>
  <si>
    <t>FM Tautsaimniecības analīzes departaments, 30.01.2024</t>
  </si>
  <si>
    <t>IKP (janvāris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</si>
</sst>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000"/>
    <numFmt numFmtId="167" formatCode="0.0%"/>
    <numFmt numFmtId="168" formatCode="0.0000"/>
    <numFmt numFmtId="169" formatCode="#,##0.0000000"/>
    <numFmt numFmtId="170" formatCode="0.000000"/>
    <numFmt numFmtId="171" formatCode="0.000"/>
    <numFmt numFmtId="172" formatCode="0.00000"/>
    <numFmt numFmtId="173" formatCode="#,##0.000"/>
  </numFmts>
  <fonts count="13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charset val="186"/>
      <scheme val="minor"/>
    </font>
    <font>
      <i/>
      <sz val="11"/>
      <color theme="1"/>
      <name val="Calibri"/>
      <family val="2"/>
      <charset val="186"/>
      <scheme val="minor"/>
    </font>
    <font>
      <b/>
      <sz val="11"/>
      <color rgb="FF002060"/>
      <name val="Calibri"/>
      <family val="2"/>
      <charset val="186"/>
      <scheme val="minor"/>
    </font>
    <font>
      <sz val="11"/>
      <name val="Calibri"/>
      <family val="2"/>
      <charset val="186"/>
      <scheme val="minor"/>
    </font>
    <font>
      <sz val="11"/>
      <name val="Calibri"/>
      <family val="2"/>
      <scheme val="minor"/>
    </font>
    <font>
      <b/>
      <sz val="14"/>
      <color rgb="FFC00000"/>
      <name val="Calibri"/>
      <family val="2"/>
      <charset val="186"/>
      <scheme val="minor"/>
    </font>
    <font>
      <b/>
      <sz val="14"/>
      <color theme="1"/>
      <name val="Calibri"/>
      <family val="2"/>
      <charset val="186"/>
      <scheme val="minor"/>
    </font>
    <font>
      <b/>
      <sz val="12"/>
      <color theme="1"/>
      <name val="Calibri"/>
      <family val="2"/>
      <charset val="186"/>
      <scheme val="minor"/>
    </font>
    <font>
      <sz val="11"/>
      <color theme="1"/>
      <name val="Calibri"/>
      <family val="2"/>
      <charset val="186"/>
      <scheme val="minor"/>
    </font>
    <font>
      <b/>
      <sz val="14"/>
      <color rgb="FFFF0000"/>
      <name val="Calibri"/>
      <family val="2"/>
      <charset val="186"/>
      <scheme val="minor"/>
    </font>
    <font>
      <u/>
      <sz val="11"/>
      <color theme="10"/>
      <name val="Calibri"/>
      <family val="2"/>
      <scheme val="minor"/>
    </font>
    <font>
      <b/>
      <sz val="14"/>
      <color rgb="FF002060"/>
      <name val="Calibri"/>
      <family val="2"/>
      <charset val="186"/>
      <scheme val="minor"/>
    </font>
    <font>
      <sz val="14"/>
      <color rgb="FF002060"/>
      <name val="Calibri"/>
      <family val="2"/>
      <charset val="186"/>
      <scheme val="minor"/>
    </font>
    <font>
      <b/>
      <sz val="12"/>
      <color rgb="FF002060"/>
      <name val="Calibri"/>
      <family val="2"/>
      <charset val="186"/>
      <scheme val="minor"/>
    </font>
    <font>
      <b/>
      <sz val="11"/>
      <name val="Calibri"/>
      <family val="2"/>
      <charset val="186"/>
      <scheme val="minor"/>
    </font>
    <font>
      <b/>
      <sz val="14"/>
      <name val="Calibri"/>
      <family val="2"/>
      <charset val="186"/>
      <scheme val="minor"/>
    </font>
    <font>
      <sz val="14"/>
      <name val="Calibri"/>
      <family val="2"/>
      <charset val="186"/>
      <scheme val="minor"/>
    </font>
    <font>
      <sz val="11"/>
      <color rgb="FF002060"/>
      <name val="Calibri"/>
      <family val="2"/>
      <charset val="186"/>
      <scheme val="minor"/>
    </font>
    <font>
      <sz val="12"/>
      <name val="Calibri"/>
      <family val="2"/>
      <charset val="186"/>
      <scheme val="minor"/>
    </font>
    <font>
      <b/>
      <sz val="11"/>
      <name val="Calibri"/>
      <family val="2"/>
      <scheme val="minor"/>
    </font>
    <font>
      <sz val="10"/>
      <color rgb="FF414142"/>
      <name val="Arial"/>
      <family val="2"/>
      <charset val="186"/>
    </font>
    <font>
      <sz val="11"/>
      <color theme="4" tint="-0.249977111117893"/>
      <name val="Calibri"/>
      <family val="2"/>
      <charset val="186"/>
      <scheme val="minor"/>
    </font>
    <font>
      <b/>
      <sz val="12"/>
      <name val="Calibri"/>
      <family val="2"/>
      <charset val="186"/>
      <scheme val="minor"/>
    </font>
    <font>
      <i/>
      <sz val="11"/>
      <name val="Calibri"/>
      <family val="2"/>
      <scheme val="minor"/>
    </font>
    <font>
      <sz val="10.5"/>
      <name val="Calibri"/>
      <family val="2"/>
      <scheme val="minor"/>
    </font>
    <font>
      <sz val="11"/>
      <color theme="1"/>
      <name val="Calibri"/>
      <family val="2"/>
      <scheme val="minor"/>
    </font>
    <font>
      <sz val="14"/>
      <color theme="1"/>
      <name val="Calibri"/>
      <family val="2"/>
      <charset val="186"/>
      <scheme val="minor"/>
    </font>
    <font>
      <u/>
      <sz val="11"/>
      <color theme="4" tint="-0.249977111117893"/>
      <name val="Calibri"/>
      <family val="2"/>
      <scheme val="minor"/>
    </font>
    <font>
      <u/>
      <sz val="11"/>
      <color rgb="FF0070C0"/>
      <name val="Calibri"/>
      <family val="2"/>
      <scheme val="minor"/>
    </font>
    <font>
      <sz val="11"/>
      <color rgb="FFFF0000"/>
      <name val="Calibri"/>
      <family val="2"/>
      <charset val="186"/>
      <scheme val="minor"/>
    </font>
    <font>
      <u/>
      <sz val="11"/>
      <color rgb="FFFF0000"/>
      <name val="Calibri"/>
      <family val="2"/>
      <charset val="186"/>
      <scheme val="minor"/>
    </font>
    <font>
      <b/>
      <sz val="11"/>
      <color rgb="FFFF0000"/>
      <name val="Calibri"/>
      <family val="2"/>
      <charset val="186"/>
      <scheme val="minor"/>
    </font>
    <font>
      <i/>
      <sz val="14"/>
      <color rgb="FFFF0000"/>
      <name val="Calibri"/>
      <family val="2"/>
      <charset val="186"/>
      <scheme val="minor"/>
    </font>
    <font>
      <u/>
      <sz val="11"/>
      <color rgb="FFFF0000"/>
      <name val="Calibri"/>
      <family val="2"/>
      <scheme val="minor"/>
    </font>
    <font>
      <sz val="9"/>
      <color indexed="81"/>
      <name val="Tahoma"/>
      <family val="2"/>
      <charset val="186"/>
    </font>
    <font>
      <b/>
      <sz val="9"/>
      <color indexed="81"/>
      <name val="Tahoma"/>
      <family val="2"/>
      <charset val="186"/>
    </font>
    <font>
      <sz val="11"/>
      <color indexed="8"/>
      <name val="Calibri"/>
      <family val="2"/>
      <charset val="186"/>
    </font>
    <font>
      <sz val="8"/>
      <name val="Calibri"/>
      <family val="2"/>
      <scheme val="minor"/>
    </font>
    <font>
      <b/>
      <sz val="11"/>
      <color theme="2" tint="-0.89999084444715716"/>
      <name val="Calibri"/>
      <family val="2"/>
      <charset val="186"/>
      <scheme val="minor"/>
    </font>
    <font>
      <b/>
      <sz val="11"/>
      <color theme="1"/>
      <name val="Calibri"/>
      <family val="2"/>
      <scheme val="minor"/>
    </font>
    <font>
      <b/>
      <sz val="11"/>
      <color theme="1" tint="4.9989318521683403E-2"/>
      <name val="Calibri"/>
      <family val="2"/>
      <charset val="186"/>
      <scheme val="minor"/>
    </font>
    <font>
      <sz val="11"/>
      <color rgb="FFFF0000"/>
      <name val="Calibri"/>
      <family val="2"/>
      <scheme val="minor"/>
    </font>
    <font>
      <u/>
      <sz val="11"/>
      <color theme="1"/>
      <name val="Calibri"/>
      <family val="2"/>
      <scheme val="minor"/>
    </font>
    <font>
      <sz val="10"/>
      <name val="Calibri"/>
      <family val="2"/>
      <charset val="186"/>
      <scheme val="minor"/>
    </font>
    <font>
      <b/>
      <sz val="11"/>
      <color theme="9" tint="-0.249977111117893"/>
      <name val="Calibri"/>
      <family val="2"/>
      <charset val="186"/>
      <scheme val="minor"/>
    </font>
    <font>
      <b/>
      <sz val="12"/>
      <name val="Calibri"/>
      <family val="2"/>
      <scheme val="minor"/>
    </font>
    <font>
      <b/>
      <sz val="14"/>
      <name val="Calibri"/>
      <family val="2"/>
      <scheme val="minor"/>
    </font>
    <font>
      <b/>
      <sz val="16"/>
      <name val="Calibri"/>
      <family val="2"/>
      <charset val="186"/>
      <scheme val="minor"/>
    </font>
    <font>
      <b/>
      <sz val="16"/>
      <color rgb="FFC00000"/>
      <name val="Calibri"/>
      <family val="2"/>
      <charset val="186"/>
      <scheme val="minor"/>
    </font>
    <font>
      <b/>
      <sz val="12"/>
      <color theme="1"/>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b/>
      <sz val="14"/>
      <color theme="1"/>
      <name val="Times New Roman"/>
      <family val="1"/>
      <charset val="186"/>
    </font>
    <font>
      <b/>
      <vertAlign val="superscript"/>
      <sz val="14"/>
      <color theme="1"/>
      <name val="Times New Roman"/>
      <family val="1"/>
      <charset val="186"/>
    </font>
    <font>
      <vertAlign val="superscript"/>
      <sz val="10"/>
      <color theme="1"/>
      <name val="Times New Roman"/>
      <family val="1"/>
      <charset val="186"/>
    </font>
    <font>
      <sz val="10"/>
      <color theme="1"/>
      <name val="Times New Roman"/>
      <family val="1"/>
      <charset val="186"/>
    </font>
    <font>
      <sz val="11"/>
      <color rgb="FFC00000"/>
      <name val="Calibri"/>
      <family val="2"/>
      <charset val="186"/>
      <scheme val="minor"/>
    </font>
    <font>
      <sz val="11"/>
      <color theme="1" tint="4.9989318521683403E-2"/>
      <name val="Calibri"/>
      <family val="2"/>
      <charset val="186"/>
      <scheme val="minor"/>
    </font>
    <font>
      <sz val="8"/>
      <name val="Calibri"/>
      <family val="2"/>
      <charset val="186"/>
      <scheme val="minor"/>
    </font>
    <font>
      <sz val="14"/>
      <color theme="1"/>
      <name val="Calibri"/>
      <family val="2"/>
      <scheme val="minor"/>
    </font>
    <font>
      <sz val="11"/>
      <color theme="0" tint="-0.249977111117893"/>
      <name val="Calibri"/>
      <family val="2"/>
      <scheme val="minor"/>
    </font>
    <font>
      <sz val="12"/>
      <color theme="1"/>
      <name val="Calibri"/>
      <family val="2"/>
      <charset val="186"/>
      <scheme val="minor"/>
    </font>
    <font>
      <sz val="11"/>
      <color theme="0" tint="-0.34998626667073579"/>
      <name val="Calibri"/>
      <family val="2"/>
      <scheme val="minor"/>
    </font>
    <font>
      <sz val="11"/>
      <name val="Times New Roman"/>
      <family val="1"/>
      <charset val="186"/>
    </font>
    <font>
      <sz val="11"/>
      <color theme="1"/>
      <name val="Times New Roman"/>
      <family val="1"/>
      <charset val="186"/>
    </font>
    <font>
      <vertAlign val="superscript"/>
      <sz val="12"/>
      <color theme="1"/>
      <name val="Times New Roman"/>
      <family val="1"/>
      <charset val="186"/>
    </font>
    <font>
      <b/>
      <i/>
      <sz val="12"/>
      <color theme="1"/>
      <name val="Times New Roman"/>
      <family val="1"/>
      <charset val="186"/>
    </font>
    <font>
      <b/>
      <sz val="20"/>
      <color theme="1"/>
      <name val="Times New Roman"/>
      <family val="1"/>
      <charset val="186"/>
    </font>
    <font>
      <b/>
      <sz val="22"/>
      <color theme="1"/>
      <name val="Times New Roman"/>
      <family val="1"/>
      <charset val="186"/>
    </font>
    <font>
      <b/>
      <sz val="16"/>
      <color theme="1"/>
      <name val="Times New Roman"/>
      <family val="1"/>
      <charset val="186"/>
    </font>
    <font>
      <sz val="16"/>
      <color theme="1"/>
      <name val="Times New Roman"/>
      <family val="1"/>
      <charset val="186"/>
    </font>
    <font>
      <sz val="16"/>
      <name val="Times New Roman"/>
      <family val="1"/>
      <charset val="186"/>
    </font>
    <font>
      <sz val="16"/>
      <color rgb="FF000000"/>
      <name val="Times New Roman"/>
      <family val="1"/>
      <charset val="186"/>
    </font>
    <font>
      <i/>
      <sz val="16"/>
      <color theme="1"/>
      <name val="Times New Roman"/>
      <family val="1"/>
      <charset val="186"/>
    </font>
    <font>
      <b/>
      <sz val="16"/>
      <color rgb="FF000000"/>
      <name val="Times New Roman"/>
      <family val="1"/>
      <charset val="186"/>
    </font>
    <font>
      <i/>
      <sz val="18"/>
      <color theme="1"/>
      <name val="Calibri"/>
      <family val="2"/>
      <charset val="186"/>
      <scheme val="minor"/>
    </font>
    <font>
      <strike/>
      <sz val="16"/>
      <color theme="1"/>
      <name val="Times New Roman"/>
      <family val="1"/>
      <charset val="186"/>
    </font>
    <font>
      <u/>
      <sz val="16"/>
      <color theme="1"/>
      <name val="Times New Roman"/>
      <family val="1"/>
      <charset val="186"/>
    </font>
    <font>
      <i/>
      <sz val="16"/>
      <name val="Times New Roman"/>
      <family val="1"/>
      <charset val="186"/>
    </font>
    <font>
      <sz val="11"/>
      <color theme="2" tint="-9.9978637043366805E-2"/>
      <name val="Times New Roman"/>
      <family val="1"/>
      <charset val="186"/>
    </font>
    <font>
      <sz val="12"/>
      <color theme="2" tint="-9.9978637043366805E-2"/>
      <name val="Times New Roman"/>
      <family val="1"/>
      <charset val="186"/>
    </font>
    <font>
      <b/>
      <sz val="9"/>
      <color theme="1"/>
      <name val="Calibri"/>
      <family val="2"/>
      <charset val="186"/>
      <scheme val="minor"/>
    </font>
    <font>
      <b/>
      <sz val="11"/>
      <color theme="1"/>
      <name val="Times New Roman"/>
      <family val="1"/>
      <charset val="186"/>
    </font>
    <font>
      <sz val="11"/>
      <color theme="1" tint="0.499984740745262"/>
      <name val="Times New Roman"/>
      <family val="1"/>
      <charset val="186"/>
    </font>
    <font>
      <sz val="11"/>
      <color theme="0" tint="-0.14999847407452621"/>
      <name val="Times New Roman"/>
      <family val="1"/>
      <charset val="186"/>
    </font>
    <font>
      <b/>
      <sz val="11"/>
      <color theme="1" tint="0.499984740745262"/>
      <name val="Times New Roman"/>
      <family val="1"/>
      <charset val="186"/>
    </font>
    <font>
      <i/>
      <sz val="11"/>
      <color theme="1" tint="0.499984740745262"/>
      <name val="Times New Roman"/>
      <family val="1"/>
      <charset val="186"/>
    </font>
    <font>
      <sz val="11"/>
      <color theme="0" tint="-0.34998626667073579"/>
      <name val="Times New Roman"/>
      <family val="1"/>
      <charset val="186"/>
    </font>
    <font>
      <b/>
      <i/>
      <sz val="12"/>
      <color theme="1"/>
      <name val="Calibri"/>
      <family val="2"/>
      <charset val="186"/>
      <scheme val="minor"/>
    </font>
    <font>
      <sz val="11"/>
      <color theme="0" tint="-0.14999847407452621"/>
      <name val="Calibri"/>
      <family val="2"/>
      <scheme val="minor"/>
    </font>
    <font>
      <sz val="10"/>
      <color theme="1"/>
      <name val="Calibri"/>
      <family val="2"/>
      <scheme val="minor"/>
    </font>
    <font>
      <sz val="8"/>
      <color theme="1"/>
      <name val="Times New Roman"/>
      <family val="1"/>
      <charset val="186"/>
    </font>
    <font>
      <b/>
      <sz val="18"/>
      <color theme="1"/>
      <name val="Calibri"/>
      <family val="2"/>
      <charset val="186"/>
      <scheme val="minor"/>
    </font>
    <font>
      <b/>
      <i/>
      <sz val="14"/>
      <color rgb="FFFF0000"/>
      <name val="Calibri"/>
      <family val="2"/>
      <charset val="186"/>
      <scheme val="minor"/>
    </font>
    <font>
      <i/>
      <sz val="11"/>
      <name val="Calibri"/>
      <family val="2"/>
      <charset val="186"/>
      <scheme val="minor"/>
    </font>
    <font>
      <i/>
      <sz val="11"/>
      <color rgb="FFFF0000"/>
      <name val="Calibri"/>
      <family val="2"/>
      <charset val="186"/>
      <scheme val="minor"/>
    </font>
    <font>
      <i/>
      <sz val="11"/>
      <color theme="0" tint="-0.14999847407452621"/>
      <name val="Calibri"/>
      <family val="2"/>
      <charset val="186"/>
      <scheme val="minor"/>
    </font>
    <font>
      <i/>
      <sz val="11"/>
      <color theme="0" tint="-0.249977111117893"/>
      <name val="Calibri"/>
      <family val="2"/>
      <charset val="186"/>
      <scheme val="minor"/>
    </font>
    <font>
      <i/>
      <sz val="11"/>
      <color theme="2"/>
      <name val="Calibri"/>
      <family val="2"/>
      <charset val="186"/>
      <scheme val="minor"/>
    </font>
    <font>
      <b/>
      <sz val="11"/>
      <color rgb="FF00B050"/>
      <name val="Calibri"/>
      <family val="2"/>
      <charset val="186"/>
      <scheme val="minor"/>
    </font>
    <font>
      <b/>
      <sz val="16"/>
      <name val="Times New Roman"/>
      <family val="1"/>
      <charset val="186"/>
    </font>
    <font>
      <i/>
      <sz val="8"/>
      <color theme="1"/>
      <name val="Times New Roman"/>
      <family val="1"/>
      <charset val="186"/>
    </font>
    <font>
      <sz val="12"/>
      <name val="Calibri"/>
      <family val="2"/>
      <scheme val="minor"/>
    </font>
    <font>
      <sz val="11"/>
      <color theme="2" tint="-0.249977111117893"/>
      <name val="Calibri"/>
      <family val="2"/>
      <scheme val="minor"/>
    </font>
  </fonts>
  <fills count="23">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rgb="FF00B0F0"/>
        <bgColor indexed="64"/>
      </patternFill>
    </fill>
    <fill>
      <patternFill patternType="solid">
        <fgColor indexed="65"/>
        <bgColor theme="0"/>
      </patternFill>
    </fill>
    <fill>
      <patternFill patternType="solid">
        <fgColor rgb="FFFFC000"/>
        <bgColor theme="0"/>
      </patternFill>
    </fill>
    <fill>
      <patternFill patternType="solid">
        <fgColor theme="4" tint="0.59999389629810485"/>
        <bgColor theme="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s>
  <cellStyleXfs count="6">
    <xf numFmtId="0" fontId="0" fillId="0" borderId="0"/>
    <xf numFmtId="0" fontId="42" fillId="0" borderId="0"/>
    <xf numFmtId="0" fontId="44" fillId="0" borderId="0" applyNumberFormat="0" applyFill="0" applyBorder="0" applyAlignment="0" applyProtection="0"/>
    <xf numFmtId="0" fontId="29" fillId="0" borderId="0"/>
    <xf numFmtId="9" fontId="59" fillId="0" borderId="0" applyFont="0" applyFill="0" applyBorder="0" applyAlignment="0" applyProtection="0"/>
    <xf numFmtId="0" fontId="70" fillId="0" borderId="0"/>
  </cellStyleXfs>
  <cellXfs count="1435">
    <xf numFmtId="0" fontId="0" fillId="0" borderId="0" xfId="0"/>
    <xf numFmtId="0" fontId="38" fillId="0" borderId="0" xfId="0" applyFont="1" applyAlignment="1">
      <alignment vertical="top"/>
    </xf>
    <xf numFmtId="0" fontId="0" fillId="0" borderId="0" xfId="0" applyAlignment="1">
      <alignment horizontal="center"/>
    </xf>
    <xf numFmtId="0" fontId="51" fillId="0" borderId="0" xfId="0" applyFont="1"/>
    <xf numFmtId="0" fontId="37" fillId="0" borderId="0" xfId="0" applyFont="1"/>
    <xf numFmtId="0" fontId="49" fillId="2" borderId="6" xfId="0" applyFont="1" applyFill="1" applyBorder="1" applyAlignment="1">
      <alignment vertical="top"/>
    </xf>
    <xf numFmtId="0" fontId="47" fillId="2" borderId="7" xfId="0" applyFont="1" applyFill="1" applyBorder="1" applyAlignment="1">
      <alignment vertical="top"/>
    </xf>
    <xf numFmtId="0" fontId="36" fillId="2" borderId="7" xfId="0" applyFont="1" applyFill="1" applyBorder="1" applyAlignment="1">
      <alignment vertical="top"/>
    </xf>
    <xf numFmtId="0" fontId="36" fillId="2" borderId="7" xfId="0" applyFont="1" applyFill="1" applyBorder="1" applyAlignment="1">
      <alignment vertical="top" wrapText="1"/>
    </xf>
    <xf numFmtId="164" fontId="45" fillId="2" borderId="1" xfId="0" applyNumberFormat="1" applyFont="1" applyFill="1" applyBorder="1" applyAlignment="1">
      <alignment horizontal="center" vertical="center" wrapText="1"/>
    </xf>
    <xf numFmtId="0" fontId="49" fillId="2" borderId="6" xfId="0" applyFont="1" applyFill="1" applyBorder="1" applyAlignment="1">
      <alignment vertical="center"/>
    </xf>
    <xf numFmtId="0" fontId="33" fillId="2" borderId="1" xfId="0" applyFont="1" applyFill="1" applyBorder="1" applyAlignment="1">
      <alignment vertical="center" wrapText="1"/>
    </xf>
    <xf numFmtId="0" fontId="47" fillId="2" borderId="7" xfId="0" applyFont="1" applyFill="1" applyBorder="1" applyAlignment="1">
      <alignment vertical="center" wrapText="1"/>
    </xf>
    <xf numFmtId="0" fontId="47" fillId="2" borderId="7" xfId="0" applyFont="1" applyFill="1" applyBorder="1" applyAlignment="1">
      <alignment vertical="center"/>
    </xf>
    <xf numFmtId="0" fontId="38" fillId="2" borderId="3" xfId="0" applyFont="1" applyFill="1" applyBorder="1" applyAlignment="1">
      <alignment vertical="center" wrapText="1"/>
    </xf>
    <xf numFmtId="0" fontId="36" fillId="2" borderId="3" xfId="0" applyFont="1" applyFill="1" applyBorder="1" applyAlignment="1">
      <alignment vertical="center" wrapText="1"/>
    </xf>
    <xf numFmtId="0" fontId="44" fillId="2" borderId="2" xfId="2" applyFill="1" applyBorder="1" applyAlignment="1">
      <alignment vertical="center" wrapText="1"/>
    </xf>
    <xf numFmtId="0" fontId="37" fillId="2" borderId="10" xfId="0" applyFont="1" applyFill="1" applyBorder="1" applyAlignment="1">
      <alignment vertical="center" wrapText="1"/>
    </xf>
    <xf numFmtId="0" fontId="36"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165" fontId="37" fillId="0" borderId="1" xfId="0" applyNumberFormat="1" applyFont="1" applyBorder="1" applyAlignment="1">
      <alignment horizontal="center" vertical="center" wrapText="1"/>
    </xf>
    <xf numFmtId="165" fontId="45" fillId="2" borderId="1" xfId="0" applyNumberFormat="1" applyFont="1" applyFill="1" applyBorder="1" applyAlignment="1">
      <alignment horizontal="center" vertical="center" wrapText="1"/>
    </xf>
    <xf numFmtId="0" fontId="54" fillId="0" borderId="0" xfId="0" applyFont="1" applyAlignment="1">
      <alignment vertical="center" wrapText="1"/>
    </xf>
    <xf numFmtId="165" fontId="0" fillId="0" borderId="0" xfId="0" applyNumberFormat="1" applyAlignment="1">
      <alignment horizontal="center"/>
    </xf>
    <xf numFmtId="166" fontId="0" fillId="0" borderId="0" xfId="0" applyNumberFormat="1" applyAlignment="1">
      <alignment horizontal="center"/>
    </xf>
    <xf numFmtId="167" fontId="47" fillId="2" borderId="1" xfId="4" applyNumberFormat="1" applyFont="1" applyFill="1" applyBorder="1" applyAlignment="1">
      <alignment horizontal="center" vertical="center"/>
    </xf>
    <xf numFmtId="167" fontId="45" fillId="2" borderId="1" xfId="4" applyNumberFormat="1" applyFont="1" applyFill="1" applyBorder="1" applyAlignment="1">
      <alignment horizontal="center" vertical="center" wrapText="1"/>
    </xf>
    <xf numFmtId="167" fontId="49" fillId="0" borderId="1" xfId="4" applyNumberFormat="1" applyFont="1" applyFill="1" applyBorder="1" applyAlignment="1">
      <alignment horizontal="center" vertical="center" wrapText="1"/>
    </xf>
    <xf numFmtId="4" fontId="37" fillId="0" borderId="1" xfId="0" applyNumberFormat="1" applyFont="1" applyBorder="1" applyAlignment="1">
      <alignment horizontal="right" vertical="center"/>
    </xf>
    <xf numFmtId="165" fontId="37" fillId="0" borderId="1" xfId="0" applyNumberFormat="1" applyFont="1" applyBorder="1" applyAlignment="1">
      <alignment horizontal="right" vertical="center"/>
    </xf>
    <xf numFmtId="14" fontId="35" fillId="5" borderId="0" xfId="0" applyNumberFormat="1" applyFont="1" applyFill="1"/>
    <xf numFmtId="0" fontId="0" fillId="5" borderId="0" xfId="0" applyFill="1"/>
    <xf numFmtId="0" fontId="56" fillId="0" borderId="27" xfId="0" applyFont="1" applyBorder="1" applyAlignment="1">
      <alignment horizontal="center" vertical="center" wrapText="1"/>
    </xf>
    <xf numFmtId="167" fontId="45" fillId="2" borderId="5" xfId="4" applyNumberFormat="1" applyFont="1" applyFill="1" applyBorder="1" applyAlignment="1">
      <alignment horizontal="center" vertical="center" wrapText="1"/>
    </xf>
    <xf numFmtId="164" fontId="45" fillId="2" borderId="5" xfId="0" applyNumberFormat="1" applyFont="1" applyFill="1" applyBorder="1" applyAlignment="1">
      <alignment horizontal="center" vertical="center" wrapText="1"/>
    </xf>
    <xf numFmtId="167" fontId="47" fillId="2" borderId="5" xfId="4" applyNumberFormat="1" applyFont="1" applyFill="1" applyBorder="1" applyAlignment="1">
      <alignment horizontal="center" vertical="center"/>
    </xf>
    <xf numFmtId="0" fontId="36" fillId="2" borderId="8" xfId="0" applyFont="1" applyFill="1" applyBorder="1" applyAlignment="1">
      <alignment vertical="center" wrapText="1"/>
    </xf>
    <xf numFmtId="0" fontId="46" fillId="5" borderId="30" xfId="0" applyFont="1" applyFill="1" applyBorder="1" applyAlignment="1">
      <alignment horizontal="left" vertical="top"/>
    </xf>
    <xf numFmtId="0" fontId="45" fillId="5" borderId="31" xfId="0" applyFont="1" applyFill="1" applyBorder="1" applyAlignment="1">
      <alignment horizontal="left" vertical="top" wrapText="1"/>
    </xf>
    <xf numFmtId="0" fontId="46" fillId="5" borderId="31" xfId="0" applyFont="1" applyFill="1" applyBorder="1" applyAlignment="1">
      <alignment horizontal="left" vertical="top" wrapText="1"/>
    </xf>
    <xf numFmtId="0" fontId="46" fillId="5" borderId="31" xfId="0" applyFont="1" applyFill="1" applyBorder="1" applyAlignment="1">
      <alignment vertical="top" wrapText="1"/>
    </xf>
    <xf numFmtId="167" fontId="46" fillId="5" borderId="31" xfId="4" applyNumberFormat="1" applyFont="1" applyFill="1" applyBorder="1" applyAlignment="1">
      <alignment horizontal="center" vertical="top" wrapText="1"/>
    </xf>
    <xf numFmtId="165" fontId="46" fillId="5" borderId="31" xfId="4" applyNumberFormat="1" applyFont="1" applyFill="1" applyBorder="1" applyAlignment="1">
      <alignment horizontal="center" vertical="top" wrapText="1"/>
    </xf>
    <xf numFmtId="3" fontId="46" fillId="5" borderId="26" xfId="0" applyNumberFormat="1" applyFont="1" applyFill="1" applyBorder="1" applyAlignment="1">
      <alignment horizontal="center" vertical="top" wrapText="1"/>
    </xf>
    <xf numFmtId="3" fontId="46" fillId="5" borderId="32" xfId="0" applyNumberFormat="1" applyFont="1" applyFill="1" applyBorder="1" applyAlignment="1">
      <alignment horizontal="center" vertical="top" wrapText="1"/>
    </xf>
    <xf numFmtId="164" fontId="50" fillId="5" borderId="26" xfId="0" applyNumberFormat="1" applyFont="1" applyFill="1" applyBorder="1" applyAlignment="1">
      <alignment horizontal="center" vertical="top" wrapText="1"/>
    </xf>
    <xf numFmtId="0" fontId="56" fillId="2" borderId="27"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44" fillId="5" borderId="1" xfId="2" applyFill="1" applyBorder="1" applyAlignment="1">
      <alignment vertical="center" wrapText="1"/>
    </xf>
    <xf numFmtId="0" fontId="37" fillId="5" borderId="1" xfId="0" applyFont="1" applyFill="1" applyBorder="1" applyAlignment="1">
      <alignment vertical="center" wrapText="1"/>
    </xf>
    <xf numFmtId="14" fontId="27" fillId="5" borderId="1" xfId="0" applyNumberFormat="1" applyFont="1" applyFill="1" applyBorder="1" applyAlignment="1">
      <alignment horizontal="left" vertical="center" wrapText="1"/>
    </xf>
    <xf numFmtId="0" fontId="38" fillId="5" borderId="1" xfId="0" applyFont="1" applyFill="1" applyBorder="1" applyAlignment="1">
      <alignment vertical="center" wrapText="1"/>
    </xf>
    <xf numFmtId="167" fontId="49" fillId="5" borderId="1" xfId="4" applyNumberFormat="1" applyFont="1" applyFill="1" applyBorder="1" applyAlignment="1">
      <alignment horizontal="center" vertical="center" wrapText="1"/>
    </xf>
    <xf numFmtId="164" fontId="0" fillId="5" borderId="1" xfId="0" applyNumberFormat="1" applyFill="1" applyBorder="1" applyAlignment="1">
      <alignment horizontal="center" vertical="center"/>
    </xf>
    <xf numFmtId="0" fontId="0" fillId="5" borderId="10" xfId="0" applyFill="1" applyBorder="1" applyAlignment="1">
      <alignment horizontal="center" vertical="center" wrapText="1"/>
    </xf>
    <xf numFmtId="0" fontId="0" fillId="5" borderId="10" xfId="0" applyFill="1" applyBorder="1" applyAlignment="1">
      <alignment horizontal="center" vertical="center"/>
    </xf>
    <xf numFmtId="2" fontId="0" fillId="5" borderId="1" xfId="0" applyNumberFormat="1" applyFill="1" applyBorder="1" applyAlignment="1">
      <alignment vertical="center"/>
    </xf>
    <xf numFmtId="2" fontId="38" fillId="5" borderId="1" xfId="0" applyNumberFormat="1" applyFont="1" applyFill="1" applyBorder="1" applyAlignment="1">
      <alignment vertical="center"/>
    </xf>
    <xf numFmtId="164" fontId="38" fillId="5" borderId="1" xfId="0" applyNumberFormat="1" applyFont="1" applyFill="1" applyBorder="1" applyAlignment="1">
      <alignment vertical="center"/>
    </xf>
    <xf numFmtId="164" fontId="0" fillId="5" borderId="1" xfId="0" applyNumberFormat="1" applyFill="1" applyBorder="1" applyAlignment="1">
      <alignment vertical="center"/>
    </xf>
    <xf numFmtId="164" fontId="37" fillId="5" borderId="1" xfId="0" applyNumberFormat="1" applyFont="1" applyFill="1" applyBorder="1" applyAlignment="1">
      <alignment vertical="center"/>
    </xf>
    <xf numFmtId="0" fontId="53" fillId="2" borderId="8" xfId="0" applyFont="1" applyFill="1" applyBorder="1" applyAlignment="1">
      <alignment vertical="top" wrapText="1"/>
    </xf>
    <xf numFmtId="14" fontId="38" fillId="5" borderId="1" xfId="0" applyNumberFormat="1" applyFont="1" applyFill="1" applyBorder="1" applyAlignment="1">
      <alignment horizontal="right" vertical="center" wrapText="1"/>
    </xf>
    <xf numFmtId="14" fontId="37" fillId="5" borderId="1" xfId="0" applyNumberFormat="1" applyFont="1" applyFill="1" applyBorder="1" applyAlignment="1">
      <alignment horizontal="right" vertical="center" wrapText="1"/>
    </xf>
    <xf numFmtId="14" fontId="38" fillId="5" borderId="1" xfId="0" applyNumberFormat="1" applyFont="1" applyFill="1" applyBorder="1" applyAlignment="1">
      <alignment vertical="center" wrapText="1"/>
    </xf>
    <xf numFmtId="0" fontId="44" fillId="5" borderId="0" xfId="2" applyFill="1" applyAlignment="1">
      <alignment vertical="center" wrapText="1"/>
    </xf>
    <xf numFmtId="0" fontId="62" fillId="5" borderId="1" xfId="2" applyFont="1" applyFill="1" applyBorder="1" applyAlignment="1">
      <alignment vertical="center" wrapText="1"/>
    </xf>
    <xf numFmtId="0" fontId="38" fillId="5" borderId="1" xfId="0" applyFont="1" applyFill="1" applyBorder="1" applyAlignment="1">
      <alignment horizontal="center" vertical="center"/>
    </xf>
    <xf numFmtId="0" fontId="53" fillId="5" borderId="1" xfId="0" applyFont="1" applyFill="1" applyBorder="1" applyAlignment="1">
      <alignment horizontal="left" vertical="center" wrapText="1"/>
    </xf>
    <xf numFmtId="164" fontId="38" fillId="5" borderId="1" xfId="0" applyNumberFormat="1" applyFont="1" applyFill="1" applyBorder="1" applyAlignment="1">
      <alignment horizontal="center" vertical="center"/>
    </xf>
    <xf numFmtId="0" fontId="38" fillId="5" borderId="10" xfId="0" applyFont="1" applyFill="1" applyBorder="1" applyAlignment="1">
      <alignment horizontal="center" vertical="center" wrapText="1"/>
    </xf>
    <xf numFmtId="0" fontId="37" fillId="5" borderId="1" xfId="0" applyFont="1" applyFill="1" applyBorder="1" applyAlignment="1">
      <alignment horizontal="center" vertical="center"/>
    </xf>
    <xf numFmtId="0" fontId="37" fillId="5" borderId="10" xfId="0" applyFont="1" applyFill="1" applyBorder="1" applyAlignment="1">
      <alignment horizontal="center" vertical="center" wrapText="1"/>
    </xf>
    <xf numFmtId="164" fontId="38" fillId="5" borderId="1" xfId="0" applyNumberFormat="1" applyFont="1" applyFill="1" applyBorder="1" applyAlignment="1">
      <alignment horizontal="center" vertical="center" wrapText="1"/>
    </xf>
    <xf numFmtId="2" fontId="38" fillId="5" borderId="1" xfId="0" applyNumberFormat="1" applyFont="1" applyFill="1" applyBorder="1" applyAlignment="1">
      <alignment horizontal="right" vertical="center"/>
    </xf>
    <xf numFmtId="2" fontId="37" fillId="5" borderId="1" xfId="0" applyNumberFormat="1" applyFont="1" applyFill="1" applyBorder="1" applyAlignment="1">
      <alignment horizontal="right" vertical="center"/>
    </xf>
    <xf numFmtId="164" fontId="38" fillId="5" borderId="1" xfId="0" applyNumberFormat="1" applyFont="1" applyFill="1" applyBorder="1" applyAlignment="1">
      <alignment horizontal="right" vertical="center"/>
    </xf>
    <xf numFmtId="165" fontId="37" fillId="5" borderId="1" xfId="0" applyNumberFormat="1" applyFont="1" applyFill="1" applyBorder="1" applyAlignment="1">
      <alignment horizontal="right" vertical="center"/>
    </xf>
    <xf numFmtId="0" fontId="33" fillId="5" borderId="1" xfId="0" applyFont="1" applyFill="1" applyBorder="1" applyAlignment="1">
      <alignment vertical="center" wrapText="1"/>
    </xf>
    <xf numFmtId="14" fontId="25" fillId="5" borderId="1" xfId="0" applyNumberFormat="1" applyFont="1" applyFill="1" applyBorder="1" applyAlignment="1">
      <alignment horizontal="right" vertical="center" wrapText="1"/>
    </xf>
    <xf numFmtId="164" fontId="37" fillId="5" borderId="1" xfId="0" applyNumberFormat="1" applyFont="1" applyFill="1" applyBorder="1" applyAlignment="1">
      <alignment horizontal="center" vertical="center"/>
    </xf>
    <xf numFmtId="2" fontId="0" fillId="5" borderId="1" xfId="0" applyNumberFormat="1" applyFill="1" applyBorder="1" applyAlignment="1">
      <alignment horizontal="right" vertical="center"/>
    </xf>
    <xf numFmtId="4" fontId="37" fillId="5" borderId="1" xfId="0" applyNumberFormat="1" applyFont="1" applyFill="1" applyBorder="1" applyAlignment="1">
      <alignment horizontal="right" vertical="center"/>
    </xf>
    <xf numFmtId="164" fontId="0" fillId="5" borderId="1" xfId="0" applyNumberFormat="1" applyFill="1" applyBorder="1" applyAlignment="1">
      <alignment horizontal="right" vertical="center"/>
    </xf>
    <xf numFmtId="0" fontId="38" fillId="5" borderId="1" xfId="0" applyFont="1" applyFill="1" applyBorder="1" applyAlignment="1">
      <alignment vertical="top" wrapText="1"/>
    </xf>
    <xf numFmtId="0" fontId="37" fillId="5" borderId="1" xfId="0" applyFont="1" applyFill="1" applyBorder="1" applyAlignment="1">
      <alignment vertical="center"/>
    </xf>
    <xf numFmtId="14" fontId="37" fillId="5" borderId="1" xfId="0" applyNumberFormat="1" applyFont="1" applyFill="1" applyBorder="1" applyAlignment="1">
      <alignment vertical="center" wrapText="1"/>
    </xf>
    <xf numFmtId="0" fontId="37" fillId="5" borderId="1" xfId="0" applyFont="1" applyFill="1" applyBorder="1" applyAlignment="1">
      <alignment horizontal="right" vertical="center" wrapText="1"/>
    </xf>
    <xf numFmtId="0" fontId="61" fillId="5" borderId="1" xfId="2" applyFont="1" applyFill="1" applyBorder="1" applyAlignment="1">
      <alignment vertical="center" wrapText="1"/>
    </xf>
    <xf numFmtId="0" fontId="44" fillId="5" borderId="1" xfId="2" applyFill="1" applyBorder="1" applyAlignment="1">
      <alignment vertical="center"/>
    </xf>
    <xf numFmtId="0" fontId="37" fillId="5" borderId="1" xfId="0" applyFont="1" applyFill="1" applyBorder="1" applyAlignment="1">
      <alignment horizontal="left" vertical="center" wrapText="1"/>
    </xf>
    <xf numFmtId="0" fontId="55" fillId="5" borderId="1" xfId="0" applyFont="1" applyFill="1" applyBorder="1" applyAlignment="1">
      <alignment vertical="center" wrapText="1"/>
    </xf>
    <xf numFmtId="0" fontId="0" fillId="5" borderId="2" xfId="0" applyFill="1" applyBorder="1" applyAlignment="1">
      <alignment horizontal="center" vertical="center"/>
    </xf>
    <xf numFmtId="0" fontId="44" fillId="5" borderId="1" xfId="2" applyFill="1" applyBorder="1" applyAlignment="1">
      <alignment horizontal="left" vertical="center" wrapText="1"/>
    </xf>
    <xf numFmtId="164" fontId="37" fillId="5" borderId="1" xfId="0" applyNumberFormat="1" applyFont="1" applyFill="1" applyBorder="1" applyAlignment="1">
      <alignment horizontal="center" vertical="center" wrapText="1"/>
    </xf>
    <xf numFmtId="165" fontId="37" fillId="5" borderId="1" xfId="0" applyNumberFormat="1" applyFont="1" applyFill="1" applyBorder="1" applyAlignment="1">
      <alignment horizontal="center" vertical="center" wrapText="1"/>
    </xf>
    <xf numFmtId="0" fontId="37" fillId="5" borderId="1" xfId="0" applyFont="1" applyFill="1" applyBorder="1" applyAlignment="1">
      <alignment vertical="top" wrapText="1"/>
    </xf>
    <xf numFmtId="0" fontId="48" fillId="5" borderId="1" xfId="0" applyFont="1" applyFill="1" applyBorder="1" applyAlignment="1">
      <alignment vertical="center" wrapText="1"/>
    </xf>
    <xf numFmtId="0" fontId="38" fillId="5" borderId="1" xfId="2" applyFont="1" applyFill="1" applyBorder="1" applyAlignment="1">
      <alignment vertical="center" wrapText="1"/>
    </xf>
    <xf numFmtId="0" fontId="58" fillId="5" borderId="1" xfId="0" applyFont="1" applyFill="1" applyBorder="1" applyAlignment="1">
      <alignment vertical="center" wrapText="1"/>
    </xf>
    <xf numFmtId="0" fontId="38" fillId="2" borderId="1" xfId="0" applyFont="1" applyFill="1" applyBorder="1" applyAlignment="1">
      <alignment vertical="center" wrapText="1"/>
    </xf>
    <xf numFmtId="0" fontId="53" fillId="2" borderId="1" xfId="0" applyFont="1" applyFill="1" applyBorder="1" applyAlignment="1">
      <alignment vertical="center" wrapText="1"/>
    </xf>
    <xf numFmtId="164" fontId="50" fillId="5" borderId="33" xfId="0" applyNumberFormat="1" applyFont="1" applyFill="1" applyBorder="1" applyAlignment="1">
      <alignment horizontal="center" vertical="top" wrapText="1"/>
    </xf>
    <xf numFmtId="0" fontId="53" fillId="5" borderId="1" xfId="0" applyFont="1" applyFill="1" applyBorder="1" applyAlignment="1">
      <alignment vertical="center" wrapText="1"/>
    </xf>
    <xf numFmtId="0" fontId="66" fillId="0" borderId="0" xfId="0" applyFont="1"/>
    <xf numFmtId="167" fontId="49" fillId="5" borderId="1" xfId="4" applyNumberFormat="1" applyFont="1" applyFill="1" applyBorder="1" applyAlignment="1">
      <alignment vertical="center" wrapText="1"/>
    </xf>
    <xf numFmtId="3" fontId="60" fillId="5" borderId="26" xfId="0" applyNumberFormat="1" applyFont="1" applyFill="1" applyBorder="1" applyAlignment="1">
      <alignment horizontal="center" vertical="top" wrapText="1"/>
    </xf>
    <xf numFmtId="2" fontId="38" fillId="5" borderId="4" xfId="0" applyNumberFormat="1" applyFont="1" applyFill="1" applyBorder="1" applyAlignment="1">
      <alignment vertical="center"/>
    </xf>
    <xf numFmtId="164" fontId="38" fillId="5" borderId="4" xfId="0" applyNumberFormat="1" applyFont="1" applyFill="1" applyBorder="1" applyAlignment="1">
      <alignment vertical="center"/>
    </xf>
    <xf numFmtId="2" fontId="38" fillId="5" borderId="5" xfId="0" applyNumberFormat="1" applyFont="1" applyFill="1" applyBorder="1" applyAlignment="1">
      <alignment vertical="center"/>
    </xf>
    <xf numFmtId="164" fontId="38" fillId="5" borderId="5" xfId="0" applyNumberFormat="1" applyFont="1" applyFill="1" applyBorder="1" applyAlignment="1">
      <alignment vertical="center"/>
    </xf>
    <xf numFmtId="167" fontId="45" fillId="3" borderId="1" xfId="4" applyNumberFormat="1" applyFont="1" applyFill="1" applyBorder="1" applyAlignment="1">
      <alignment horizontal="center" vertical="center" wrapText="1"/>
    </xf>
    <xf numFmtId="164" fontId="45" fillId="3" borderId="1" xfId="0" applyNumberFormat="1" applyFont="1" applyFill="1" applyBorder="1" applyAlignment="1">
      <alignment horizontal="center" vertical="center" wrapText="1"/>
    </xf>
    <xf numFmtId="2" fontId="37" fillId="5" borderId="4" xfId="0" applyNumberFormat="1" applyFont="1" applyFill="1" applyBorder="1" applyAlignment="1">
      <alignment vertical="center"/>
    </xf>
    <xf numFmtId="2" fontId="37" fillId="5" borderId="9" xfId="0" applyNumberFormat="1" applyFont="1" applyFill="1" applyBorder="1" applyAlignment="1">
      <alignment vertical="center"/>
    </xf>
    <xf numFmtId="2" fontId="37" fillId="5" borderId="5" xfId="0" applyNumberFormat="1" applyFont="1" applyFill="1" applyBorder="1" applyAlignment="1">
      <alignment vertical="center"/>
    </xf>
    <xf numFmtId="0" fontId="48" fillId="5" borderId="7" xfId="0" applyFont="1" applyFill="1" applyBorder="1" applyAlignment="1">
      <alignment horizontal="left" vertical="center" wrapText="1"/>
    </xf>
    <xf numFmtId="14" fontId="37" fillId="5" borderId="7" xfId="0" applyNumberFormat="1" applyFont="1" applyFill="1" applyBorder="1" applyAlignment="1">
      <alignment horizontal="right" vertical="center" wrapText="1"/>
    </xf>
    <xf numFmtId="0" fontId="44" fillId="5" borderId="3" xfId="2" applyFill="1" applyBorder="1" applyAlignment="1">
      <alignment vertical="center" wrapText="1"/>
    </xf>
    <xf numFmtId="0" fontId="37" fillId="5" borderId="3" xfId="0" applyFont="1" applyFill="1" applyBorder="1" applyAlignment="1">
      <alignment vertical="center" wrapText="1"/>
    </xf>
    <xf numFmtId="0" fontId="0" fillId="5" borderId="6" xfId="0" applyFill="1" applyBorder="1" applyAlignment="1">
      <alignment horizontal="center" vertical="center"/>
    </xf>
    <xf numFmtId="0" fontId="44" fillId="5" borderId="2" xfId="2" applyFill="1" applyBorder="1" applyAlignment="1">
      <alignment vertical="center" wrapText="1"/>
    </xf>
    <xf numFmtId="0" fontId="37" fillId="5" borderId="8" xfId="0" applyFont="1" applyFill="1" applyBorder="1" applyAlignment="1">
      <alignment horizontal="left" vertical="center" wrapText="1"/>
    </xf>
    <xf numFmtId="0" fontId="37" fillId="5" borderId="8" xfId="0" applyFont="1" applyFill="1" applyBorder="1" applyAlignment="1">
      <alignment horizontal="center" vertical="center" wrapText="1"/>
    </xf>
    <xf numFmtId="167" fontId="49" fillId="3" borderId="1" xfId="4" applyNumberFormat="1" applyFont="1" applyFill="1" applyBorder="1" applyAlignment="1">
      <alignment horizontal="center" vertical="center" wrapText="1"/>
    </xf>
    <xf numFmtId="164" fontId="37" fillId="3" borderId="1" xfId="0" applyNumberFormat="1" applyFont="1" applyFill="1" applyBorder="1" applyAlignment="1">
      <alignment horizontal="center" vertical="center"/>
    </xf>
    <xf numFmtId="0" fontId="33" fillId="2" borderId="5" xfId="0" applyFont="1" applyFill="1" applyBorder="1" applyAlignment="1">
      <alignment vertical="center" wrapText="1"/>
    </xf>
    <xf numFmtId="168" fontId="38" fillId="5" borderId="1" xfId="0" applyNumberFormat="1" applyFont="1" applyFill="1" applyBorder="1" applyAlignment="1">
      <alignment horizontal="center" vertical="center"/>
    </xf>
    <xf numFmtId="0" fontId="56" fillId="6" borderId="27" xfId="0" applyFont="1" applyFill="1" applyBorder="1" applyAlignment="1">
      <alignment horizontal="center" vertical="center" wrapText="1"/>
    </xf>
    <xf numFmtId="2" fontId="38" fillId="6" borderId="1" xfId="0" applyNumberFormat="1" applyFont="1" applyFill="1" applyBorder="1" applyAlignment="1">
      <alignment vertical="center"/>
    </xf>
    <xf numFmtId="164" fontId="0" fillId="6" borderId="1" xfId="0" applyNumberFormat="1" applyFill="1" applyBorder="1" applyAlignment="1">
      <alignment vertical="center"/>
    </xf>
    <xf numFmtId="164" fontId="38" fillId="6" borderId="1" xfId="0" applyNumberFormat="1" applyFont="1" applyFill="1" applyBorder="1" applyAlignment="1">
      <alignment horizontal="right" vertical="center"/>
    </xf>
    <xf numFmtId="164" fontId="37" fillId="6" borderId="1" xfId="0" applyNumberFormat="1" applyFont="1" applyFill="1" applyBorder="1" applyAlignment="1">
      <alignment horizontal="right" vertical="center"/>
    </xf>
    <xf numFmtId="164" fontId="0" fillId="6" borderId="1" xfId="0" applyNumberFormat="1" applyFill="1" applyBorder="1" applyAlignment="1">
      <alignment horizontal="right" vertical="center"/>
    </xf>
    <xf numFmtId="164" fontId="37" fillId="6" borderId="1" xfId="0" applyNumberFormat="1" applyFont="1" applyFill="1" applyBorder="1" applyAlignment="1">
      <alignment horizontal="right" vertical="center" wrapText="1"/>
    </xf>
    <xf numFmtId="2" fontId="0" fillId="6" borderId="1" xfId="0" applyNumberFormat="1" applyFill="1" applyBorder="1" applyAlignment="1">
      <alignment vertical="center"/>
    </xf>
    <xf numFmtId="2" fontId="38" fillId="6" borderId="1" xfId="0" applyNumberFormat="1" applyFont="1" applyFill="1" applyBorder="1" applyAlignment="1">
      <alignment horizontal="right" vertical="center"/>
    </xf>
    <xf numFmtId="2" fontId="37" fillId="6" borderId="1" xfId="0" applyNumberFormat="1" applyFont="1" applyFill="1" applyBorder="1" applyAlignment="1">
      <alignment horizontal="right" vertical="center"/>
    </xf>
    <xf numFmtId="2" fontId="0" fillId="6" borderId="1" xfId="0" applyNumberFormat="1" applyFill="1" applyBorder="1" applyAlignment="1">
      <alignment horizontal="right" vertical="center"/>
    </xf>
    <xf numFmtId="0" fontId="56" fillId="9" borderId="27" xfId="0" applyFont="1" applyFill="1" applyBorder="1" applyAlignment="1">
      <alignment horizontal="center" vertical="center" wrapText="1"/>
    </xf>
    <xf numFmtId="0" fontId="39" fillId="5" borderId="0" xfId="0" applyFont="1" applyFill="1" applyAlignment="1">
      <alignment horizontal="right" vertical="top" wrapText="1"/>
    </xf>
    <xf numFmtId="167" fontId="39" fillId="5" borderId="0" xfId="4" applyNumberFormat="1" applyFont="1" applyFill="1" applyBorder="1" applyAlignment="1">
      <alignment horizontal="center" vertical="top" wrapText="1"/>
    </xf>
    <xf numFmtId="165" fontId="39" fillId="5" borderId="0" xfId="0" applyNumberFormat="1" applyFont="1" applyFill="1" applyAlignment="1">
      <alignment horizontal="center" vertical="top" wrapText="1"/>
    </xf>
    <xf numFmtId="165" fontId="39" fillId="5" borderId="9" xfId="0" applyNumberFormat="1" applyFont="1" applyFill="1" applyBorder="1" applyAlignment="1">
      <alignment horizontal="center" vertical="top" wrapText="1"/>
    </xf>
    <xf numFmtId="165" fontId="39" fillId="9" borderId="9" xfId="0" applyNumberFormat="1" applyFont="1" applyFill="1" applyBorder="1" applyAlignment="1">
      <alignment horizontal="center" vertical="top" wrapText="1"/>
    </xf>
    <xf numFmtId="165" fontId="50" fillId="5" borderId="9" xfId="0" applyNumberFormat="1" applyFont="1" applyFill="1" applyBorder="1" applyAlignment="1">
      <alignment horizontal="center" vertical="top" wrapText="1"/>
    </xf>
    <xf numFmtId="3" fontId="46" fillId="9" borderId="26" xfId="0" applyNumberFormat="1" applyFont="1" applyFill="1" applyBorder="1" applyAlignment="1">
      <alignment horizontal="center" vertical="top" wrapText="1"/>
    </xf>
    <xf numFmtId="164" fontId="45" fillId="10" borderId="5" xfId="0" applyNumberFormat="1" applyFont="1" applyFill="1" applyBorder="1" applyAlignment="1">
      <alignment horizontal="center" vertical="center" wrapText="1"/>
    </xf>
    <xf numFmtId="164" fontId="45" fillId="10" borderId="1" xfId="0" applyNumberFormat="1" applyFont="1" applyFill="1" applyBorder="1" applyAlignment="1">
      <alignment horizontal="center" vertical="center" wrapText="1"/>
    </xf>
    <xf numFmtId="165" fontId="37" fillId="3" borderId="1" xfId="0" applyNumberFormat="1" applyFont="1" applyFill="1" applyBorder="1" applyAlignment="1">
      <alignment horizontal="center" vertical="center" wrapText="1"/>
    </xf>
    <xf numFmtId="4" fontId="37" fillId="3" borderId="1" xfId="0" applyNumberFormat="1" applyFont="1" applyFill="1" applyBorder="1" applyAlignment="1">
      <alignment horizontal="right" vertical="center"/>
    </xf>
    <xf numFmtId="165" fontId="37" fillId="3" borderId="1" xfId="0" applyNumberFormat="1" applyFont="1" applyFill="1" applyBorder="1" applyAlignment="1">
      <alignment horizontal="right" vertical="center"/>
    </xf>
    <xf numFmtId="4" fontId="37" fillId="0" borderId="1" xfId="0" applyNumberFormat="1" applyFont="1" applyBorder="1" applyAlignment="1">
      <alignment horizontal="center" vertical="center"/>
    </xf>
    <xf numFmtId="4" fontId="37" fillId="5" borderId="1" xfId="0" applyNumberFormat="1" applyFont="1" applyFill="1" applyBorder="1" applyAlignment="1">
      <alignment horizontal="center" vertical="center"/>
    </xf>
    <xf numFmtId="2" fontId="37" fillId="5" borderId="1" xfId="0" applyNumberFormat="1" applyFont="1" applyFill="1" applyBorder="1" applyAlignment="1">
      <alignment horizontal="center" vertical="center"/>
    </xf>
    <xf numFmtId="2" fontId="37" fillId="6" borderId="1" xfId="0" applyNumberFormat="1" applyFont="1" applyFill="1" applyBorder="1" applyAlignment="1">
      <alignment horizontal="center" vertical="center"/>
    </xf>
    <xf numFmtId="165" fontId="37" fillId="0" borderId="1" xfId="0" applyNumberFormat="1" applyFont="1" applyBorder="1" applyAlignment="1">
      <alignment horizontal="center" vertical="center"/>
    </xf>
    <xf numFmtId="165" fontId="37" fillId="5" borderId="1" xfId="0" applyNumberFormat="1" applyFont="1" applyFill="1" applyBorder="1" applyAlignment="1">
      <alignment horizontal="center" vertical="center"/>
    </xf>
    <xf numFmtId="164" fontId="37" fillId="6" borderId="1" xfId="0" applyNumberFormat="1" applyFont="1" applyFill="1" applyBorder="1" applyAlignment="1">
      <alignment horizontal="center" vertical="center"/>
    </xf>
    <xf numFmtId="0" fontId="56" fillId="3" borderId="27" xfId="0" applyFont="1" applyFill="1" applyBorder="1" applyAlignment="1">
      <alignment horizontal="center" vertical="center" wrapText="1"/>
    </xf>
    <xf numFmtId="167" fontId="39" fillId="3" borderId="0" xfId="4" applyNumberFormat="1" applyFont="1" applyFill="1" applyBorder="1" applyAlignment="1">
      <alignment horizontal="center" vertical="top" wrapText="1"/>
    </xf>
    <xf numFmtId="167" fontId="45" fillId="3" borderId="5" xfId="4" applyNumberFormat="1" applyFont="1" applyFill="1" applyBorder="1" applyAlignment="1">
      <alignment horizontal="center" vertical="center" wrapText="1"/>
    </xf>
    <xf numFmtId="165" fontId="39" fillId="3" borderId="0" xfId="0" applyNumberFormat="1" applyFont="1" applyFill="1" applyAlignment="1">
      <alignment horizontal="center" vertical="top" wrapText="1"/>
    </xf>
    <xf numFmtId="164" fontId="45" fillId="3" borderId="5" xfId="0" applyNumberFormat="1" applyFont="1" applyFill="1" applyBorder="1" applyAlignment="1">
      <alignment horizontal="center" vertical="center" wrapText="1"/>
    </xf>
    <xf numFmtId="165" fontId="39" fillId="3" borderId="9" xfId="0" applyNumberFormat="1" applyFont="1" applyFill="1" applyBorder="1" applyAlignment="1">
      <alignment horizontal="center" vertical="top" wrapText="1"/>
    </xf>
    <xf numFmtId="164" fontId="37" fillId="3" borderId="1" xfId="0" applyNumberFormat="1" applyFont="1" applyFill="1" applyBorder="1" applyAlignment="1">
      <alignment horizontal="center" vertical="center" wrapText="1"/>
    </xf>
    <xf numFmtId="164" fontId="37" fillId="3" borderId="4" xfId="0" applyNumberFormat="1" applyFont="1" applyFill="1" applyBorder="1" applyAlignment="1">
      <alignment horizontal="center" vertical="center" wrapText="1"/>
    </xf>
    <xf numFmtId="165" fontId="45" fillId="3" borderId="1" xfId="0" applyNumberFormat="1" applyFont="1" applyFill="1" applyBorder="1" applyAlignment="1">
      <alignment horizontal="center" vertical="center" wrapText="1"/>
    </xf>
    <xf numFmtId="2" fontId="37" fillId="3" borderId="1" xfId="0" applyNumberFormat="1" applyFont="1" applyFill="1" applyBorder="1" applyAlignment="1">
      <alignment horizontal="right" vertical="center"/>
    </xf>
    <xf numFmtId="164" fontId="37" fillId="3" borderId="1" xfId="0" applyNumberFormat="1" applyFont="1" applyFill="1" applyBorder="1" applyAlignment="1">
      <alignment horizontal="right" vertical="center"/>
    </xf>
    <xf numFmtId="164" fontId="48" fillId="3" borderId="1" xfId="0" applyNumberFormat="1" applyFont="1" applyFill="1" applyBorder="1" applyAlignment="1">
      <alignment horizontal="right" vertical="center"/>
    </xf>
    <xf numFmtId="0" fontId="48" fillId="5" borderId="1" xfId="0" applyFont="1" applyFill="1" applyBorder="1" applyAlignment="1">
      <alignment horizontal="left" vertical="center" wrapText="1"/>
    </xf>
    <xf numFmtId="0" fontId="44" fillId="11" borderId="1" xfId="2" applyFill="1" applyBorder="1" applyAlignment="1">
      <alignment vertical="center" wrapText="1"/>
    </xf>
    <xf numFmtId="165" fontId="37" fillId="11" borderId="1" xfId="0" applyNumberFormat="1" applyFont="1" applyFill="1" applyBorder="1" applyAlignment="1">
      <alignment horizontal="center" vertical="center" wrapText="1"/>
    </xf>
    <xf numFmtId="0" fontId="38" fillId="11" borderId="1" xfId="0" applyFont="1" applyFill="1" applyBorder="1" applyAlignment="1">
      <alignment vertical="center" wrapText="1"/>
    </xf>
    <xf numFmtId="164" fontId="0" fillId="11" borderId="1" xfId="0" applyNumberFormat="1" applyFill="1" applyBorder="1" applyAlignment="1">
      <alignment horizontal="center" vertical="center"/>
    </xf>
    <xf numFmtId="164" fontId="37" fillId="11" borderId="1" xfId="0" applyNumberFormat="1" applyFont="1" applyFill="1" applyBorder="1" applyAlignment="1">
      <alignment horizontal="right" vertical="center"/>
    </xf>
    <xf numFmtId="0" fontId="37" fillId="11" borderId="1" xfId="0" applyFont="1" applyFill="1" applyBorder="1" applyAlignment="1">
      <alignment vertical="center" wrapText="1"/>
    </xf>
    <xf numFmtId="14" fontId="37" fillId="11" borderId="1" xfId="0" applyNumberFormat="1" applyFont="1" applyFill="1" applyBorder="1" applyAlignment="1">
      <alignment horizontal="right" vertical="center" wrapText="1"/>
    </xf>
    <xf numFmtId="167" fontId="49" fillId="11" borderId="1" xfId="4" applyNumberFormat="1" applyFont="1" applyFill="1" applyBorder="1" applyAlignment="1">
      <alignment horizontal="center" vertical="center" wrapText="1"/>
    </xf>
    <xf numFmtId="164" fontId="38" fillId="0" borderId="1" xfId="0" applyNumberFormat="1" applyFont="1" applyBorder="1" applyAlignment="1">
      <alignment horizontal="center" vertical="center"/>
    </xf>
    <xf numFmtId="164" fontId="38" fillId="0" borderId="1" xfId="0" applyNumberFormat="1" applyFont="1" applyBorder="1" applyAlignment="1">
      <alignment horizontal="center" vertical="center" wrapText="1"/>
    </xf>
    <xf numFmtId="164" fontId="37" fillId="0" borderId="1" xfId="0" applyNumberFormat="1" applyFont="1" applyBorder="1" applyAlignment="1">
      <alignment horizontal="center" vertical="center"/>
    </xf>
    <xf numFmtId="164" fontId="37" fillId="0" borderId="1" xfId="0" applyNumberFormat="1" applyFont="1" applyBorder="1" applyAlignment="1">
      <alignment horizontal="center" vertical="center" wrapText="1"/>
    </xf>
    <xf numFmtId="164" fontId="37" fillId="0" borderId="4" xfId="0" applyNumberFormat="1" applyFont="1" applyBorder="1" applyAlignment="1">
      <alignment horizontal="center" vertical="center" wrapText="1"/>
    </xf>
    <xf numFmtId="164" fontId="37" fillId="11" borderId="1" xfId="0" applyNumberFormat="1" applyFont="1" applyFill="1" applyBorder="1" applyAlignment="1">
      <alignment horizontal="center" vertical="center" wrapText="1"/>
    </xf>
    <xf numFmtId="0" fontId="37" fillId="11" borderId="1" xfId="0" applyFont="1" applyFill="1" applyBorder="1" applyAlignment="1">
      <alignment horizontal="center" vertical="center" wrapText="1"/>
    </xf>
    <xf numFmtId="2" fontId="37" fillId="0" borderId="1" xfId="0" applyNumberFormat="1" applyFont="1" applyBorder="1" applyAlignment="1">
      <alignment horizontal="right" vertical="center"/>
    </xf>
    <xf numFmtId="2" fontId="37" fillId="11" borderId="1" xfId="0" applyNumberFormat="1" applyFont="1" applyFill="1" applyBorder="1" applyAlignment="1">
      <alignment horizontal="right" vertical="center"/>
    </xf>
    <xf numFmtId="4" fontId="37" fillId="11" borderId="1" xfId="0" applyNumberFormat="1" applyFont="1" applyFill="1" applyBorder="1" applyAlignment="1">
      <alignment horizontal="right" vertical="center"/>
    </xf>
    <xf numFmtId="164" fontId="37" fillId="0" borderId="1" xfId="0" applyNumberFormat="1" applyFont="1" applyBorder="1" applyAlignment="1">
      <alignment horizontal="right" vertical="center"/>
    </xf>
    <xf numFmtId="164" fontId="37" fillId="11" borderId="1" xfId="0" applyNumberFormat="1" applyFont="1" applyFill="1" applyBorder="1" applyAlignment="1">
      <alignment horizontal="right" vertical="center" wrapText="1"/>
    </xf>
    <xf numFmtId="165" fontId="37" fillId="11" borderId="1" xfId="0" applyNumberFormat="1" applyFont="1" applyFill="1" applyBorder="1" applyAlignment="1">
      <alignment horizontal="right" vertical="center"/>
    </xf>
    <xf numFmtId="165" fontId="37" fillId="8" borderId="1" xfId="0" applyNumberFormat="1" applyFont="1" applyFill="1" applyBorder="1" applyAlignment="1">
      <alignment horizontal="center" vertical="center" wrapText="1"/>
    </xf>
    <xf numFmtId="4" fontId="37" fillId="8" borderId="1" xfId="0" applyNumberFormat="1" applyFont="1" applyFill="1" applyBorder="1" applyAlignment="1">
      <alignment horizontal="right" vertical="center"/>
    </xf>
    <xf numFmtId="164" fontId="37" fillId="8" borderId="1" xfId="0" applyNumberFormat="1" applyFont="1" applyFill="1" applyBorder="1" applyAlignment="1">
      <alignment horizontal="center" vertical="center"/>
    </xf>
    <xf numFmtId="0" fontId="43" fillId="5" borderId="0" xfId="0" applyFont="1" applyFill="1" applyAlignment="1">
      <alignment horizontal="center"/>
    </xf>
    <xf numFmtId="0" fontId="56"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38" fillId="5" borderId="5" xfId="0" applyFont="1" applyFill="1" applyBorder="1" applyAlignment="1">
      <alignment horizontal="center" vertical="center"/>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167" fontId="49" fillId="5" borderId="4" xfId="4" applyNumberFormat="1" applyFont="1" applyFill="1" applyBorder="1" applyAlignment="1">
      <alignment horizontal="center" vertical="center" wrapText="1"/>
    </xf>
    <xf numFmtId="167" fontId="49" fillId="5" borderId="5" xfId="4" applyNumberFormat="1" applyFont="1" applyFill="1" applyBorder="1" applyAlignment="1">
      <alignment horizontal="center" vertical="center" wrapText="1"/>
    </xf>
    <xf numFmtId="164" fontId="0" fillId="5" borderId="4" xfId="0" applyNumberFormat="1" applyFill="1" applyBorder="1" applyAlignment="1">
      <alignment horizontal="center" vertical="center"/>
    </xf>
    <xf numFmtId="0" fontId="0" fillId="5" borderId="9" xfId="0" applyFill="1" applyBorder="1" applyAlignment="1">
      <alignment horizontal="center" vertical="center"/>
    </xf>
    <xf numFmtId="0" fontId="0" fillId="5" borderId="5" xfId="0" applyFill="1" applyBorder="1" applyAlignment="1">
      <alignment horizontal="center" vertical="center"/>
    </xf>
    <xf numFmtId="164" fontId="37" fillId="5" borderId="1" xfId="0" applyNumberFormat="1" applyFont="1" applyFill="1" applyBorder="1" applyAlignment="1">
      <alignment horizontal="right" vertical="center"/>
    </xf>
    <xf numFmtId="0" fontId="38" fillId="5" borderId="1"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164" fontId="37" fillId="5" borderId="4" xfId="0" applyNumberFormat="1" applyFont="1" applyFill="1" applyBorder="1" applyAlignment="1">
      <alignment horizontal="right" vertical="center"/>
    </xf>
    <xf numFmtId="164" fontId="38" fillId="5" borderId="4" xfId="0" applyNumberFormat="1" applyFont="1" applyFill="1" applyBorder="1" applyAlignment="1">
      <alignment horizontal="center" vertical="center"/>
    </xf>
    <xf numFmtId="164" fontId="38" fillId="5" borderId="5" xfId="0" applyNumberFormat="1" applyFont="1" applyFill="1" applyBorder="1" applyAlignment="1">
      <alignment horizontal="center" vertical="center"/>
    </xf>
    <xf numFmtId="164" fontId="37" fillId="5" borderId="5" xfId="0" applyNumberFormat="1" applyFont="1" applyFill="1" applyBorder="1" applyAlignment="1">
      <alignment horizontal="right" vertical="center"/>
    </xf>
    <xf numFmtId="0" fontId="38" fillId="5" borderId="4" xfId="0" applyFont="1" applyFill="1" applyBorder="1" applyAlignment="1">
      <alignment horizontal="center" vertical="center" wrapText="1"/>
    </xf>
    <xf numFmtId="164" fontId="38" fillId="6" borderId="4" xfId="0" applyNumberFormat="1" applyFont="1" applyFill="1" applyBorder="1" applyAlignment="1">
      <alignment horizontal="right" vertical="center"/>
    </xf>
    <xf numFmtId="164" fontId="38" fillId="5" borderId="4" xfId="0" applyNumberFormat="1" applyFont="1" applyFill="1" applyBorder="1" applyAlignment="1">
      <alignment horizontal="right" vertical="center"/>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165" fontId="37" fillId="5" borderId="5" xfId="0" applyNumberFormat="1" applyFont="1" applyFill="1" applyBorder="1" applyAlignment="1">
      <alignment horizontal="right" vertical="center"/>
    </xf>
    <xf numFmtId="164" fontId="37" fillId="11" borderId="4" xfId="0" applyNumberFormat="1" applyFont="1" applyFill="1" applyBorder="1" applyAlignment="1">
      <alignment horizontal="right" vertical="center"/>
    </xf>
    <xf numFmtId="164" fontId="37" fillId="6" borderId="4" xfId="0" applyNumberFormat="1" applyFont="1" applyFill="1" applyBorder="1" applyAlignment="1">
      <alignment horizontal="right" vertical="center"/>
    </xf>
    <xf numFmtId="2" fontId="37" fillId="5" borderId="4" xfId="0" applyNumberFormat="1" applyFont="1" applyFill="1" applyBorder="1" applyAlignment="1">
      <alignment horizontal="right" vertical="center"/>
    </xf>
    <xf numFmtId="2" fontId="37" fillId="6" borderId="4" xfId="0" applyNumberFormat="1" applyFont="1" applyFill="1" applyBorder="1" applyAlignment="1">
      <alignment horizontal="right" vertical="center"/>
    </xf>
    <xf numFmtId="0" fontId="48" fillId="5" borderId="5" xfId="0" applyFont="1" applyFill="1" applyBorder="1" applyAlignment="1">
      <alignment horizontal="left" vertical="center" wrapText="1"/>
    </xf>
    <xf numFmtId="164" fontId="37" fillId="5" borderId="4" xfId="0" applyNumberFormat="1" applyFont="1" applyFill="1" applyBorder="1" applyAlignment="1">
      <alignment horizontal="center" vertical="center" wrapText="1"/>
    </xf>
    <xf numFmtId="0" fontId="37" fillId="5" borderId="4" xfId="0" applyFont="1" applyFill="1" applyBorder="1" applyAlignment="1">
      <alignment horizontal="left" vertical="center" wrapText="1"/>
    </xf>
    <xf numFmtId="4" fontId="37" fillId="5" borderId="4" xfId="0" applyNumberFormat="1" applyFont="1" applyFill="1" applyBorder="1" applyAlignment="1">
      <alignment horizontal="right" vertical="center"/>
    </xf>
    <xf numFmtId="165" fontId="37" fillId="5" borderId="4" xfId="0" applyNumberFormat="1" applyFont="1" applyFill="1" applyBorder="1" applyAlignment="1">
      <alignment horizontal="center" vertical="center" wrapText="1"/>
    </xf>
    <xf numFmtId="14" fontId="37" fillId="5" borderId="4" xfId="0" applyNumberFormat="1" applyFont="1" applyFill="1" applyBorder="1" applyAlignment="1">
      <alignment horizontal="center" vertical="center" wrapText="1"/>
    </xf>
    <xf numFmtId="14" fontId="37" fillId="5" borderId="5" xfId="0" applyNumberFormat="1" applyFont="1" applyFill="1" applyBorder="1" applyAlignment="1">
      <alignment horizontal="center" vertical="center" wrapText="1"/>
    </xf>
    <xf numFmtId="164" fontId="37" fillId="11" borderId="4" xfId="0" applyNumberFormat="1" applyFont="1" applyFill="1" applyBorder="1" applyAlignment="1">
      <alignment vertical="center"/>
    </xf>
    <xf numFmtId="0" fontId="44" fillId="5" borderId="5" xfId="2" applyFill="1" applyBorder="1" applyAlignment="1">
      <alignment horizontal="center" vertical="center" wrapText="1"/>
    </xf>
    <xf numFmtId="0" fontId="48" fillId="5" borderId="9" xfId="0" applyFont="1" applyFill="1" applyBorder="1" applyAlignment="1">
      <alignment horizontal="left" vertical="center" wrapText="1"/>
    </xf>
    <xf numFmtId="0" fontId="39" fillId="5" borderId="0" xfId="0" applyFont="1" applyFill="1" applyAlignment="1">
      <alignment horizontal="left" vertical="top" wrapText="1"/>
    </xf>
    <xf numFmtId="164" fontId="38" fillId="5" borderId="4" xfId="0" applyNumberFormat="1" applyFont="1" applyFill="1" applyBorder="1" applyAlignment="1">
      <alignment horizontal="center" vertical="center" wrapText="1"/>
    </xf>
    <xf numFmtId="14" fontId="38" fillId="5" borderId="4" xfId="0" applyNumberFormat="1" applyFont="1" applyFill="1" applyBorder="1" applyAlignment="1">
      <alignment horizontal="center" vertical="center" wrapText="1"/>
    </xf>
    <xf numFmtId="2" fontId="37" fillId="3" borderId="4" xfId="0" applyNumberFormat="1" applyFont="1" applyFill="1" applyBorder="1" applyAlignment="1">
      <alignment horizontal="right" vertical="center"/>
    </xf>
    <xf numFmtId="167" fontId="49" fillId="3" borderId="4" xfId="4" applyNumberFormat="1" applyFont="1" applyFill="1" applyBorder="1" applyAlignment="1">
      <alignment horizontal="center" vertical="center" wrapText="1"/>
    </xf>
    <xf numFmtId="164" fontId="37" fillId="3" borderId="4" xfId="0" applyNumberFormat="1" applyFont="1" applyFill="1" applyBorder="1" applyAlignment="1">
      <alignment horizontal="right" vertical="center"/>
    </xf>
    <xf numFmtId="0" fontId="38"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4" fontId="21" fillId="5" borderId="1" xfId="0" applyNumberFormat="1" applyFont="1" applyFill="1" applyBorder="1" applyAlignment="1">
      <alignment horizontal="left" vertical="center" wrapText="1"/>
    </xf>
    <xf numFmtId="14" fontId="21" fillId="5" borderId="1" xfId="0" applyNumberFormat="1" applyFont="1" applyFill="1" applyBorder="1" applyAlignment="1">
      <alignment horizontal="right" vertical="center" wrapText="1"/>
    </xf>
    <xf numFmtId="0" fontId="21" fillId="5" borderId="1" xfId="0" applyFont="1" applyFill="1" applyBorder="1" applyAlignment="1">
      <alignment vertical="center" wrapText="1"/>
    </xf>
    <xf numFmtId="49" fontId="21" fillId="5" borderId="1" xfId="0" applyNumberFormat="1" applyFont="1" applyFill="1" applyBorder="1" applyAlignment="1">
      <alignment vertical="center" wrapText="1"/>
    </xf>
    <xf numFmtId="164" fontId="21" fillId="5" borderId="1" xfId="0" applyNumberFormat="1" applyFont="1" applyFill="1" applyBorder="1" applyAlignment="1">
      <alignment horizontal="center" vertical="center"/>
    </xf>
    <xf numFmtId="164" fontId="21" fillId="5" borderId="1" xfId="0" applyNumberFormat="1" applyFont="1" applyFill="1" applyBorder="1" applyAlignment="1">
      <alignment horizontal="right" vertical="center"/>
    </xf>
    <xf numFmtId="14" fontId="21" fillId="5" borderId="1" xfId="0" applyNumberFormat="1" applyFont="1" applyFill="1" applyBorder="1" applyAlignment="1">
      <alignment vertical="center" wrapText="1"/>
    </xf>
    <xf numFmtId="164" fontId="21" fillId="5" borderId="1" xfId="0" applyNumberFormat="1" applyFont="1" applyFill="1" applyBorder="1" applyAlignment="1">
      <alignment horizontal="right" vertical="center" wrapText="1"/>
    </xf>
    <xf numFmtId="164" fontId="21" fillId="5" borderId="4" xfId="0" applyNumberFormat="1" applyFont="1" applyFill="1" applyBorder="1" applyAlignment="1">
      <alignment horizontal="right" vertical="center"/>
    </xf>
    <xf numFmtId="164" fontId="21" fillId="5" borderId="1" xfId="0" applyNumberFormat="1" applyFont="1" applyFill="1" applyBorder="1" applyAlignment="1">
      <alignment horizontal="center" vertical="center" wrapText="1"/>
    </xf>
    <xf numFmtId="164" fontId="21" fillId="5" borderId="4" xfId="0" applyNumberFormat="1" applyFont="1" applyFill="1" applyBorder="1" applyAlignment="1">
      <alignment horizontal="center" vertical="center" wrapText="1"/>
    </xf>
    <xf numFmtId="165" fontId="21" fillId="5" borderId="1" xfId="0" applyNumberFormat="1" applyFont="1" applyFill="1" applyBorder="1" applyAlignment="1">
      <alignment horizontal="center" vertical="center" wrapText="1"/>
    </xf>
    <xf numFmtId="165" fontId="21" fillId="5" borderId="1" xfId="0" applyNumberFormat="1" applyFont="1" applyFill="1" applyBorder="1" applyAlignment="1">
      <alignment horizontal="right" vertical="center"/>
    </xf>
    <xf numFmtId="2" fontId="37" fillId="4" borderId="1" xfId="0" applyNumberFormat="1" applyFont="1" applyFill="1" applyBorder="1" applyAlignment="1">
      <alignment horizontal="right" vertical="center"/>
    </xf>
    <xf numFmtId="164" fontId="37" fillId="4" borderId="1" xfId="0" applyNumberFormat="1" applyFont="1" applyFill="1" applyBorder="1" applyAlignment="1">
      <alignment horizontal="right" vertical="center" wrapText="1"/>
    </xf>
    <xf numFmtId="165" fontId="0" fillId="5" borderId="0" xfId="0" applyNumberFormat="1" applyFill="1"/>
    <xf numFmtId="0" fontId="56" fillId="8" borderId="27" xfId="0" applyFont="1" applyFill="1" applyBorder="1" applyAlignment="1">
      <alignment horizontal="center" vertical="center" wrapText="1"/>
    </xf>
    <xf numFmtId="14" fontId="74" fillId="5" borderId="1" xfId="0" applyNumberFormat="1" applyFont="1" applyFill="1" applyBorder="1" applyAlignment="1">
      <alignment horizontal="right" vertical="center" wrapText="1"/>
    </xf>
    <xf numFmtId="164" fontId="0" fillId="0" borderId="0" xfId="0" applyNumberFormat="1"/>
    <xf numFmtId="14" fontId="28" fillId="5" borderId="1" xfId="0" applyNumberFormat="1" applyFont="1" applyFill="1" applyBorder="1" applyAlignment="1">
      <alignment horizontal="right" vertical="center" wrapText="1"/>
    </xf>
    <xf numFmtId="14" fontId="32" fillId="5" borderId="1" xfId="0" applyNumberFormat="1" applyFont="1" applyFill="1" applyBorder="1" applyAlignment="1">
      <alignment vertical="center" wrapText="1"/>
    </xf>
    <xf numFmtId="14" fontId="20" fillId="5" borderId="1" xfId="0" applyNumberFormat="1" applyFont="1" applyFill="1" applyBorder="1" applyAlignment="1">
      <alignment vertical="center" wrapText="1"/>
    </xf>
    <xf numFmtId="14" fontId="19" fillId="5" borderId="1" xfId="0" applyNumberFormat="1" applyFont="1" applyFill="1" applyBorder="1" applyAlignment="1">
      <alignment horizontal="right" vertical="center" wrapText="1"/>
    </xf>
    <xf numFmtId="14" fontId="17" fillId="5" borderId="1" xfId="0" applyNumberFormat="1" applyFont="1" applyFill="1" applyBorder="1" applyAlignment="1">
      <alignment horizontal="right" vertical="center" wrapText="1"/>
    </xf>
    <xf numFmtId="14" fontId="48" fillId="5" borderId="1" xfId="0" applyNumberFormat="1" applyFont="1" applyFill="1" applyBorder="1" applyAlignment="1">
      <alignment horizontal="right" vertical="center" wrapText="1"/>
    </xf>
    <xf numFmtId="14" fontId="16" fillId="5" borderId="1" xfId="0" applyNumberFormat="1" applyFont="1" applyFill="1" applyBorder="1" applyAlignment="1">
      <alignment horizontal="right" vertical="center" wrapText="1"/>
    </xf>
    <xf numFmtId="14" fontId="65"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14" fontId="73" fillId="5" borderId="1" xfId="0" applyNumberFormat="1" applyFont="1" applyFill="1" applyBorder="1" applyAlignment="1">
      <alignment horizontal="right" vertical="center" wrapText="1"/>
    </xf>
    <xf numFmtId="164" fontId="38" fillId="5" borderId="1" xfId="0" applyNumberFormat="1" applyFont="1" applyFill="1" applyBorder="1" applyAlignment="1">
      <alignment horizontal="right" vertical="center" wrapText="1"/>
    </xf>
    <xf numFmtId="14" fontId="15" fillId="5" borderId="1" xfId="0" applyNumberFormat="1" applyFont="1" applyFill="1" applyBorder="1" applyAlignment="1">
      <alignment horizontal="right" vertical="center" wrapText="1"/>
    </xf>
    <xf numFmtId="14" fontId="14" fillId="5" borderId="1" xfId="0" applyNumberFormat="1" applyFont="1" applyFill="1" applyBorder="1" applyAlignment="1">
      <alignment horizontal="right" vertical="center" wrapText="1"/>
    </xf>
    <xf numFmtId="14" fontId="0" fillId="5" borderId="1" xfId="0" applyNumberForma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11" fillId="5" borderId="1" xfId="0" applyNumberFormat="1" applyFont="1" applyFill="1" applyBorder="1" applyAlignment="1">
      <alignment horizontal="left" vertical="center" wrapText="1"/>
    </xf>
    <xf numFmtId="14" fontId="26" fillId="5" borderId="5" xfId="0" applyNumberFormat="1" applyFont="1" applyFill="1" applyBorder="1" applyAlignment="1">
      <alignment horizontal="left" vertical="center" wrapText="1"/>
    </xf>
    <xf numFmtId="0" fontId="41" fillId="5" borderId="16" xfId="0" applyFont="1" applyFill="1" applyBorder="1" applyAlignment="1">
      <alignment horizontal="center" vertical="center" wrapText="1"/>
    </xf>
    <xf numFmtId="0" fontId="41" fillId="5" borderId="0" xfId="0" applyFont="1" applyFill="1" applyAlignment="1">
      <alignment horizontal="center" vertical="center" wrapText="1"/>
    </xf>
    <xf numFmtId="0" fontId="56" fillId="5" borderId="0" xfId="0" applyFont="1" applyFill="1" applyAlignment="1">
      <alignment horizontal="center" vertical="center" wrapText="1"/>
    </xf>
    <xf numFmtId="2" fontId="0" fillId="5" borderId="0" xfId="0" applyNumberFormat="1" applyFill="1" applyAlignment="1">
      <alignment vertical="center"/>
    </xf>
    <xf numFmtId="2" fontId="38" fillId="5" borderId="0" xfId="0" applyNumberFormat="1" applyFont="1" applyFill="1" applyAlignment="1">
      <alignment horizontal="right" vertical="center"/>
    </xf>
    <xf numFmtId="2" fontId="37" fillId="5" borderId="0" xfId="0" applyNumberFormat="1" applyFont="1" applyFill="1" applyAlignment="1">
      <alignment horizontal="right" vertical="center"/>
    </xf>
    <xf numFmtId="164" fontId="38" fillId="5" borderId="0" xfId="0" applyNumberFormat="1" applyFont="1" applyFill="1" applyAlignment="1">
      <alignment horizontal="right" vertical="center"/>
    </xf>
    <xf numFmtId="2" fontId="0" fillId="5" borderId="0" xfId="0" applyNumberFormat="1" applyFill="1" applyAlignment="1">
      <alignment horizontal="right" vertical="center"/>
    </xf>
    <xf numFmtId="164" fontId="37" fillId="5" borderId="0" xfId="0" applyNumberFormat="1" applyFont="1" applyFill="1" applyAlignment="1">
      <alignment horizontal="right" vertical="center"/>
    </xf>
    <xf numFmtId="2" fontId="38" fillId="5" borderId="0" xfId="0" applyNumberFormat="1" applyFont="1" applyFill="1" applyAlignment="1">
      <alignment vertical="center"/>
    </xf>
    <xf numFmtId="165" fontId="37" fillId="0" borderId="0" xfId="0" applyNumberFormat="1" applyFont="1" applyAlignment="1">
      <alignment horizontal="center"/>
    </xf>
    <xf numFmtId="167" fontId="0" fillId="0" borderId="0" xfId="4" applyNumberFormat="1" applyFont="1" applyFill="1" applyAlignment="1">
      <alignment horizontal="center"/>
    </xf>
    <xf numFmtId="0" fontId="41" fillId="2" borderId="40" xfId="0" applyFont="1" applyFill="1" applyBorder="1" applyAlignment="1">
      <alignment horizontal="center" vertical="center" wrapText="1"/>
    </xf>
    <xf numFmtId="0" fontId="56" fillId="0" borderId="41" xfId="0" applyFont="1" applyBorder="1" applyAlignment="1">
      <alignment horizontal="center" vertical="center" wrapText="1"/>
    </xf>
    <xf numFmtId="0" fontId="56" fillId="2" borderId="42" xfId="0" applyFont="1" applyFill="1" applyBorder="1" applyAlignment="1">
      <alignment horizontal="center" vertical="center" wrapText="1"/>
    </xf>
    <xf numFmtId="164" fontId="0" fillId="5" borderId="39" xfId="0" applyNumberFormat="1" applyFill="1" applyBorder="1" applyAlignment="1">
      <alignment horizontal="center" vertical="center"/>
    </xf>
    <xf numFmtId="164" fontId="37" fillId="5" borderId="40" xfId="0" applyNumberFormat="1" applyFont="1" applyFill="1" applyBorder="1" applyAlignment="1">
      <alignment horizontal="right" vertical="center"/>
    </xf>
    <xf numFmtId="164" fontId="0" fillId="5" borderId="41" xfId="0" applyNumberFormat="1" applyFill="1" applyBorder="1" applyAlignment="1">
      <alignment horizontal="center" vertical="center"/>
    </xf>
    <xf numFmtId="165" fontId="37" fillId="0" borderId="27" xfId="0" applyNumberFormat="1" applyFont="1" applyBorder="1" applyAlignment="1">
      <alignment horizontal="center" vertical="center" wrapText="1"/>
    </xf>
    <xf numFmtId="165" fontId="37" fillId="5" borderId="27" xfId="0" applyNumberFormat="1" applyFont="1" applyFill="1" applyBorder="1" applyAlignment="1">
      <alignment horizontal="center" vertical="center" wrapText="1"/>
    </xf>
    <xf numFmtId="165" fontId="37" fillId="0" borderId="27" xfId="0" applyNumberFormat="1" applyFont="1" applyBorder="1" applyAlignment="1">
      <alignment horizontal="right" vertical="center"/>
    </xf>
    <xf numFmtId="165" fontId="37" fillId="5" borderId="27" xfId="0" applyNumberFormat="1" applyFont="1" applyFill="1" applyBorder="1" applyAlignment="1">
      <alignment horizontal="right" vertical="center"/>
    </xf>
    <xf numFmtId="164" fontId="37" fillId="5" borderId="27" xfId="0" applyNumberFormat="1" applyFont="1" applyFill="1" applyBorder="1" applyAlignment="1">
      <alignment horizontal="right" vertical="center"/>
    </xf>
    <xf numFmtId="164" fontId="37" fillId="6" borderId="27" xfId="0" applyNumberFormat="1" applyFont="1" applyFill="1" applyBorder="1" applyAlignment="1">
      <alignment horizontal="right" vertical="center"/>
    </xf>
    <xf numFmtId="164" fontId="37" fillId="5" borderId="42" xfId="0" applyNumberFormat="1" applyFont="1" applyFill="1" applyBorder="1" applyAlignment="1">
      <alignment horizontal="right" vertical="center"/>
    </xf>
    <xf numFmtId="0" fontId="49" fillId="2" borderId="37" xfId="0" applyFont="1" applyFill="1" applyBorder="1" applyAlignment="1">
      <alignment vertical="top"/>
    </xf>
    <xf numFmtId="0" fontId="38" fillId="5" borderId="49" xfId="0" applyFont="1" applyFill="1" applyBorder="1" applyAlignment="1">
      <alignment horizontal="center" vertical="center" wrapText="1"/>
    </xf>
    <xf numFmtId="164" fontId="38" fillId="5" borderId="49" xfId="0" applyNumberFormat="1" applyFont="1" applyFill="1" applyBorder="1" applyAlignment="1">
      <alignment horizontal="center" vertical="center" wrapText="1"/>
    </xf>
    <xf numFmtId="0" fontId="49" fillId="2" borderId="37" xfId="0" applyFont="1" applyFill="1" applyBorder="1" applyAlignment="1">
      <alignment vertical="center"/>
    </xf>
    <xf numFmtId="0" fontId="38" fillId="5" borderId="39" xfId="0" applyFont="1" applyFill="1" applyBorder="1" applyAlignment="1">
      <alignment horizontal="center" vertical="center" wrapText="1"/>
    </xf>
    <xf numFmtId="0" fontId="37" fillId="5" borderId="49" xfId="0" applyFont="1" applyFill="1" applyBorder="1" applyAlignment="1">
      <alignment horizontal="center" vertical="center" wrapText="1"/>
    </xf>
    <xf numFmtId="0" fontId="37" fillId="5" borderId="40" xfId="0" applyFont="1" applyFill="1" applyBorder="1" applyAlignment="1">
      <alignment horizontal="center" vertical="center" wrapText="1"/>
    </xf>
    <xf numFmtId="0" fontId="37" fillId="5" borderId="46" xfId="0" applyFont="1" applyFill="1" applyBorder="1" applyAlignment="1">
      <alignment horizontal="center" vertical="center" wrapText="1"/>
    </xf>
    <xf numFmtId="0" fontId="38" fillId="5" borderId="40" xfId="0" applyFont="1" applyFill="1" applyBorder="1" applyAlignment="1">
      <alignment horizontal="center" vertical="center" wrapText="1"/>
    </xf>
    <xf numFmtId="0" fontId="48" fillId="5" borderId="27" xfId="0" applyFont="1" applyFill="1" applyBorder="1" applyAlignment="1">
      <alignment vertical="center" wrapText="1"/>
    </xf>
    <xf numFmtId="14" fontId="37" fillId="5" borderId="27" xfId="0" applyNumberFormat="1" applyFont="1" applyFill="1" applyBorder="1" applyAlignment="1">
      <alignment horizontal="right" vertical="center" wrapText="1"/>
    </xf>
    <xf numFmtId="0" fontId="44" fillId="5" borderId="27" xfId="2" applyFill="1" applyBorder="1" applyAlignment="1">
      <alignment vertical="center" wrapText="1"/>
    </xf>
    <xf numFmtId="0" fontId="37" fillId="5" borderId="27" xfId="0" applyFont="1" applyFill="1" applyBorder="1" applyAlignment="1">
      <alignment vertical="center" wrapText="1"/>
    </xf>
    <xf numFmtId="0" fontId="37" fillId="5" borderId="27" xfId="0" applyFont="1" applyFill="1" applyBorder="1" applyAlignment="1">
      <alignment horizontal="center" vertical="center"/>
    </xf>
    <xf numFmtId="0" fontId="37" fillId="5" borderId="42" xfId="0" applyFont="1" applyFill="1" applyBorder="1" applyAlignment="1">
      <alignment horizontal="center" vertical="center" wrapText="1"/>
    </xf>
    <xf numFmtId="164" fontId="49" fillId="2" borderId="43" xfId="0" applyNumberFormat="1" applyFont="1" applyFill="1" applyBorder="1" applyAlignment="1">
      <alignment horizontal="center" vertical="center" wrapText="1"/>
    </xf>
    <xf numFmtId="0" fontId="53" fillId="2" borderId="38" xfId="0" applyFont="1" applyFill="1" applyBorder="1" applyAlignment="1">
      <alignment vertical="top" wrapText="1"/>
    </xf>
    <xf numFmtId="164" fontId="37" fillId="5" borderId="39" xfId="0" applyNumberFormat="1" applyFont="1" applyFill="1" applyBorder="1" applyAlignment="1">
      <alignment vertical="center"/>
    </xf>
    <xf numFmtId="0" fontId="38" fillId="5" borderId="40" xfId="0" applyFont="1" applyFill="1" applyBorder="1" applyAlignment="1">
      <alignment vertical="center" wrapText="1"/>
    </xf>
    <xf numFmtId="164" fontId="49" fillId="2" borderId="39" xfId="0" applyNumberFormat="1" applyFont="1" applyFill="1" applyBorder="1" applyAlignment="1">
      <alignment horizontal="center" vertical="center" wrapText="1"/>
    </xf>
    <xf numFmtId="0" fontId="37" fillId="5" borderId="40" xfId="0" applyFont="1" applyFill="1" applyBorder="1" applyAlignment="1">
      <alignment vertical="center" wrapText="1"/>
    </xf>
    <xf numFmtId="0" fontId="24" fillId="5" borderId="51" xfId="0" applyFont="1" applyFill="1" applyBorder="1" applyAlignment="1">
      <alignment wrapText="1"/>
    </xf>
    <xf numFmtId="165" fontId="37" fillId="5" borderId="39" xfId="0" applyNumberFormat="1" applyFont="1" applyFill="1" applyBorder="1" applyAlignment="1">
      <alignment horizontal="right" vertical="center"/>
    </xf>
    <xf numFmtId="0" fontId="38" fillId="5" borderId="42" xfId="0" applyFont="1" applyFill="1" applyBorder="1" applyAlignment="1">
      <alignment vertical="center" wrapText="1"/>
    </xf>
    <xf numFmtId="164" fontId="38" fillId="5" borderId="0" xfId="0" applyNumberFormat="1" applyFont="1" applyFill="1" applyAlignment="1">
      <alignment horizontal="center" vertical="center" wrapText="1"/>
    </xf>
    <xf numFmtId="0" fontId="36" fillId="5" borderId="0" xfId="0" applyFont="1" applyFill="1" applyAlignment="1">
      <alignment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36" fillId="5" borderId="0" xfId="0" applyFont="1" applyFill="1" applyAlignment="1">
      <alignment horizontal="center" vertical="center" wrapText="1"/>
    </xf>
    <xf numFmtId="0" fontId="38" fillId="5" borderId="0" xfId="0" applyFont="1" applyFill="1" applyAlignment="1">
      <alignment horizontal="center" vertical="center" wrapText="1"/>
    </xf>
    <xf numFmtId="0" fontId="37" fillId="5" borderId="0" xfId="0" applyFont="1" applyFill="1" applyAlignment="1">
      <alignment horizontal="center" vertical="center" wrapText="1"/>
    </xf>
    <xf numFmtId="0" fontId="36" fillId="13" borderId="0" xfId="0" applyFont="1" applyFill="1" applyAlignment="1">
      <alignment vertical="center" wrapText="1"/>
    </xf>
    <xf numFmtId="164" fontId="45" fillId="13" borderId="0" xfId="0" applyNumberFormat="1" applyFont="1" applyFill="1" applyAlignment="1">
      <alignment horizontal="center" vertical="center" wrapText="1"/>
    </xf>
    <xf numFmtId="164" fontId="49" fillId="13" borderId="23" xfId="0" applyNumberFormat="1" applyFont="1" applyFill="1" applyBorder="1" applyAlignment="1">
      <alignment horizontal="center" vertical="center" wrapText="1"/>
    </xf>
    <xf numFmtId="0" fontId="53" fillId="13" borderId="51" xfId="0" applyFont="1" applyFill="1" applyBorder="1" applyAlignment="1">
      <alignment vertical="top" wrapText="1"/>
    </xf>
    <xf numFmtId="0" fontId="0" fillId="13" borderId="0" xfId="0" applyFill="1" applyAlignment="1">
      <alignment horizontal="center" vertical="center" wrapText="1"/>
    </xf>
    <xf numFmtId="2" fontId="0" fillId="13" borderId="0" xfId="0" applyNumberFormat="1" applyFill="1" applyAlignment="1">
      <alignment vertical="center"/>
    </xf>
    <xf numFmtId="14" fontId="11" fillId="13" borderId="1" xfId="0" applyNumberFormat="1" applyFont="1" applyFill="1" applyBorder="1" applyAlignment="1">
      <alignment horizontal="left" vertical="center" wrapText="1"/>
    </xf>
    <xf numFmtId="14" fontId="27" fillId="13" borderId="1" xfId="0" applyNumberFormat="1" applyFont="1" applyFill="1" applyBorder="1" applyAlignment="1">
      <alignment horizontal="left" vertical="center" wrapText="1"/>
    </xf>
    <xf numFmtId="14" fontId="26" fillId="13" borderId="1" xfId="0" applyNumberFormat="1" applyFont="1" applyFill="1" applyBorder="1" applyAlignment="1">
      <alignment horizontal="left" vertical="center" wrapText="1"/>
    </xf>
    <xf numFmtId="0" fontId="44" fillId="5" borderId="5" xfId="2" applyFill="1" applyBorder="1" applyAlignment="1">
      <alignment vertical="center" wrapText="1"/>
    </xf>
    <xf numFmtId="0" fontId="47" fillId="13" borderId="1" xfId="0" applyFont="1" applyFill="1" applyBorder="1" applyAlignment="1">
      <alignment vertical="top"/>
    </xf>
    <xf numFmtId="0" fontId="36" fillId="13" borderId="0" xfId="0" applyFont="1" applyFill="1" applyAlignment="1">
      <alignment horizontal="center" vertical="center" wrapText="1"/>
    </xf>
    <xf numFmtId="164" fontId="49" fillId="13" borderId="45" xfId="0" applyNumberFormat="1" applyFont="1" applyFill="1" applyBorder="1" applyAlignment="1">
      <alignment horizontal="center" vertical="center" wrapText="1"/>
    </xf>
    <xf numFmtId="0" fontId="53" fillId="13" borderId="38" xfId="0" applyFont="1" applyFill="1" applyBorder="1" applyAlignment="1">
      <alignment vertical="top" wrapText="1"/>
    </xf>
    <xf numFmtId="14" fontId="38" fillId="5" borderId="1" xfId="0" applyNumberFormat="1" applyFont="1" applyFill="1" applyBorder="1" applyAlignment="1">
      <alignment horizontal="center" vertical="center" wrapText="1"/>
    </xf>
    <xf numFmtId="164" fontId="49" fillId="13" borderId="1" xfId="0" applyNumberFormat="1" applyFont="1" applyFill="1" applyBorder="1" applyAlignment="1">
      <alignment horizontal="center" vertical="center" wrapText="1"/>
    </xf>
    <xf numFmtId="164" fontId="49" fillId="13" borderId="5" xfId="0" applyNumberFormat="1" applyFont="1" applyFill="1" applyBorder="1" applyAlignment="1">
      <alignment horizontal="center" vertical="center" wrapText="1"/>
    </xf>
    <xf numFmtId="164" fontId="49" fillId="13" borderId="44" xfId="0" applyNumberFormat="1" applyFont="1" applyFill="1" applyBorder="1" applyAlignment="1">
      <alignment horizontal="center" vertical="center" wrapText="1"/>
    </xf>
    <xf numFmtId="164" fontId="40" fillId="13" borderId="1" xfId="0" applyNumberFormat="1" applyFont="1" applyFill="1" applyBorder="1" applyAlignment="1">
      <alignment horizontal="center" vertical="center"/>
    </xf>
    <xf numFmtId="164" fontId="49" fillId="13" borderId="1" xfId="0" applyNumberFormat="1" applyFont="1" applyFill="1" applyBorder="1" applyAlignment="1">
      <alignment horizontal="center" vertical="center"/>
    </xf>
    <xf numFmtId="164" fontId="49" fillId="13" borderId="39" xfId="0" applyNumberFormat="1" applyFont="1" applyFill="1" applyBorder="1" applyAlignment="1">
      <alignment horizontal="center" vertical="center"/>
    </xf>
    <xf numFmtId="164" fontId="40" fillId="13" borderId="39" xfId="0" applyNumberFormat="1" applyFont="1" applyFill="1" applyBorder="1" applyAlignment="1">
      <alignment horizontal="center" vertical="center"/>
    </xf>
    <xf numFmtId="164" fontId="40" fillId="13" borderId="40" xfId="0" applyNumberFormat="1" applyFont="1" applyFill="1" applyBorder="1" applyAlignment="1">
      <alignment horizontal="center" vertical="center"/>
    </xf>
    <xf numFmtId="164" fontId="49" fillId="13" borderId="40" xfId="0" applyNumberFormat="1" applyFont="1" applyFill="1" applyBorder="1" applyAlignment="1">
      <alignment horizontal="center" vertical="center"/>
    </xf>
    <xf numFmtId="164" fontId="49" fillId="14" borderId="5" xfId="0" applyNumberFormat="1" applyFont="1" applyFill="1" applyBorder="1" applyAlignment="1">
      <alignment horizontal="center" vertical="center" wrapText="1"/>
    </xf>
    <xf numFmtId="164" fontId="49" fillId="14" borderId="1" xfId="0" applyNumberFormat="1" applyFont="1" applyFill="1" applyBorder="1" applyAlignment="1">
      <alignment horizontal="center" vertical="center"/>
    </xf>
    <xf numFmtId="164" fontId="40" fillId="14" borderId="1" xfId="0" applyNumberFormat="1" applyFont="1" applyFill="1" applyBorder="1" applyAlignment="1">
      <alignment horizontal="center" vertical="center"/>
    </xf>
    <xf numFmtId="0" fontId="38" fillId="5" borderId="46" xfId="0" applyFont="1" applyFill="1" applyBorder="1" applyAlignment="1">
      <alignment horizontal="center" vertical="center" wrapText="1"/>
    </xf>
    <xf numFmtId="164" fontId="49" fillId="13" borderId="4" xfId="0" applyNumberFormat="1" applyFont="1" applyFill="1" applyBorder="1" applyAlignment="1">
      <alignment horizontal="center" vertical="center" wrapText="1"/>
    </xf>
    <xf numFmtId="164" fontId="49" fillId="13" borderId="46" xfId="0" applyNumberFormat="1" applyFont="1" applyFill="1" applyBorder="1" applyAlignment="1">
      <alignment horizontal="center" vertical="center" wrapText="1"/>
    </xf>
    <xf numFmtId="164" fontId="49" fillId="9" borderId="4" xfId="0" applyNumberFormat="1" applyFont="1" applyFill="1" applyBorder="1" applyAlignment="1">
      <alignment horizontal="center" vertical="center" wrapText="1"/>
    </xf>
    <xf numFmtId="164" fontId="38" fillId="9" borderId="1" xfId="0" applyNumberFormat="1" applyFont="1" applyFill="1" applyBorder="1" applyAlignment="1">
      <alignment horizontal="right" vertical="center"/>
    </xf>
    <xf numFmtId="164" fontId="37" fillId="9" borderId="1" xfId="0" applyNumberFormat="1" applyFont="1" applyFill="1" applyBorder="1" applyAlignment="1">
      <alignment horizontal="right" vertical="center"/>
    </xf>
    <xf numFmtId="167" fontId="79" fillId="2" borderId="5" xfId="4" applyNumberFormat="1" applyFont="1" applyFill="1" applyBorder="1" applyAlignment="1">
      <alignment horizontal="center" vertical="center"/>
    </xf>
    <xf numFmtId="0" fontId="53" fillId="2" borderId="38" xfId="0" applyFont="1" applyFill="1" applyBorder="1" applyAlignment="1">
      <alignment horizontal="center" vertical="center" wrapText="1"/>
    </xf>
    <xf numFmtId="167" fontId="79" fillId="13" borderId="5" xfId="4" applyNumberFormat="1" applyFont="1" applyFill="1" applyBorder="1" applyAlignment="1">
      <alignment horizontal="center" vertical="center"/>
    </xf>
    <xf numFmtId="0" fontId="53" fillId="13" borderId="38" xfId="0" applyFont="1" applyFill="1" applyBorder="1" applyAlignment="1">
      <alignment horizontal="center" vertical="center" wrapText="1"/>
    </xf>
    <xf numFmtId="0" fontId="38" fillId="5" borderId="49" xfId="0" applyFont="1" applyFill="1" applyBorder="1" applyAlignment="1">
      <alignment horizontal="center" vertical="center"/>
    </xf>
    <xf numFmtId="0" fontId="38" fillId="13" borderId="1" xfId="0" applyFont="1" applyFill="1" applyBorder="1" applyAlignment="1">
      <alignment horizontal="center" vertical="center"/>
    </xf>
    <xf numFmtId="0" fontId="38" fillId="13" borderId="49" xfId="0" applyFont="1" applyFill="1" applyBorder="1" applyAlignment="1">
      <alignment horizontal="center" vertical="center" wrapText="1"/>
    </xf>
    <xf numFmtId="164" fontId="38" fillId="13" borderId="1" xfId="0" applyNumberFormat="1" applyFont="1" applyFill="1" applyBorder="1" applyAlignment="1">
      <alignment horizontal="center" vertical="center" wrapText="1"/>
    </xf>
    <xf numFmtId="167" fontId="79" fillId="2" borderId="1" xfId="4" applyNumberFormat="1" applyFont="1" applyFill="1" applyBorder="1" applyAlignment="1">
      <alignment horizontal="center" vertical="center"/>
    </xf>
    <xf numFmtId="0" fontId="53" fillId="2" borderId="49" xfId="0" applyFont="1" applyFill="1" applyBorder="1" applyAlignment="1">
      <alignment horizontal="center" vertical="center" wrapText="1"/>
    </xf>
    <xf numFmtId="167" fontId="79" fillId="13" borderId="4" xfId="4" applyNumberFormat="1" applyFont="1" applyFill="1" applyBorder="1" applyAlignment="1">
      <alignment horizontal="center" vertical="center"/>
    </xf>
    <xf numFmtId="0" fontId="53" fillId="13" borderId="50" xfId="0" applyFont="1" applyFill="1" applyBorder="1" applyAlignment="1">
      <alignment horizontal="center" vertical="center" wrapText="1"/>
    </xf>
    <xf numFmtId="0" fontId="38" fillId="2" borderId="49" xfId="0" applyFont="1" applyFill="1" applyBorder="1" applyAlignment="1">
      <alignment horizontal="center" vertical="center" wrapText="1"/>
    </xf>
    <xf numFmtId="164" fontId="49" fillId="13" borderId="0" xfId="0" applyNumberFormat="1" applyFont="1" applyFill="1" applyAlignment="1">
      <alignment horizontal="center" vertical="center" wrapText="1"/>
    </xf>
    <xf numFmtId="164" fontId="37" fillId="6" borderId="5" xfId="0" applyNumberFormat="1" applyFont="1" applyFill="1" applyBorder="1" applyAlignment="1">
      <alignment horizontal="right" vertical="center"/>
    </xf>
    <xf numFmtId="165" fontId="37" fillId="5" borderId="5" xfId="0" applyNumberFormat="1" applyFont="1" applyFill="1" applyBorder="1" applyAlignment="1">
      <alignment horizontal="center" vertical="center" wrapText="1"/>
    </xf>
    <xf numFmtId="164" fontId="37" fillId="5" borderId="44" xfId="0" applyNumberFormat="1" applyFont="1" applyFill="1" applyBorder="1" applyAlignment="1">
      <alignment horizontal="right" vertical="center"/>
    </xf>
    <xf numFmtId="14" fontId="26" fillId="5" borderId="1" xfId="0" applyNumberFormat="1" applyFont="1" applyFill="1" applyBorder="1" applyAlignment="1">
      <alignment horizontal="left" vertical="center" wrapText="1"/>
    </xf>
    <xf numFmtId="164" fontId="0" fillId="0" borderId="1" xfId="0" applyNumberFormat="1" applyBorder="1" applyAlignment="1">
      <alignment horizontal="center" vertical="center"/>
    </xf>
    <xf numFmtId="164" fontId="37" fillId="5" borderId="39" xfId="0" applyNumberFormat="1" applyFont="1" applyFill="1" applyBorder="1" applyAlignment="1">
      <alignment horizontal="right" vertical="center"/>
    </xf>
    <xf numFmtId="164" fontId="37" fillId="5" borderId="45" xfId="0" applyNumberFormat="1" applyFont="1" applyFill="1" applyBorder="1" applyAlignment="1">
      <alignment horizontal="right" vertical="center"/>
    </xf>
    <xf numFmtId="164" fontId="0" fillId="5" borderId="43" xfId="0" applyNumberFormat="1" applyFill="1" applyBorder="1" applyAlignment="1">
      <alignment horizontal="center" vertical="center"/>
    </xf>
    <xf numFmtId="165" fontId="37" fillId="0" borderId="5" xfId="0" applyNumberFormat="1" applyFont="1" applyBorder="1" applyAlignment="1">
      <alignment horizontal="center" vertical="center" wrapText="1"/>
    </xf>
    <xf numFmtId="165" fontId="37" fillId="0" borderId="5" xfId="0" applyNumberFormat="1" applyFont="1" applyBorder="1" applyAlignment="1">
      <alignment horizontal="right" vertical="center"/>
    </xf>
    <xf numFmtId="0" fontId="0" fillId="5" borderId="39" xfId="0" applyFill="1" applyBorder="1" applyAlignment="1">
      <alignment horizontal="center" vertical="center" wrapText="1"/>
    </xf>
    <xf numFmtId="0" fontId="0" fillId="5" borderId="23" xfId="0" applyFill="1" applyBorder="1" applyAlignment="1">
      <alignment horizontal="center" vertical="center"/>
    </xf>
    <xf numFmtId="0" fontId="0" fillId="5" borderId="43" xfId="0" applyFill="1" applyBorder="1" applyAlignment="1">
      <alignment horizontal="center" vertical="center"/>
    </xf>
    <xf numFmtId="165" fontId="37" fillId="5" borderId="43" xfId="0" applyNumberFormat="1" applyFont="1" applyFill="1" applyBorder="1" applyAlignment="1">
      <alignment horizontal="right" vertical="center"/>
    </xf>
    <xf numFmtId="0" fontId="48" fillId="5" borderId="5" xfId="0" applyFont="1" applyFill="1" applyBorder="1" applyAlignment="1">
      <alignment vertical="center" wrapText="1"/>
    </xf>
    <xf numFmtId="0" fontId="0" fillId="5" borderId="39" xfId="0" applyFill="1" applyBorder="1" applyAlignment="1">
      <alignment vertical="center"/>
    </xf>
    <xf numFmtId="0" fontId="56" fillId="2" borderId="40" xfId="0" applyFont="1" applyFill="1" applyBorder="1" applyAlignment="1">
      <alignment horizontal="center" vertical="center" wrapText="1"/>
    </xf>
    <xf numFmtId="164" fontId="49" fillId="13" borderId="39" xfId="0" applyNumberFormat="1" applyFont="1" applyFill="1" applyBorder="1" applyAlignment="1">
      <alignment horizontal="center" vertical="center" wrapText="1"/>
    </xf>
    <xf numFmtId="164" fontId="49" fillId="13" borderId="40" xfId="0" applyNumberFormat="1" applyFont="1" applyFill="1" applyBorder="1" applyAlignment="1">
      <alignment horizontal="center" vertical="center" wrapText="1"/>
    </xf>
    <xf numFmtId="164" fontId="37" fillId="5" borderId="40" xfId="0" applyNumberFormat="1" applyFont="1" applyFill="1" applyBorder="1" applyAlignment="1">
      <alignment horizontal="center" vertical="center"/>
    </xf>
    <xf numFmtId="164" fontId="37" fillId="5" borderId="40" xfId="0" applyNumberFormat="1" applyFont="1" applyFill="1" applyBorder="1" applyAlignment="1">
      <alignment horizontal="center" vertical="center" wrapText="1"/>
    </xf>
    <xf numFmtId="164" fontId="37" fillId="5" borderId="46" xfId="0" applyNumberFormat="1" applyFont="1" applyFill="1" applyBorder="1" applyAlignment="1">
      <alignment horizontal="center" vertical="center" wrapText="1"/>
    </xf>
    <xf numFmtId="165" fontId="37" fillId="5" borderId="40" xfId="0" applyNumberFormat="1" applyFont="1" applyFill="1" applyBorder="1" applyAlignment="1">
      <alignment horizontal="center" vertical="center" wrapText="1"/>
    </xf>
    <xf numFmtId="164" fontId="49" fillId="13" borderId="43" xfId="0" applyNumberFormat="1" applyFont="1" applyFill="1" applyBorder="1" applyAlignment="1">
      <alignment horizontal="center" vertical="center" wrapText="1"/>
    </xf>
    <xf numFmtId="0" fontId="38" fillId="13" borderId="49" xfId="0" applyFont="1" applyFill="1" applyBorder="1" applyAlignment="1">
      <alignment horizontal="left" vertical="center" wrapText="1"/>
    </xf>
    <xf numFmtId="0" fontId="38" fillId="5" borderId="49" xfId="0" applyFont="1" applyFill="1" applyBorder="1" applyAlignment="1">
      <alignment horizontal="left" vertical="center" wrapText="1"/>
    </xf>
    <xf numFmtId="0" fontId="38" fillId="5" borderId="49" xfId="0" applyFont="1" applyFill="1" applyBorder="1" applyAlignment="1">
      <alignment vertical="center" wrapText="1"/>
    </xf>
    <xf numFmtId="0" fontId="38" fillId="13" borderId="49" xfId="0" applyFont="1" applyFill="1" applyBorder="1" applyAlignment="1">
      <alignment vertical="center" wrapText="1"/>
    </xf>
    <xf numFmtId="0" fontId="38" fillId="5" borderId="50" xfId="0" applyFont="1" applyFill="1" applyBorder="1" applyAlignment="1">
      <alignment horizontal="left" vertical="center" wrapText="1"/>
    </xf>
    <xf numFmtId="0" fontId="37" fillId="5" borderId="49" xfId="0" applyFont="1" applyFill="1" applyBorder="1" applyAlignment="1">
      <alignment vertical="center" wrapText="1"/>
    </xf>
    <xf numFmtId="0" fontId="0" fillId="5" borderId="49" xfId="0" applyFill="1" applyBorder="1" applyAlignment="1">
      <alignment vertical="center" wrapText="1"/>
    </xf>
    <xf numFmtId="164" fontId="38" fillId="5" borderId="49" xfId="0" applyNumberFormat="1" applyFont="1" applyFill="1" applyBorder="1" applyAlignment="1">
      <alignment vertical="center" wrapText="1"/>
    </xf>
    <xf numFmtId="0" fontId="38" fillId="2" borderId="49" xfId="0" applyFont="1" applyFill="1" applyBorder="1" applyAlignment="1">
      <alignment vertical="center" wrapText="1"/>
    </xf>
    <xf numFmtId="0" fontId="38" fillId="5" borderId="49" xfId="0" applyFont="1" applyFill="1" applyBorder="1" applyAlignment="1">
      <alignment vertical="top" wrapText="1"/>
    </xf>
    <xf numFmtId="0" fontId="53" fillId="2" borderId="49" xfId="0" applyFont="1" applyFill="1" applyBorder="1" applyAlignment="1">
      <alignment vertical="center" wrapText="1"/>
    </xf>
    <xf numFmtId="0" fontId="37" fillId="5" borderId="49" xfId="0" applyFont="1" applyFill="1" applyBorder="1" applyAlignment="1">
      <alignment vertical="top" wrapText="1"/>
    </xf>
    <xf numFmtId="0" fontId="37" fillId="5" borderId="49" xfId="0" applyFont="1" applyFill="1" applyBorder="1" applyAlignment="1">
      <alignment horizontal="left" vertical="center" wrapText="1"/>
    </xf>
    <xf numFmtId="0" fontId="77" fillId="5" borderId="49" xfId="0" applyFont="1" applyFill="1" applyBorder="1" applyAlignment="1">
      <alignment vertical="center" wrapText="1"/>
    </xf>
    <xf numFmtId="0" fontId="53" fillId="5" borderId="49" xfId="0" applyFont="1" applyFill="1" applyBorder="1" applyAlignment="1">
      <alignment vertical="center" wrapText="1"/>
    </xf>
    <xf numFmtId="0" fontId="23" fillId="5" borderId="49" xfId="0" applyFont="1" applyFill="1" applyBorder="1" applyAlignment="1">
      <alignment horizontal="left" vertical="center" wrapText="1"/>
    </xf>
    <xf numFmtId="0" fontId="18" fillId="5" borderId="49" xfId="0" applyFont="1" applyFill="1" applyBorder="1" applyAlignment="1">
      <alignment horizontal="left" vertical="center" wrapText="1"/>
    </xf>
    <xf numFmtId="0" fontId="15" fillId="5" borderId="49" xfId="0" applyFont="1" applyFill="1" applyBorder="1" applyAlignment="1">
      <alignment horizontal="left" vertical="center" wrapText="1"/>
    </xf>
    <xf numFmtId="0" fontId="58" fillId="5" borderId="49" xfId="0" applyFont="1" applyFill="1" applyBorder="1" applyAlignment="1">
      <alignment vertical="center" wrapText="1"/>
    </xf>
    <xf numFmtId="164" fontId="49" fillId="13" borderId="41" xfId="0" applyNumberFormat="1" applyFont="1" applyFill="1" applyBorder="1" applyAlignment="1">
      <alignment horizontal="center" vertical="center" wrapText="1"/>
    </xf>
    <xf numFmtId="14" fontId="37" fillId="5" borderId="5" xfId="0" applyNumberFormat="1" applyFont="1" applyFill="1" applyBorder="1" applyAlignment="1">
      <alignment horizontal="right" vertical="center" wrapText="1"/>
    </xf>
    <xf numFmtId="0" fontId="36" fillId="2" borderId="38" xfId="0" applyFont="1" applyFill="1" applyBorder="1" applyAlignment="1">
      <alignment vertical="top"/>
    </xf>
    <xf numFmtId="0" fontId="40" fillId="13" borderId="39" xfId="0" applyFont="1" applyFill="1" applyBorder="1" applyAlignment="1">
      <alignment horizontal="center" vertical="top"/>
    </xf>
    <xf numFmtId="0" fontId="36" fillId="13" borderId="40" xfId="0" applyFont="1" applyFill="1" applyBorder="1" applyAlignment="1">
      <alignment vertical="top"/>
    </xf>
    <xf numFmtId="0" fontId="49" fillId="13" borderId="39" xfId="0" applyFont="1" applyFill="1" applyBorder="1" applyAlignment="1">
      <alignment horizontal="center" vertical="center"/>
    </xf>
    <xf numFmtId="0" fontId="44" fillId="13" borderId="40" xfId="2" applyFill="1" applyBorder="1" applyAlignment="1">
      <alignment horizontal="left" vertical="center" wrapText="1"/>
    </xf>
    <xf numFmtId="0" fontId="44" fillId="5" borderId="40" xfId="2" applyFill="1" applyBorder="1" applyAlignment="1">
      <alignment vertical="center" wrapText="1"/>
    </xf>
    <xf numFmtId="0" fontId="40" fillId="13" borderId="39" xfId="0" applyFont="1" applyFill="1" applyBorder="1" applyAlignment="1">
      <alignment horizontal="center" vertical="center"/>
    </xf>
    <xf numFmtId="0" fontId="44" fillId="13" borderId="40" xfId="2" applyFill="1" applyBorder="1" applyAlignment="1">
      <alignment vertical="center" wrapText="1"/>
    </xf>
    <xf numFmtId="0" fontId="44" fillId="5" borderId="44" xfId="2" applyFill="1" applyBorder="1" applyAlignment="1">
      <alignment vertical="center" wrapText="1"/>
    </xf>
    <xf numFmtId="0" fontId="49" fillId="13" borderId="39" xfId="0" applyFont="1" applyFill="1" applyBorder="1" applyAlignment="1">
      <alignment horizontal="center" vertical="top"/>
    </xf>
    <xf numFmtId="164" fontId="44" fillId="5" borderId="40" xfId="2" applyNumberFormat="1" applyFill="1" applyBorder="1" applyAlignment="1">
      <alignment vertical="center" wrapText="1"/>
    </xf>
    <xf numFmtId="0" fontId="44" fillId="2" borderId="44" xfId="2" applyFill="1" applyBorder="1" applyAlignment="1">
      <alignment vertical="center" wrapText="1"/>
    </xf>
    <xf numFmtId="14" fontId="44" fillId="5" borderId="40" xfId="2" applyNumberFormat="1" applyFill="1" applyBorder="1" applyAlignment="1">
      <alignment vertical="center" wrapText="1"/>
    </xf>
    <xf numFmtId="0" fontId="44" fillId="5" borderId="51" xfId="2" applyFill="1" applyBorder="1" applyAlignment="1">
      <alignment vertical="center" wrapText="1"/>
    </xf>
    <xf numFmtId="0" fontId="61" fillId="5" borderId="40" xfId="2" applyFont="1" applyFill="1" applyBorder="1" applyAlignment="1">
      <alignment vertical="center" wrapText="1"/>
    </xf>
    <xf numFmtId="0" fontId="62" fillId="5" borderId="40" xfId="2" applyFont="1" applyFill="1" applyBorder="1" applyAlignment="1">
      <alignment vertical="center" wrapText="1"/>
    </xf>
    <xf numFmtId="0" fontId="76" fillId="5" borderId="40" xfId="2" applyFont="1" applyFill="1" applyBorder="1" applyAlignment="1">
      <alignment vertical="center" wrapText="1"/>
    </xf>
    <xf numFmtId="0" fontId="44" fillId="5" borderId="40" xfId="2" applyFill="1" applyBorder="1" applyAlignment="1">
      <alignment horizontal="left" vertical="center" wrapText="1"/>
    </xf>
    <xf numFmtId="0" fontId="44" fillId="5" borderId="40" xfId="2" applyFill="1" applyBorder="1" applyAlignment="1">
      <alignment vertical="center"/>
    </xf>
    <xf numFmtId="0" fontId="55" fillId="5" borderId="40" xfId="0" applyFont="1" applyFill="1" applyBorder="1" applyAlignment="1">
      <alignment vertical="center" wrapText="1"/>
    </xf>
    <xf numFmtId="0" fontId="44" fillId="5" borderId="51" xfId="2" applyFill="1" applyBorder="1" applyAlignment="1">
      <alignment horizontal="left" vertical="center" wrapText="1"/>
    </xf>
    <xf numFmtId="0" fontId="49" fillId="13" borderId="41" xfId="0" applyFont="1" applyFill="1" applyBorder="1" applyAlignment="1">
      <alignment horizontal="center" vertical="top"/>
    </xf>
    <xf numFmtId="0" fontId="47" fillId="13" borderId="27" xfId="0" applyFont="1" applyFill="1" applyBorder="1" applyAlignment="1">
      <alignment vertical="top"/>
    </xf>
    <xf numFmtId="0" fontId="36" fillId="13" borderId="42" xfId="0" applyFont="1" applyFill="1" applyBorder="1" applyAlignment="1">
      <alignment vertical="top"/>
    </xf>
    <xf numFmtId="0" fontId="82" fillId="5" borderId="16" xfId="0" applyFont="1" applyFill="1" applyBorder="1" applyAlignment="1">
      <alignment horizontal="left" vertical="top" wrapText="1"/>
    </xf>
    <xf numFmtId="0" fontId="82" fillId="5" borderId="36" xfId="0" applyFont="1" applyFill="1" applyBorder="1" applyAlignment="1">
      <alignment horizontal="left" vertical="top" wrapText="1"/>
    </xf>
    <xf numFmtId="0" fontId="82" fillId="5" borderId="0" xfId="0" applyFont="1" applyFill="1" applyAlignment="1">
      <alignment horizontal="left" vertical="top" wrapText="1"/>
    </xf>
    <xf numFmtId="165" fontId="82" fillId="5" borderId="14" xfId="0" applyNumberFormat="1" applyFont="1" applyFill="1" applyBorder="1" applyAlignment="1">
      <alignment horizontal="center" vertical="top" wrapText="1"/>
    </xf>
    <xf numFmtId="165" fontId="82" fillId="6" borderId="14" xfId="0" applyNumberFormat="1" applyFont="1" applyFill="1" applyBorder="1" applyAlignment="1">
      <alignment horizontal="center" vertical="top" wrapText="1"/>
    </xf>
    <xf numFmtId="165" fontId="82" fillId="5" borderId="22" xfId="0" applyNumberFormat="1" applyFont="1" applyFill="1" applyBorder="1" applyAlignment="1">
      <alignment horizontal="center" vertical="top" wrapText="1"/>
    </xf>
    <xf numFmtId="165" fontId="82" fillId="5" borderId="0" xfId="0" applyNumberFormat="1" applyFont="1" applyFill="1" applyAlignment="1">
      <alignment horizontal="center" vertical="top" wrapText="1"/>
    </xf>
    <xf numFmtId="165" fontId="82" fillId="5" borderId="29" xfId="0" applyNumberFormat="1" applyFont="1" applyFill="1" applyBorder="1" applyAlignment="1">
      <alignment horizontal="center" vertical="top" wrapText="1"/>
    </xf>
    <xf numFmtId="165" fontId="82" fillId="0" borderId="16" xfId="0" applyNumberFormat="1" applyFont="1" applyBorder="1" applyAlignment="1">
      <alignment horizontal="center" vertical="top" wrapText="1"/>
    </xf>
    <xf numFmtId="165" fontId="82" fillId="5" borderId="16" xfId="0" applyNumberFormat="1" applyFont="1" applyFill="1" applyBorder="1" applyAlignment="1">
      <alignment horizontal="center" vertical="top" wrapText="1"/>
    </xf>
    <xf numFmtId="165" fontId="82" fillId="5" borderId="36" xfId="0" applyNumberFormat="1" applyFont="1" applyFill="1" applyBorder="1" applyAlignment="1">
      <alignment horizontal="center" vertical="top" wrapText="1"/>
    </xf>
    <xf numFmtId="165" fontId="82" fillId="0" borderId="13" xfId="0" applyNumberFormat="1" applyFont="1" applyBorder="1" applyAlignment="1">
      <alignment horizontal="center" vertical="top" wrapText="1"/>
    </xf>
    <xf numFmtId="165" fontId="82" fillId="5" borderId="13" xfId="0" applyNumberFormat="1" applyFont="1" applyFill="1" applyBorder="1" applyAlignment="1">
      <alignment horizontal="center" vertical="top" wrapText="1"/>
    </xf>
    <xf numFmtId="164" fontId="49" fillId="4" borderId="5" xfId="0" applyNumberFormat="1" applyFont="1" applyFill="1" applyBorder="1" applyAlignment="1">
      <alignment horizontal="center" vertical="center" wrapText="1"/>
    </xf>
    <xf numFmtId="164" fontId="49" fillId="4" borderId="1" xfId="0" applyNumberFormat="1" applyFont="1" applyFill="1" applyBorder="1" applyAlignment="1">
      <alignment horizontal="center" vertical="center"/>
    </xf>
    <xf numFmtId="164" fontId="40" fillId="4" borderId="1" xfId="0" applyNumberFormat="1" applyFont="1" applyFill="1" applyBorder="1" applyAlignment="1">
      <alignment horizontal="center" vertical="center"/>
    </xf>
    <xf numFmtId="164" fontId="49" fillId="4" borderId="4" xfId="0" applyNumberFormat="1" applyFont="1" applyFill="1" applyBorder="1" applyAlignment="1">
      <alignment horizontal="center" vertical="center" wrapText="1"/>
    </xf>
    <xf numFmtId="164" fontId="37" fillId="4" borderId="1" xfId="0" applyNumberFormat="1" applyFont="1" applyFill="1" applyBorder="1" applyAlignment="1">
      <alignment horizontal="right" vertical="center"/>
    </xf>
    <xf numFmtId="165" fontId="82" fillId="4" borderId="14" xfId="0" applyNumberFormat="1" applyFont="1" applyFill="1" applyBorder="1" applyAlignment="1">
      <alignment horizontal="center" vertical="top" wrapText="1"/>
    </xf>
    <xf numFmtId="0" fontId="56" fillId="4" borderId="27" xfId="0" applyFont="1" applyFill="1" applyBorder="1" applyAlignment="1">
      <alignment horizontal="center" vertical="center" wrapText="1"/>
    </xf>
    <xf numFmtId="0" fontId="82" fillId="5" borderId="1" xfId="0" applyFont="1" applyFill="1" applyBorder="1" applyAlignment="1">
      <alignment vertical="top" wrapText="1"/>
    </xf>
    <xf numFmtId="0" fontId="82" fillId="5" borderId="40" xfId="0" applyFont="1" applyFill="1" applyBorder="1" applyAlignment="1">
      <alignment vertical="top" wrapText="1"/>
    </xf>
    <xf numFmtId="0" fontId="37" fillId="5" borderId="5" xfId="0" applyFont="1" applyFill="1" applyBorder="1" applyAlignment="1">
      <alignment vertical="top" wrapText="1"/>
    </xf>
    <xf numFmtId="0" fontId="37" fillId="5" borderId="5" xfId="0" applyFont="1" applyFill="1" applyBorder="1" applyAlignment="1">
      <alignment horizontal="center" vertical="center"/>
    </xf>
    <xf numFmtId="0" fontId="37" fillId="5" borderId="44" xfId="0" applyFont="1" applyFill="1" applyBorder="1" applyAlignment="1">
      <alignment horizontal="center" vertical="center" wrapText="1"/>
    </xf>
    <xf numFmtId="0" fontId="82" fillId="5" borderId="29" xfId="0" applyFont="1" applyFill="1" applyBorder="1" applyAlignment="1">
      <alignment horizontal="right" vertical="top" wrapText="1"/>
    </xf>
    <xf numFmtId="0" fontId="36" fillId="2" borderId="37" xfId="0" applyFont="1" applyFill="1" applyBorder="1" applyAlignment="1">
      <alignment vertical="top" wrapText="1"/>
    </xf>
    <xf numFmtId="0" fontId="36" fillId="13" borderId="39" xfId="0" applyFont="1" applyFill="1" applyBorder="1" applyAlignment="1">
      <alignment vertical="top" wrapText="1"/>
    </xf>
    <xf numFmtId="0" fontId="38" fillId="13" borderId="39" xfId="0" applyFont="1" applyFill="1" applyBorder="1" applyAlignment="1">
      <alignment horizontal="left" vertical="center" wrapText="1"/>
    </xf>
    <xf numFmtId="0" fontId="37" fillId="5" borderId="39" xfId="0" applyFont="1" applyFill="1" applyBorder="1" applyAlignment="1">
      <alignment vertical="center" wrapText="1"/>
    </xf>
    <xf numFmtId="0" fontId="37" fillId="13" borderId="39" xfId="0" applyFont="1" applyFill="1" applyBorder="1" applyAlignment="1">
      <alignment vertical="center" wrapText="1"/>
    </xf>
    <xf numFmtId="0" fontId="38" fillId="5" borderId="39" xfId="0" applyFont="1" applyFill="1" applyBorder="1" applyAlignment="1">
      <alignment vertical="center" wrapText="1"/>
    </xf>
    <xf numFmtId="0" fontId="38" fillId="13" borderId="39" xfId="0" applyFont="1" applyFill="1" applyBorder="1" applyAlignment="1">
      <alignment vertical="center" wrapText="1"/>
    </xf>
    <xf numFmtId="0" fontId="38" fillId="5" borderId="43" xfId="2" applyFont="1" applyFill="1" applyBorder="1" applyAlignment="1">
      <alignment vertical="center" wrapText="1"/>
    </xf>
    <xf numFmtId="0" fontId="38" fillId="5" borderId="39" xfId="0" applyFont="1" applyFill="1" applyBorder="1" applyAlignment="1">
      <alignment horizontal="left" vertical="center" wrapText="1"/>
    </xf>
    <xf numFmtId="164" fontId="38" fillId="5" borderId="39" xfId="0" applyNumberFormat="1" applyFont="1" applyFill="1" applyBorder="1" applyAlignment="1">
      <alignment vertical="center" wrapText="1"/>
    </xf>
    <xf numFmtId="0" fontId="37" fillId="2" borderId="43" xfId="0" applyFont="1" applyFill="1" applyBorder="1" applyAlignment="1">
      <alignment vertical="center" wrapText="1"/>
    </xf>
    <xf numFmtId="0" fontId="22" fillId="5" borderId="39" xfId="0" applyFont="1" applyFill="1" applyBorder="1" applyAlignment="1">
      <alignment vertical="center" wrapText="1"/>
    </xf>
    <xf numFmtId="49" fontId="31" fillId="5" borderId="39" xfId="0" applyNumberFormat="1" applyFont="1" applyFill="1" applyBorder="1" applyAlignment="1">
      <alignment vertical="center" wrapText="1"/>
    </xf>
    <xf numFmtId="49" fontId="30" fillId="5" borderId="39" xfId="0" applyNumberFormat="1" applyFont="1" applyFill="1" applyBorder="1" applyAlignment="1">
      <alignment vertical="center" wrapText="1"/>
    </xf>
    <xf numFmtId="0" fontId="36" fillId="2" borderId="52" xfId="0" applyFont="1" applyFill="1" applyBorder="1" applyAlignment="1">
      <alignment vertical="center" wrapText="1"/>
    </xf>
    <xf numFmtId="0" fontId="37" fillId="5" borderId="45" xfId="0" applyFont="1" applyFill="1" applyBorder="1" applyAlignment="1">
      <alignment vertical="center" wrapText="1"/>
    </xf>
    <xf numFmtId="0" fontId="37" fillId="5" borderId="45" xfId="0" applyFont="1" applyFill="1" applyBorder="1" applyAlignment="1">
      <alignment horizontal="left" vertical="center" wrapText="1"/>
    </xf>
    <xf numFmtId="0" fontId="37" fillId="5" borderId="39" xfId="0" applyFont="1" applyFill="1" applyBorder="1" applyAlignment="1">
      <alignment vertical="center"/>
    </xf>
    <xf numFmtId="0" fontId="0" fillId="5" borderId="35" xfId="0" applyFill="1" applyBorder="1" applyAlignment="1">
      <alignment horizontal="left" vertical="center" wrapText="1"/>
    </xf>
    <xf numFmtId="0" fontId="0" fillId="5" borderId="39" xfId="0" applyFill="1" applyBorder="1" applyAlignment="1">
      <alignment horizontal="left" vertical="center" wrapText="1"/>
    </xf>
    <xf numFmtId="0" fontId="37" fillId="5" borderId="39" xfId="0" applyFont="1" applyFill="1" applyBorder="1" applyAlignment="1">
      <alignment horizontal="left" vertical="center" wrapText="1"/>
    </xf>
    <xf numFmtId="0" fontId="19" fillId="5" borderId="39" xfId="0" applyFont="1" applyFill="1" applyBorder="1" applyAlignment="1">
      <alignment horizontal="left" vertical="center" wrapText="1"/>
    </xf>
    <xf numFmtId="0" fontId="37" fillId="5" borderId="39" xfId="0" applyFont="1" applyFill="1" applyBorder="1" applyAlignment="1">
      <alignment vertical="top" wrapText="1"/>
    </xf>
    <xf numFmtId="0" fontId="36" fillId="13" borderId="41" xfId="0" applyFont="1" applyFill="1" applyBorder="1" applyAlignment="1">
      <alignment vertical="top" wrapText="1"/>
    </xf>
    <xf numFmtId="167" fontId="79" fillId="13" borderId="27" xfId="4" applyNumberFormat="1" applyFont="1" applyFill="1" applyBorder="1" applyAlignment="1">
      <alignment horizontal="center" vertical="center"/>
    </xf>
    <xf numFmtId="0" fontId="53" fillId="13" borderId="54" xfId="0" applyFont="1" applyFill="1" applyBorder="1" applyAlignment="1">
      <alignment horizontal="center" vertical="center" wrapText="1"/>
    </xf>
    <xf numFmtId="164" fontId="49" fillId="13" borderId="27" xfId="0" applyNumberFormat="1" applyFont="1" applyFill="1" applyBorder="1" applyAlignment="1">
      <alignment horizontal="center" vertical="center" wrapText="1"/>
    </xf>
    <xf numFmtId="164" fontId="49" fillId="13" borderId="42" xfId="0" applyNumberFormat="1" applyFont="1" applyFill="1" applyBorder="1" applyAlignment="1">
      <alignment horizontal="center" vertical="center" wrapText="1"/>
    </xf>
    <xf numFmtId="164" fontId="49" fillId="9" borderId="27" xfId="0" applyNumberFormat="1" applyFont="1" applyFill="1" applyBorder="1" applyAlignment="1">
      <alignment horizontal="center" vertical="center" wrapText="1"/>
    </xf>
    <xf numFmtId="164" fontId="49" fillId="4" borderId="27" xfId="0" applyNumberFormat="1" applyFont="1" applyFill="1" applyBorder="1" applyAlignment="1">
      <alignment horizontal="center" vertical="center" wrapText="1"/>
    </xf>
    <xf numFmtId="164" fontId="49" fillId="5" borderId="0" xfId="0" applyNumberFormat="1" applyFont="1" applyFill="1" applyAlignment="1">
      <alignment horizontal="center" vertical="center" wrapText="1"/>
    </xf>
    <xf numFmtId="165" fontId="49" fillId="2" borderId="39" xfId="0" applyNumberFormat="1" applyFont="1" applyFill="1" applyBorder="1" applyAlignment="1">
      <alignment horizontal="center" vertical="center" wrapText="1"/>
    </xf>
    <xf numFmtId="165" fontId="49" fillId="0" borderId="1" xfId="0" applyNumberFormat="1" applyFont="1" applyBorder="1" applyAlignment="1">
      <alignment horizontal="center" vertical="center" wrapText="1"/>
    </xf>
    <xf numFmtId="165" fontId="49" fillId="2" borderId="1" xfId="0" applyNumberFormat="1" applyFont="1" applyFill="1" applyBorder="1" applyAlignment="1">
      <alignment horizontal="center" vertical="center" wrapText="1"/>
    </xf>
    <xf numFmtId="164" fontId="49" fillId="2" borderId="1" xfId="0" applyNumberFormat="1" applyFont="1" applyFill="1" applyBorder="1" applyAlignment="1">
      <alignment horizontal="center" vertical="center" wrapText="1"/>
    </xf>
    <xf numFmtId="164" fontId="49" fillId="8" borderId="1" xfId="0" applyNumberFormat="1" applyFont="1" applyFill="1" applyBorder="1" applyAlignment="1">
      <alignment horizontal="center" vertical="center" wrapText="1"/>
    </xf>
    <xf numFmtId="164" fontId="49" fillId="2" borderId="40" xfId="0" applyNumberFormat="1" applyFont="1" applyFill="1" applyBorder="1" applyAlignment="1">
      <alignment horizontal="center" vertical="center" wrapText="1"/>
    </xf>
    <xf numFmtId="164" fontId="49" fillId="7" borderId="1" xfId="0" applyNumberFormat="1" applyFont="1" applyFill="1" applyBorder="1" applyAlignment="1">
      <alignment horizontal="center" vertical="center" wrapText="1"/>
    </xf>
    <xf numFmtId="164" fontId="49" fillId="0" borderId="1" xfId="0" applyNumberFormat="1" applyFont="1" applyBorder="1" applyAlignment="1">
      <alignment horizontal="center" vertical="center" wrapText="1"/>
    </xf>
    <xf numFmtId="164" fontId="80" fillId="5" borderId="0" xfId="0" applyNumberFormat="1" applyFont="1" applyFill="1" applyAlignment="1">
      <alignment horizontal="center" vertical="center" wrapText="1"/>
    </xf>
    <xf numFmtId="164" fontId="80" fillId="2" borderId="39" xfId="0" applyNumberFormat="1" applyFont="1" applyFill="1" applyBorder="1" applyAlignment="1">
      <alignment horizontal="center" vertical="center" wrapText="1"/>
    </xf>
    <xf numFmtId="164" fontId="80" fillId="0" borderId="1" xfId="0" applyNumberFormat="1" applyFont="1" applyBorder="1" applyAlignment="1">
      <alignment horizontal="center" vertical="center" wrapText="1"/>
    </xf>
    <xf numFmtId="164" fontId="49" fillId="0" borderId="5" xfId="0" applyNumberFormat="1" applyFont="1" applyBorder="1" applyAlignment="1">
      <alignment horizontal="center" vertical="center" wrapText="1"/>
    </xf>
    <xf numFmtId="164" fontId="49" fillId="2" borderId="5" xfId="0" applyNumberFormat="1" applyFont="1" applyFill="1" applyBorder="1" applyAlignment="1">
      <alignment horizontal="center" vertical="center" wrapText="1"/>
    </xf>
    <xf numFmtId="164" fontId="49" fillId="8" borderId="5" xfId="0" applyNumberFormat="1" applyFont="1" applyFill="1" applyBorder="1" applyAlignment="1">
      <alignment horizontal="center" vertical="center" wrapText="1"/>
    </xf>
    <xf numFmtId="164" fontId="49" fillId="2" borderId="44" xfId="0" applyNumberFormat="1" applyFont="1" applyFill="1" applyBorder="1" applyAlignment="1">
      <alignment horizontal="center" vertical="center" wrapText="1"/>
    </xf>
    <xf numFmtId="165" fontId="49" fillId="13" borderId="45" xfId="0" applyNumberFormat="1" applyFont="1" applyFill="1" applyBorder="1" applyAlignment="1">
      <alignment horizontal="center" vertical="center" wrapText="1"/>
    </xf>
    <xf numFmtId="165" fontId="49" fillId="7" borderId="1" xfId="0" applyNumberFormat="1" applyFont="1" applyFill="1" applyBorder="1" applyAlignment="1">
      <alignment horizontal="center" vertical="center" wrapText="1"/>
    </xf>
    <xf numFmtId="0" fontId="83" fillId="15" borderId="39" xfId="0" applyFont="1" applyFill="1" applyBorder="1" applyAlignment="1">
      <alignment horizontal="center" vertical="center" wrapText="1"/>
    </xf>
    <xf numFmtId="3" fontId="84" fillId="0" borderId="39" xfId="0" applyNumberFormat="1" applyFont="1" applyBorder="1" applyAlignment="1">
      <alignment horizontal="center" wrapText="1"/>
    </xf>
    <xf numFmtId="165" fontId="84" fillId="0" borderId="39" xfId="0" applyNumberFormat="1" applyFont="1" applyBorder="1" applyAlignment="1">
      <alignment horizontal="center" vertical="center"/>
    </xf>
    <xf numFmtId="0" fontId="84" fillId="0" borderId="0" xfId="0" applyFont="1"/>
    <xf numFmtId="0" fontId="84" fillId="0" borderId="0" xfId="0" applyFont="1" applyAlignment="1">
      <alignment horizontal="center"/>
    </xf>
    <xf numFmtId="0" fontId="86" fillId="0" borderId="0" xfId="0" applyFont="1" applyAlignment="1">
      <alignment horizontal="center"/>
    </xf>
    <xf numFmtId="0" fontId="87" fillId="0" borderId="0" xfId="0" applyFont="1"/>
    <xf numFmtId="0" fontId="83" fillId="15" borderId="40" xfId="0" applyFont="1" applyFill="1" applyBorder="1" applyAlignment="1">
      <alignment horizontal="center" vertical="center" wrapText="1"/>
    </xf>
    <xf numFmtId="165" fontId="84" fillId="12" borderId="39" xfId="0" applyNumberFormat="1" applyFont="1" applyFill="1" applyBorder="1" applyAlignment="1">
      <alignment horizontal="center" vertical="center"/>
    </xf>
    <xf numFmtId="165" fontId="84" fillId="12" borderId="40" xfId="0" applyNumberFormat="1" applyFont="1" applyFill="1" applyBorder="1" applyAlignment="1">
      <alignment horizontal="center" vertical="center"/>
    </xf>
    <xf numFmtId="165" fontId="84" fillId="0" borderId="40" xfId="0" applyNumberFormat="1" applyFont="1" applyBorder="1" applyAlignment="1">
      <alignment horizontal="center" vertical="center"/>
    </xf>
    <xf numFmtId="0" fontId="84" fillId="0" borderId="0" xfId="0" applyFont="1" applyAlignment="1">
      <alignment horizontal="left" vertical="center"/>
    </xf>
    <xf numFmtId="3" fontId="84" fillId="0" borderId="0" xfId="0" applyNumberFormat="1" applyFont="1" applyAlignment="1">
      <alignment horizontal="center" vertical="center"/>
    </xf>
    <xf numFmtId="0" fontId="89" fillId="0" borderId="0" xfId="0" applyFont="1"/>
    <xf numFmtId="165" fontId="84" fillId="12" borderId="39" xfId="0" applyNumberFormat="1" applyFont="1" applyFill="1" applyBorder="1" applyAlignment="1">
      <alignment horizontal="center"/>
    </xf>
    <xf numFmtId="165" fontId="84" fillId="12" borderId="40" xfId="0" applyNumberFormat="1" applyFont="1" applyFill="1" applyBorder="1" applyAlignment="1">
      <alignment horizontal="center"/>
    </xf>
    <xf numFmtId="165" fontId="85" fillId="0" borderId="40" xfId="0" applyNumberFormat="1" applyFont="1" applyBorder="1" applyAlignment="1">
      <alignment horizontal="center" vertical="center" wrapText="1"/>
    </xf>
    <xf numFmtId="165" fontId="84" fillId="0" borderId="40" xfId="0" applyNumberFormat="1" applyFont="1" applyBorder="1" applyAlignment="1">
      <alignment horizontal="center" vertical="center" wrapText="1"/>
    </xf>
    <xf numFmtId="165" fontId="84" fillId="15" borderId="39" xfId="0" applyNumberFormat="1" applyFont="1" applyFill="1" applyBorder="1" applyAlignment="1">
      <alignment horizontal="center"/>
    </xf>
    <xf numFmtId="165" fontId="84" fillId="15" borderId="40" xfId="0" applyNumberFormat="1" applyFont="1" applyFill="1" applyBorder="1" applyAlignment="1">
      <alignment horizontal="center"/>
    </xf>
    <xf numFmtId="165" fontId="85" fillId="12" borderId="39" xfId="0" applyNumberFormat="1" applyFont="1" applyFill="1" applyBorder="1" applyAlignment="1">
      <alignment horizontal="center" vertical="center"/>
    </xf>
    <xf numFmtId="165" fontId="85" fillId="12" borderId="40" xfId="0" applyNumberFormat="1" applyFont="1" applyFill="1" applyBorder="1" applyAlignment="1">
      <alignment horizontal="center" vertical="center"/>
    </xf>
    <xf numFmtId="165" fontId="84" fillId="0" borderId="41" xfId="0" applyNumberFormat="1" applyFont="1" applyBorder="1" applyAlignment="1">
      <alignment horizontal="center" vertical="center"/>
    </xf>
    <xf numFmtId="165" fontId="84" fillId="0" borderId="42" xfId="0" applyNumberFormat="1" applyFont="1" applyBorder="1" applyAlignment="1">
      <alignment horizontal="center" vertical="center"/>
    </xf>
    <xf numFmtId="0" fontId="83" fillId="15" borderId="58" xfId="0" applyFont="1" applyFill="1" applyBorder="1"/>
    <xf numFmtId="0" fontId="84" fillId="0" borderId="58" xfId="0" applyFont="1" applyBorder="1" applyAlignment="1">
      <alignment horizontal="left" vertical="center"/>
    </xf>
    <xf numFmtId="0" fontId="83" fillId="12" borderId="58" xfId="0" applyFont="1" applyFill="1" applyBorder="1"/>
    <xf numFmtId="0" fontId="84" fillId="0" borderId="58" xfId="0" applyFont="1" applyBorder="1" applyAlignment="1">
      <alignment horizontal="left" vertical="center" wrapText="1"/>
    </xf>
    <xf numFmtId="0" fontId="83" fillId="12" borderId="58" xfId="0" applyFont="1" applyFill="1" applyBorder="1" applyAlignment="1">
      <alignment vertical="center"/>
    </xf>
    <xf numFmtId="0" fontId="85" fillId="0" borderId="58" xfId="0" applyFont="1" applyBorder="1" applyAlignment="1">
      <alignment horizontal="left" vertical="center" wrapText="1"/>
    </xf>
    <xf numFmtId="0" fontId="84" fillId="0" borderId="59" xfId="0" applyFont="1" applyBorder="1" applyAlignment="1">
      <alignment horizontal="left" vertical="center"/>
    </xf>
    <xf numFmtId="14" fontId="92" fillId="5" borderId="1" xfId="0" applyNumberFormat="1" applyFont="1" applyFill="1" applyBorder="1" applyAlignment="1">
      <alignment horizontal="right" vertical="center" wrapText="1"/>
    </xf>
    <xf numFmtId="14" fontId="10" fillId="5" borderId="1" xfId="0" applyNumberFormat="1" applyFont="1" applyFill="1" applyBorder="1" applyAlignment="1">
      <alignment horizontal="right" vertical="center" wrapText="1"/>
    </xf>
    <xf numFmtId="14" fontId="9" fillId="5" borderId="1" xfId="0" applyNumberFormat="1" applyFont="1" applyFill="1" applyBorder="1" applyAlignment="1">
      <alignment horizontal="right" vertical="center" wrapText="1"/>
    </xf>
    <xf numFmtId="0" fontId="0" fillId="5" borderId="39" xfId="0" applyFill="1" applyBorder="1" applyAlignment="1">
      <alignment vertical="center" wrapText="1"/>
    </xf>
    <xf numFmtId="14" fontId="8" fillId="5" borderId="1" xfId="0" applyNumberFormat="1" applyFont="1" applyFill="1" applyBorder="1" applyAlignment="1">
      <alignment horizontal="right" vertical="center" wrapText="1"/>
    </xf>
    <xf numFmtId="14" fontId="7" fillId="5" borderId="1" xfId="0" applyNumberFormat="1" applyFont="1" applyFill="1" applyBorder="1" applyAlignment="1">
      <alignment horizontal="right" vertical="center" wrapText="1"/>
    </xf>
    <xf numFmtId="0" fontId="38" fillId="5" borderId="38" xfId="0" applyFont="1" applyFill="1" applyBorder="1" applyAlignment="1">
      <alignment horizontal="left" vertical="center" wrapText="1"/>
    </xf>
    <xf numFmtId="14" fontId="37" fillId="5" borderId="1" xfId="0" applyNumberFormat="1" applyFont="1" applyFill="1" applyBorder="1" applyAlignment="1">
      <alignment horizontal="center" vertical="center" wrapText="1"/>
    </xf>
    <xf numFmtId="0" fontId="94" fillId="5" borderId="39" xfId="0" applyFont="1" applyFill="1" applyBorder="1" applyAlignment="1">
      <alignment vertical="center" wrapText="1"/>
    </xf>
    <xf numFmtId="164" fontId="38" fillId="0" borderId="0" xfId="0" applyNumberFormat="1" applyFont="1" applyAlignment="1">
      <alignment vertical="top"/>
    </xf>
    <xf numFmtId="170" fontId="38" fillId="0" borderId="0" xfId="0" applyNumberFormat="1" applyFont="1" applyAlignment="1">
      <alignment vertical="top"/>
    </xf>
    <xf numFmtId="164" fontId="49" fillId="4" borderId="1" xfId="0" applyNumberFormat="1" applyFont="1" applyFill="1" applyBorder="1" applyAlignment="1">
      <alignment horizontal="center" vertical="center" wrapText="1"/>
    </xf>
    <xf numFmtId="164" fontId="49" fillId="0" borderId="37" xfId="0" applyNumberFormat="1" applyFont="1" applyBorder="1" applyAlignment="1">
      <alignment horizontal="center" vertical="center" wrapText="1"/>
    </xf>
    <xf numFmtId="164" fontId="49" fillId="13" borderId="37" xfId="0" applyNumberFormat="1" applyFont="1" applyFill="1" applyBorder="1" applyAlignment="1">
      <alignment horizontal="center" vertical="center" wrapText="1"/>
    </xf>
    <xf numFmtId="164" fontId="49" fillId="13" borderId="52" xfId="0" applyNumberFormat="1" applyFont="1" applyFill="1" applyBorder="1" applyAlignment="1">
      <alignment horizontal="center" vertical="center"/>
    </xf>
    <xf numFmtId="164" fontId="40" fillId="13" borderId="52" xfId="0" applyNumberFormat="1" applyFont="1" applyFill="1" applyBorder="1" applyAlignment="1">
      <alignment horizontal="center" vertical="center"/>
    </xf>
    <xf numFmtId="164" fontId="49" fillId="13" borderId="60" xfId="0" applyNumberFormat="1" applyFont="1" applyFill="1" applyBorder="1" applyAlignment="1">
      <alignment horizontal="center" vertical="center" wrapText="1"/>
    </xf>
    <xf numFmtId="165" fontId="37" fillId="0" borderId="52" xfId="0" applyNumberFormat="1" applyFont="1" applyBorder="1" applyAlignment="1">
      <alignment horizontal="right" vertical="center"/>
    </xf>
    <xf numFmtId="164" fontId="49" fillId="0" borderId="52" xfId="0" applyNumberFormat="1" applyFont="1" applyBorder="1" applyAlignment="1">
      <alignment horizontal="center" vertical="center" wrapText="1"/>
    </xf>
    <xf numFmtId="164" fontId="49" fillId="13" borderId="61" xfId="0" applyNumberFormat="1" applyFont="1" applyFill="1" applyBorder="1" applyAlignment="1">
      <alignment horizontal="center" vertical="center" wrapText="1"/>
    </xf>
    <xf numFmtId="164" fontId="49" fillId="2" borderId="47" xfId="0" applyNumberFormat="1" applyFont="1" applyFill="1" applyBorder="1" applyAlignment="1">
      <alignment horizontal="center" vertical="center" wrapText="1"/>
    </xf>
    <xf numFmtId="164" fontId="49" fillId="2" borderId="18" xfId="0" applyNumberFormat="1" applyFont="1" applyFill="1" applyBorder="1" applyAlignment="1">
      <alignment horizontal="center" vertical="center" wrapText="1"/>
    </xf>
    <xf numFmtId="164" fontId="49" fillId="7" borderId="18" xfId="0" applyNumberFormat="1" applyFont="1" applyFill="1" applyBorder="1" applyAlignment="1">
      <alignment horizontal="center" vertical="center" wrapText="1"/>
    </xf>
    <xf numFmtId="14" fontId="6" fillId="5" borderId="1" xfId="0" applyNumberFormat="1" applyFont="1" applyFill="1" applyBorder="1" applyAlignment="1">
      <alignment horizontal="right" vertical="center" wrapText="1"/>
    </xf>
    <xf numFmtId="0" fontId="44" fillId="5" borderId="0" xfId="2" applyFill="1" applyAlignment="1">
      <alignment wrapText="1"/>
    </xf>
    <xf numFmtId="165" fontId="0" fillId="0" borderId="0" xfId="0" applyNumberFormat="1"/>
    <xf numFmtId="3" fontId="0" fillId="5" borderId="39" xfId="0" applyNumberFormat="1" applyFill="1" applyBorder="1" applyAlignment="1">
      <alignment horizontal="left" vertical="center" wrapText="1"/>
    </xf>
    <xf numFmtId="14" fontId="0" fillId="5" borderId="1" xfId="0" applyNumberFormat="1" applyFill="1" applyBorder="1" applyAlignment="1">
      <alignment horizontal="center" vertical="center" wrapText="1"/>
    </xf>
    <xf numFmtId="14" fontId="44" fillId="5" borderId="1" xfId="2" applyNumberFormat="1" applyFill="1" applyBorder="1" applyAlignment="1">
      <alignment horizontal="left" vertical="center" wrapText="1"/>
    </xf>
    <xf numFmtId="164" fontId="49" fillId="6" borderId="4" xfId="0" applyNumberFormat="1" applyFont="1" applyFill="1" applyBorder="1" applyAlignment="1">
      <alignment horizontal="center" vertical="center" wrapText="1"/>
    </xf>
    <xf numFmtId="164" fontId="49" fillId="9" borderId="5" xfId="0" applyNumberFormat="1" applyFont="1" applyFill="1" applyBorder="1" applyAlignment="1">
      <alignment horizontal="center" vertical="center" wrapText="1"/>
    </xf>
    <xf numFmtId="164" fontId="49" fillId="9" borderId="1" xfId="0" applyNumberFormat="1" applyFont="1" applyFill="1" applyBorder="1" applyAlignment="1">
      <alignment horizontal="center" vertical="center"/>
    </xf>
    <xf numFmtId="164" fontId="40" fillId="9" borderId="1" xfId="0" applyNumberFormat="1" applyFont="1" applyFill="1" applyBorder="1" applyAlignment="1">
      <alignment horizontal="center" vertical="center"/>
    </xf>
    <xf numFmtId="0" fontId="38" fillId="5" borderId="39" xfId="0" applyFont="1" applyFill="1" applyBorder="1" applyAlignment="1">
      <alignment horizontal="center" vertical="center"/>
    </xf>
    <xf numFmtId="0" fontId="0" fillId="5" borderId="39" xfId="0" applyFill="1" applyBorder="1" applyAlignment="1">
      <alignment horizontal="center" vertical="center"/>
    </xf>
    <xf numFmtId="165" fontId="82" fillId="5" borderId="65" xfId="0" applyNumberFormat="1" applyFont="1" applyFill="1" applyBorder="1" applyAlignment="1">
      <alignment horizontal="center" vertical="top" wrapText="1"/>
    </xf>
    <xf numFmtId="0" fontId="82" fillId="5" borderId="10" xfId="0" applyFont="1" applyFill="1" applyBorder="1" applyAlignment="1">
      <alignment vertical="top" wrapText="1"/>
    </xf>
    <xf numFmtId="0" fontId="41" fillId="13" borderId="10" xfId="0" applyFont="1" applyFill="1" applyBorder="1" applyAlignment="1">
      <alignment vertical="top"/>
    </xf>
    <xf numFmtId="0" fontId="33" fillId="13" borderId="10" xfId="0" applyFont="1" applyFill="1" applyBorder="1" applyAlignment="1">
      <alignment horizontal="left" vertical="center" wrapText="1"/>
    </xf>
    <xf numFmtId="0" fontId="33" fillId="5" borderId="10" xfId="0" applyFont="1" applyFill="1" applyBorder="1" applyAlignment="1">
      <alignment horizontal="left" vertical="center" wrapText="1"/>
    </xf>
    <xf numFmtId="0" fontId="48" fillId="5" borderId="10" xfId="0" applyFont="1" applyFill="1" applyBorder="1" applyAlignment="1">
      <alignment horizontal="left" vertical="center" wrapText="1"/>
    </xf>
    <xf numFmtId="0" fontId="48" fillId="13" borderId="10" xfId="0" applyFont="1" applyFill="1" applyBorder="1" applyAlignment="1">
      <alignment horizontal="left" vertical="center" wrapText="1"/>
    </xf>
    <xf numFmtId="0" fontId="48" fillId="5" borderId="8" xfId="0" applyFont="1" applyFill="1" applyBorder="1" applyAlignment="1">
      <alignment horizontal="left" vertical="center" wrapText="1"/>
    </xf>
    <xf numFmtId="0" fontId="47" fillId="13" borderId="10" xfId="0" applyFont="1" applyFill="1" applyBorder="1" applyAlignment="1">
      <alignment vertical="top"/>
    </xf>
    <xf numFmtId="0" fontId="53" fillId="5" borderId="10" xfId="0" applyFont="1" applyFill="1" applyBorder="1" applyAlignment="1">
      <alignment vertical="center" wrapText="1"/>
    </xf>
    <xf numFmtId="0" fontId="53" fillId="5" borderId="10" xfId="0" applyFont="1" applyFill="1" applyBorder="1" applyAlignment="1">
      <alignment horizontal="left" vertical="center" wrapText="1"/>
    </xf>
    <xf numFmtId="0" fontId="48" fillId="5" borderId="10" xfId="0" applyFont="1" applyFill="1" applyBorder="1" applyAlignment="1">
      <alignment horizontal="center" vertical="center" wrapText="1"/>
    </xf>
    <xf numFmtId="0" fontId="53" fillId="5" borderId="10" xfId="0" applyFont="1" applyFill="1" applyBorder="1" applyAlignment="1">
      <alignment horizontal="center" vertical="center" wrapText="1"/>
    </xf>
    <xf numFmtId="0" fontId="48" fillId="5" borderId="10" xfId="0" applyFont="1" applyFill="1" applyBorder="1" applyAlignment="1">
      <alignment vertical="center" wrapText="1"/>
    </xf>
    <xf numFmtId="0" fontId="33" fillId="2" borderId="8" xfId="0" applyFont="1" applyFill="1" applyBorder="1" applyAlignment="1">
      <alignment vertical="center" wrapText="1"/>
    </xf>
    <xf numFmtId="0" fontId="33" fillId="5" borderId="10" xfId="0" applyFont="1" applyFill="1" applyBorder="1" applyAlignment="1">
      <alignment vertical="center" wrapText="1"/>
    </xf>
    <xf numFmtId="0" fontId="48" fillId="5" borderId="11" xfId="0" applyFont="1" applyFill="1" applyBorder="1" applyAlignment="1">
      <alignment vertical="center" wrapText="1"/>
    </xf>
    <xf numFmtId="0" fontId="47" fillId="13" borderId="66" xfId="0" applyFont="1" applyFill="1" applyBorder="1" applyAlignment="1">
      <alignment vertical="top"/>
    </xf>
    <xf numFmtId="0" fontId="49" fillId="2" borderId="38" xfId="0" applyFont="1" applyFill="1" applyBorder="1" applyAlignment="1">
      <alignment vertical="top"/>
    </xf>
    <xf numFmtId="0" fontId="40" fillId="13" borderId="40" xfId="0" applyFont="1" applyFill="1" applyBorder="1" applyAlignment="1">
      <alignment horizontal="left" vertical="top"/>
    </xf>
    <xf numFmtId="0" fontId="38" fillId="5" borderId="40" xfId="0" applyFont="1" applyFill="1" applyBorder="1" applyAlignment="1">
      <alignment horizontal="center" vertical="center"/>
    </xf>
    <xf numFmtId="0" fontId="0" fillId="5" borderId="40" xfId="0" applyFill="1" applyBorder="1" applyAlignment="1">
      <alignment horizontal="center" vertical="center"/>
    </xf>
    <xf numFmtId="0" fontId="0" fillId="5" borderId="38" xfId="0" applyFill="1" applyBorder="1" applyAlignment="1">
      <alignment horizontal="center" vertical="center"/>
    </xf>
    <xf numFmtId="0" fontId="49" fillId="13" borderId="40" xfId="0" applyFont="1" applyFill="1" applyBorder="1" applyAlignment="1">
      <alignment vertical="top"/>
    </xf>
    <xf numFmtId="0" fontId="38" fillId="5" borderId="38" xfId="0" applyFont="1" applyFill="1" applyBorder="1" applyAlignment="1">
      <alignment horizontal="center" vertical="center"/>
    </xf>
    <xf numFmtId="0" fontId="49" fillId="2" borderId="38" xfId="0" applyFont="1" applyFill="1" applyBorder="1" applyAlignment="1">
      <alignment vertical="center"/>
    </xf>
    <xf numFmtId="0" fontId="49" fillId="13" borderId="40" xfId="0" applyFont="1" applyFill="1" applyBorder="1" applyAlignment="1">
      <alignment wrapText="1"/>
    </xf>
    <xf numFmtId="0" fontId="49" fillId="13" borderId="40" xfId="0" applyFont="1" applyFill="1" applyBorder="1" applyAlignment="1">
      <alignment vertical="top" wrapText="1"/>
    </xf>
    <xf numFmtId="0" fontId="0" fillId="5" borderId="49" xfId="0" applyFill="1" applyBorder="1" applyAlignment="1">
      <alignment horizontal="center" vertical="center"/>
    </xf>
    <xf numFmtId="0" fontId="0" fillId="5" borderId="40" xfId="0" applyFill="1" applyBorder="1" applyAlignment="1">
      <alignment horizontal="center" vertical="center" wrapText="1"/>
    </xf>
    <xf numFmtId="0" fontId="49" fillId="13" borderId="42" xfId="0" applyFont="1" applyFill="1" applyBorder="1" applyAlignment="1">
      <alignment vertical="top" wrapText="1"/>
    </xf>
    <xf numFmtId="0" fontId="44" fillId="13" borderId="40" xfId="2" applyFill="1" applyBorder="1" applyAlignment="1">
      <alignment vertical="top"/>
    </xf>
    <xf numFmtId="164" fontId="63" fillId="5" borderId="39" xfId="0" applyNumberFormat="1" applyFont="1" applyFill="1" applyBorder="1" applyAlignment="1">
      <alignment horizontal="right" vertical="center"/>
    </xf>
    <xf numFmtId="164" fontId="37" fillId="5" borderId="10" xfId="0" applyNumberFormat="1" applyFont="1" applyFill="1" applyBorder="1" applyAlignment="1">
      <alignment horizontal="center" vertical="center"/>
    </xf>
    <xf numFmtId="14" fontId="5" fillId="5" borderId="1" xfId="0" applyNumberFormat="1" applyFont="1" applyFill="1" applyBorder="1" applyAlignment="1">
      <alignment horizontal="right" vertical="center" wrapText="1"/>
    </xf>
    <xf numFmtId="0" fontId="4" fillId="5" borderId="39" xfId="0" applyFont="1" applyFill="1" applyBorder="1" applyAlignment="1">
      <alignment vertical="center" wrapText="1"/>
    </xf>
    <xf numFmtId="0" fontId="37" fillId="8" borderId="39" xfId="0" applyFont="1" applyFill="1" applyBorder="1" applyAlignment="1">
      <alignment vertical="center" wrapText="1"/>
    </xf>
    <xf numFmtId="0" fontId="75" fillId="0" borderId="0" xfId="0" applyFont="1" applyAlignment="1">
      <alignment horizontal="center"/>
    </xf>
    <xf numFmtId="167" fontId="75" fillId="0" borderId="0" xfId="4" applyNumberFormat="1" applyFont="1" applyFill="1" applyAlignment="1">
      <alignment horizontal="center"/>
    </xf>
    <xf numFmtId="165" fontId="75" fillId="0" borderId="0" xfId="0" applyNumberFormat="1" applyFont="1" applyAlignment="1">
      <alignment horizontal="center"/>
    </xf>
    <xf numFmtId="4" fontId="75" fillId="0" borderId="0" xfId="0" applyNumberFormat="1" applyFont="1" applyAlignment="1">
      <alignment horizontal="center"/>
    </xf>
    <xf numFmtId="0" fontId="75" fillId="0" borderId="0" xfId="0" applyFont="1"/>
    <xf numFmtId="169" fontId="75" fillId="0" borderId="0" xfId="0" applyNumberFormat="1" applyFont="1"/>
    <xf numFmtId="0" fontId="95" fillId="0" borderId="0" xfId="0" applyFont="1"/>
    <xf numFmtId="0" fontId="95" fillId="0" borderId="0" xfId="0" applyFont="1" applyAlignment="1">
      <alignment horizontal="center"/>
    </xf>
    <xf numFmtId="164" fontId="37" fillId="8" borderId="1" xfId="0" applyNumberFormat="1" applyFont="1" applyFill="1" applyBorder="1" applyAlignment="1">
      <alignment horizontal="right" vertical="center"/>
    </xf>
    <xf numFmtId="165" fontId="82" fillId="9" borderId="16" xfId="0" applyNumberFormat="1" applyFont="1" applyFill="1" applyBorder="1" applyAlignment="1">
      <alignment horizontal="center" vertical="top" wrapText="1"/>
    </xf>
    <xf numFmtId="164" fontId="49" fillId="17" borderId="1" xfId="0" applyNumberFormat="1" applyFont="1" applyFill="1" applyBorder="1" applyAlignment="1">
      <alignment horizontal="center" vertical="center" wrapText="1"/>
    </xf>
    <xf numFmtId="164" fontId="37" fillId="9" borderId="27" xfId="0" applyNumberFormat="1" applyFont="1" applyFill="1" applyBorder="1" applyAlignment="1">
      <alignment horizontal="right" vertical="center"/>
    </xf>
    <xf numFmtId="14" fontId="84" fillId="0" borderId="0" xfId="0" applyNumberFormat="1" applyFont="1"/>
    <xf numFmtId="0" fontId="84" fillId="0" borderId="0" xfId="0" applyFont="1" applyAlignment="1">
      <alignment horizontal="right"/>
    </xf>
    <xf numFmtId="0" fontId="85" fillId="0" borderId="0" xfId="0" applyFont="1" applyAlignment="1">
      <alignment horizontal="center"/>
    </xf>
    <xf numFmtId="0" fontId="86" fillId="0" borderId="0" xfId="0" applyFont="1"/>
    <xf numFmtId="0" fontId="83" fillId="15" borderId="73" xfId="0" applyFont="1" applyFill="1" applyBorder="1" applyAlignment="1">
      <alignment horizontal="center" vertical="center"/>
    </xf>
    <xf numFmtId="0" fontId="83" fillId="15" borderId="7"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73" xfId="0" applyFont="1" applyFill="1" applyBorder="1" applyAlignment="1">
      <alignment horizontal="center" vertical="center" wrapText="1"/>
    </xf>
    <xf numFmtId="0" fontId="83" fillId="15" borderId="36" xfId="0" applyFont="1" applyFill="1" applyBorder="1" applyAlignment="1">
      <alignment horizontal="center" vertical="center" wrapText="1"/>
    </xf>
    <xf numFmtId="0" fontId="83" fillId="15" borderId="52" xfId="0" applyFont="1" applyFill="1" applyBorder="1"/>
    <xf numFmtId="3" fontId="84" fillId="15" borderId="43" xfId="0" applyNumberFormat="1" applyFont="1" applyFill="1" applyBorder="1" applyAlignment="1">
      <alignment horizontal="center"/>
    </xf>
    <xf numFmtId="3" fontId="84" fillId="15" borderId="39" xfId="0" applyNumberFormat="1" applyFont="1" applyFill="1" applyBorder="1" applyAlignment="1">
      <alignment horizontal="center"/>
    </xf>
    <xf numFmtId="3" fontId="84" fillId="15" borderId="55" xfId="0" applyNumberFormat="1" applyFont="1" applyFill="1" applyBorder="1" applyAlignment="1">
      <alignment horizontal="center"/>
    </xf>
    <xf numFmtId="3" fontId="84" fillId="15" borderId="5" xfId="0" applyNumberFormat="1" applyFont="1" applyFill="1" applyBorder="1" applyAlignment="1">
      <alignment horizontal="center"/>
    </xf>
    <xf numFmtId="0" fontId="84" fillId="15" borderId="53" xfId="0" applyFont="1" applyFill="1" applyBorder="1"/>
    <xf numFmtId="0" fontId="83" fillId="0" borderId="52" xfId="0" applyFont="1" applyBorder="1" applyAlignment="1">
      <alignment horizontal="left" vertical="center"/>
    </xf>
    <xf numFmtId="165" fontId="84" fillId="15" borderId="39" xfId="0" applyNumberFormat="1" applyFont="1" applyFill="1" applyBorder="1" applyAlignment="1">
      <alignment horizontal="center" wrapText="1"/>
    </xf>
    <xf numFmtId="165" fontId="84" fillId="15" borderId="2" xfId="0" applyNumberFormat="1" applyFont="1" applyFill="1" applyBorder="1" applyAlignment="1">
      <alignment horizontal="center" wrapText="1"/>
    </xf>
    <xf numFmtId="165" fontId="84" fillId="15" borderId="52" xfId="0" applyNumberFormat="1" applyFont="1" applyFill="1" applyBorder="1" applyAlignment="1">
      <alignment horizontal="center" wrapText="1"/>
    </xf>
    <xf numFmtId="165" fontId="84" fillId="15" borderId="1" xfId="0" applyNumberFormat="1" applyFont="1" applyFill="1" applyBorder="1" applyAlignment="1">
      <alignment horizontal="center" wrapText="1"/>
    </xf>
    <xf numFmtId="0" fontId="84" fillId="15" borderId="40" xfId="0" applyFont="1" applyFill="1" applyBorder="1"/>
    <xf numFmtId="0" fontId="84" fillId="0" borderId="52" xfId="0" applyFont="1" applyBorder="1" applyAlignment="1">
      <alignment horizontal="left" vertical="center"/>
    </xf>
    <xf numFmtId="3" fontId="84" fillId="0" borderId="2" xfId="0" applyNumberFormat="1" applyFont="1" applyBorder="1" applyAlignment="1">
      <alignment horizontal="center" wrapText="1"/>
    </xf>
    <xf numFmtId="3" fontId="84" fillId="19" borderId="2" xfId="0" applyNumberFormat="1" applyFont="1" applyFill="1" applyBorder="1" applyAlignment="1">
      <alignment horizontal="center" wrapText="1"/>
    </xf>
    <xf numFmtId="3" fontId="84" fillId="0" borderId="52" xfId="0" applyNumberFormat="1" applyFont="1" applyBorder="1" applyAlignment="1">
      <alignment horizontal="center" wrapText="1"/>
    </xf>
    <xf numFmtId="3" fontId="84" fillId="0" borderId="1" xfId="0" applyNumberFormat="1" applyFont="1" applyBorder="1" applyAlignment="1">
      <alignment horizontal="center" wrapText="1"/>
    </xf>
    <xf numFmtId="0" fontId="84" fillId="0" borderId="40" xfId="0" applyFont="1" applyBorder="1"/>
    <xf numFmtId="0" fontId="83" fillId="12" borderId="52" xfId="0" applyFont="1" applyFill="1" applyBorder="1"/>
    <xf numFmtId="3" fontId="84" fillId="12" borderId="39" xfId="0" applyNumberFormat="1" applyFont="1" applyFill="1" applyBorder="1" applyAlignment="1">
      <alignment horizontal="center"/>
    </xf>
    <xf numFmtId="3" fontId="84" fillId="12" borderId="2" xfId="0" applyNumberFormat="1" applyFont="1" applyFill="1" applyBorder="1" applyAlignment="1">
      <alignment horizontal="center"/>
    </xf>
    <xf numFmtId="164" fontId="84" fillId="12" borderId="1" xfId="0" applyNumberFormat="1" applyFont="1" applyFill="1" applyBorder="1" applyAlignment="1">
      <alignment horizontal="center"/>
    </xf>
    <xf numFmtId="0" fontId="84" fillId="12" borderId="40" xfId="0" applyFont="1" applyFill="1" applyBorder="1"/>
    <xf numFmtId="0" fontId="84" fillId="0" borderId="52" xfId="0" applyFont="1" applyBorder="1" applyAlignment="1">
      <alignment horizontal="left" vertical="center" wrapText="1"/>
    </xf>
    <xf numFmtId="3" fontId="84" fillId="0" borderId="39" xfId="0" applyNumberFormat="1" applyFont="1" applyBorder="1" applyAlignment="1">
      <alignment horizontal="center" vertical="center"/>
    </xf>
    <xf numFmtId="0" fontId="98" fillId="0" borderId="2" xfId="0" applyFont="1" applyBorder="1" applyAlignment="1">
      <alignment horizontal="left" vertical="center" wrapText="1"/>
    </xf>
    <xf numFmtId="164" fontId="84" fillId="0" borderId="1" xfId="0" applyNumberFormat="1" applyFont="1" applyBorder="1" applyAlignment="1">
      <alignment horizontal="center" vertical="center"/>
    </xf>
    <xf numFmtId="0" fontId="84" fillId="0" borderId="40" xfId="0" applyFont="1" applyBorder="1" applyAlignment="1">
      <alignment horizontal="center" wrapText="1"/>
    </xf>
    <xf numFmtId="0" fontId="84" fillId="0" borderId="1" xfId="0" applyFont="1" applyBorder="1" applyAlignment="1">
      <alignment horizontal="center"/>
    </xf>
    <xf numFmtId="3" fontId="99" fillId="0" borderId="2" xfId="0" applyNumberFormat="1" applyFont="1" applyBorder="1" applyAlignment="1">
      <alignment horizontal="left" vertical="center"/>
    </xf>
    <xf numFmtId="0" fontId="83" fillId="12" borderId="52" xfId="0" applyFont="1" applyFill="1" applyBorder="1" applyAlignment="1">
      <alignment vertical="center"/>
    </xf>
    <xf numFmtId="3" fontId="84" fillId="12" borderId="39" xfId="0" applyNumberFormat="1" applyFont="1" applyFill="1" applyBorder="1" applyAlignment="1">
      <alignment horizontal="center" vertical="center"/>
    </xf>
    <xf numFmtId="3" fontId="99" fillId="12" borderId="2" xfId="0" applyNumberFormat="1" applyFont="1" applyFill="1" applyBorder="1" applyAlignment="1">
      <alignment horizontal="left" vertical="center"/>
    </xf>
    <xf numFmtId="164" fontId="85" fillId="12" borderId="1" xfId="0" applyNumberFormat="1" applyFont="1" applyFill="1" applyBorder="1" applyAlignment="1">
      <alignment horizontal="center"/>
    </xf>
    <xf numFmtId="0" fontId="84" fillId="0" borderId="1" xfId="0" applyFont="1" applyBorder="1" applyAlignment="1">
      <alignment horizontal="center" vertical="center"/>
    </xf>
    <xf numFmtId="0" fontId="85" fillId="0" borderId="52" xfId="0" applyFont="1" applyBorder="1" applyAlignment="1">
      <alignment horizontal="left" vertical="center" wrapText="1"/>
    </xf>
    <xf numFmtId="3" fontId="99" fillId="0" borderId="2" xfId="0" applyNumberFormat="1" applyFont="1" applyBorder="1" applyAlignment="1">
      <alignment horizontal="left" vertical="center" wrapText="1"/>
    </xf>
    <xf numFmtId="0" fontId="84" fillId="0" borderId="40" xfId="0" applyFont="1" applyBorder="1" applyAlignment="1">
      <alignment horizontal="center" vertical="center" wrapText="1"/>
    </xf>
    <xf numFmtId="0" fontId="85" fillId="0" borderId="1" xfId="0" applyFont="1" applyBorder="1" applyAlignment="1">
      <alignment horizontal="center" vertical="center"/>
    </xf>
    <xf numFmtId="164" fontId="85" fillId="0" borderId="1" xfId="0" applyNumberFormat="1" applyFont="1" applyBorder="1" applyAlignment="1">
      <alignment horizontal="center" vertical="center"/>
    </xf>
    <xf numFmtId="0" fontId="84" fillId="0" borderId="40" xfId="0" applyFont="1" applyBorder="1" applyAlignment="1">
      <alignment horizontal="center" vertical="center"/>
    </xf>
    <xf numFmtId="1" fontId="85" fillId="0" borderId="1" xfId="0" applyNumberFormat="1" applyFont="1" applyBorder="1" applyAlignment="1">
      <alignment horizontal="center" vertical="center"/>
    </xf>
    <xf numFmtId="0" fontId="85" fillId="0" borderId="40" xfId="0" applyFont="1" applyBorder="1" applyAlignment="1">
      <alignment horizontal="center" vertical="center"/>
    </xf>
    <xf numFmtId="1" fontId="84" fillId="12" borderId="39" xfId="0" applyNumberFormat="1" applyFont="1" applyFill="1" applyBorder="1" applyAlignment="1">
      <alignment horizontal="center" vertical="center"/>
    </xf>
    <xf numFmtId="0" fontId="101" fillId="0" borderId="0" xfId="0" applyFont="1" applyAlignment="1">
      <alignment vertical="center"/>
    </xf>
    <xf numFmtId="3" fontId="85" fillId="12" borderId="39" xfId="0" applyNumberFormat="1" applyFont="1" applyFill="1" applyBorder="1" applyAlignment="1">
      <alignment horizontal="center" vertical="center"/>
    </xf>
    <xf numFmtId="3" fontId="84" fillId="0" borderId="2" xfId="0" applyNumberFormat="1" applyFont="1" applyBorder="1" applyAlignment="1">
      <alignment horizontal="left" vertical="center"/>
    </xf>
    <xf numFmtId="0" fontId="84" fillId="0" borderId="61" xfId="0" applyFont="1" applyBorder="1" applyAlignment="1">
      <alignment horizontal="left" vertical="center"/>
    </xf>
    <xf numFmtId="3" fontId="84" fillId="0" borderId="41" xfId="0" applyNumberFormat="1" applyFont="1" applyBorder="1" applyAlignment="1">
      <alignment horizontal="center" vertical="center"/>
    </xf>
    <xf numFmtId="3" fontId="84" fillId="0" borderId="74" xfId="0" applyNumberFormat="1" applyFont="1" applyBorder="1" applyAlignment="1">
      <alignment horizontal="center" vertical="center"/>
    </xf>
    <xf numFmtId="3" fontId="84" fillId="0" borderId="74" xfId="0" applyNumberFormat="1" applyFont="1" applyBorder="1" applyAlignment="1">
      <alignment horizontal="left" vertical="center"/>
    </xf>
    <xf numFmtId="0" fontId="84" fillId="0" borderId="27" xfId="0" applyFont="1" applyBorder="1" applyAlignment="1">
      <alignment horizontal="center"/>
    </xf>
    <xf numFmtId="0" fontId="84" fillId="0" borderId="42" xfId="0" applyFont="1" applyBorder="1"/>
    <xf numFmtId="0" fontId="99" fillId="0" borderId="0" xfId="0" applyFont="1"/>
    <xf numFmtId="3" fontId="84" fillId="0" borderId="0" xfId="0" applyNumberFormat="1" applyFont="1" applyAlignment="1">
      <alignment horizontal="center"/>
    </xf>
    <xf numFmtId="0" fontId="103" fillId="3" borderId="4" xfId="0" applyFont="1" applyFill="1" applyBorder="1" applyAlignment="1">
      <alignment horizontal="center" vertical="center"/>
    </xf>
    <xf numFmtId="0" fontId="103" fillId="16" borderId="4" xfId="0" applyFont="1" applyFill="1" applyBorder="1" applyAlignment="1">
      <alignment horizontal="left"/>
    </xf>
    <xf numFmtId="165" fontId="103" fillId="16" borderId="11" xfId="0" applyNumberFormat="1" applyFont="1" applyFill="1" applyBorder="1" applyAlignment="1">
      <alignment horizontal="center" vertical="center"/>
    </xf>
    <xf numFmtId="0" fontId="104" fillId="15" borderId="1" xfId="0" applyFont="1" applyFill="1" applyBorder="1" applyAlignment="1">
      <alignment vertical="center" wrapText="1"/>
    </xf>
    <xf numFmtId="165" fontId="104" fillId="15" borderId="11" xfId="0" applyNumberFormat="1" applyFont="1" applyFill="1" applyBorder="1" applyAlignment="1">
      <alignment horizontal="center" vertical="center"/>
    </xf>
    <xf numFmtId="0" fontId="105" fillId="0" borderId="1" xfId="0" applyFont="1" applyBorder="1" applyAlignment="1">
      <alignment vertical="center" wrapText="1"/>
    </xf>
    <xf numFmtId="3" fontId="105" fillId="0" borderId="1" xfId="0" applyNumberFormat="1" applyFont="1" applyBorder="1" applyAlignment="1">
      <alignment horizontal="center" vertical="center"/>
    </xf>
    <xf numFmtId="165" fontId="105" fillId="3" borderId="1" xfId="0" applyNumberFormat="1" applyFont="1" applyFill="1" applyBorder="1" applyAlignment="1">
      <alignment horizontal="center" vertical="center"/>
    </xf>
    <xf numFmtId="165" fontId="106" fillId="3" borderId="1" xfId="0" applyNumberFormat="1" applyFont="1" applyFill="1" applyBorder="1" applyAlignment="1">
      <alignment horizontal="center" vertical="center"/>
    </xf>
    <xf numFmtId="3" fontId="105" fillId="3" borderId="1" xfId="0" applyNumberFormat="1" applyFont="1" applyFill="1" applyBorder="1" applyAlignment="1">
      <alignment horizontal="center" vertical="center"/>
    </xf>
    <xf numFmtId="0" fontId="107" fillId="0" borderId="1" xfId="0" applyFont="1" applyBorder="1" applyAlignment="1">
      <alignment vertical="center" wrapText="1"/>
    </xf>
    <xf numFmtId="165" fontId="105" fillId="0" borderId="1" xfId="0" applyNumberFormat="1" applyFont="1" applyBorder="1" applyAlignment="1">
      <alignment horizontal="center" vertical="center"/>
    </xf>
    <xf numFmtId="165" fontId="108" fillId="3" borderId="1" xfId="0" applyNumberFormat="1" applyFont="1" applyFill="1" applyBorder="1" applyAlignment="1">
      <alignment horizontal="center" vertical="center"/>
    </xf>
    <xf numFmtId="165" fontId="106" fillId="0" borderId="1" xfId="0" applyNumberFormat="1" applyFont="1" applyBorder="1" applyAlignment="1">
      <alignment horizontal="center" vertical="center"/>
    </xf>
    <xf numFmtId="3" fontId="0" fillId="0" borderId="0" xfId="0" applyNumberFormat="1"/>
    <xf numFmtId="0" fontId="110" fillId="0" borderId="0" xfId="0" applyFont="1"/>
    <xf numFmtId="0" fontId="105" fillId="0" borderId="1" xfId="0" applyFont="1" applyBorder="1" applyAlignment="1">
      <alignment horizontal="left" vertical="center" wrapText="1"/>
    </xf>
    <xf numFmtId="4" fontId="105" fillId="0" borderId="1" xfId="0" applyNumberFormat="1" applyFont="1" applyBorder="1" applyAlignment="1">
      <alignment horizontal="center" vertical="center"/>
    </xf>
    <xf numFmtId="3" fontId="111" fillId="0" borderId="1" xfId="0" applyNumberFormat="1" applyFont="1" applyBorder="1" applyAlignment="1">
      <alignment horizontal="center" vertical="center"/>
    </xf>
    <xf numFmtId="0" fontId="105" fillId="0" borderId="0" xfId="0" applyFont="1" applyAlignment="1">
      <alignment horizontal="left" vertical="center" wrapText="1"/>
    </xf>
    <xf numFmtId="3" fontId="105" fillId="0" borderId="0" xfId="0" applyNumberFormat="1" applyFont="1" applyAlignment="1">
      <alignment horizontal="center" vertical="center"/>
    </xf>
    <xf numFmtId="3" fontId="105" fillId="3" borderId="0" xfId="0" applyNumberFormat="1" applyFont="1" applyFill="1" applyAlignment="1">
      <alignment horizontal="center" vertical="center"/>
    </xf>
    <xf numFmtId="4" fontId="105" fillId="3" borderId="0" xfId="0" applyNumberFormat="1" applyFont="1" applyFill="1" applyAlignment="1">
      <alignment horizontal="center" vertical="center"/>
    </xf>
    <xf numFmtId="165" fontId="105" fillId="3" borderId="0" xfId="0" applyNumberFormat="1" applyFont="1" applyFill="1" applyAlignment="1">
      <alignment horizontal="center" vertical="center"/>
    </xf>
    <xf numFmtId="0" fontId="114" fillId="0" borderId="0" xfId="0" applyFont="1"/>
    <xf numFmtId="0" fontId="115" fillId="0" borderId="0" xfId="0" applyFont="1" applyAlignment="1">
      <alignment horizontal="right"/>
    </xf>
    <xf numFmtId="0" fontId="118" fillId="0" borderId="0" xfId="0" applyFont="1"/>
    <xf numFmtId="0" fontId="99" fillId="0" borderId="1" xfId="0" applyFont="1" applyBorder="1"/>
    <xf numFmtId="164" fontId="99" fillId="0" borderId="1" xfId="0" applyNumberFormat="1" applyFont="1" applyBorder="1" applyAlignment="1">
      <alignment horizontal="center" vertical="center"/>
    </xf>
    <xf numFmtId="164" fontId="99" fillId="0" borderId="0" xfId="0" applyNumberFormat="1" applyFont="1"/>
    <xf numFmtId="0" fontId="117" fillId="15" borderId="1" xfId="0" applyFont="1" applyFill="1" applyBorder="1" applyAlignment="1">
      <alignment horizontal="left"/>
    </xf>
    <xf numFmtId="164" fontId="99" fillId="15" borderId="5" xfId="0" applyNumberFormat="1" applyFont="1" applyFill="1" applyBorder="1" applyAlignment="1">
      <alignment horizontal="center"/>
    </xf>
    <xf numFmtId="171" fontId="119" fillId="0" borderId="0" xfId="0" applyNumberFormat="1" applyFont="1"/>
    <xf numFmtId="172" fontId="118" fillId="0" borderId="0" xfId="0" applyNumberFormat="1" applyFont="1" applyAlignment="1">
      <alignment horizontal="left"/>
    </xf>
    <xf numFmtId="0" fontId="120" fillId="0" borderId="0" xfId="0" applyFont="1" applyAlignment="1">
      <alignment horizontal="center"/>
    </xf>
    <xf numFmtId="0" fontId="121" fillId="0" borderId="0" xfId="0" applyFont="1"/>
    <xf numFmtId="2" fontId="121" fillId="0" borderId="0" xfId="0" applyNumberFormat="1" applyFont="1"/>
    <xf numFmtId="170" fontId="121" fillId="0" borderId="0" xfId="0" applyNumberFormat="1" applyFont="1"/>
    <xf numFmtId="2" fontId="118" fillId="0" borderId="0" xfId="0" applyNumberFormat="1" applyFont="1"/>
    <xf numFmtId="0" fontId="99" fillId="0" borderId="69" xfId="0" applyFont="1" applyBorder="1"/>
    <xf numFmtId="0" fontId="117" fillId="0" borderId="1" xfId="0" applyFont="1" applyBorder="1" applyAlignment="1">
      <alignment horizontal="center" vertical="center"/>
    </xf>
    <xf numFmtId="0" fontId="99" fillId="0" borderId="34" xfId="0" applyFont="1" applyBorder="1"/>
    <xf numFmtId="0" fontId="117" fillId="0" borderId="9" xfId="0" applyFont="1" applyBorder="1" applyAlignment="1">
      <alignment horizontal="center" vertical="center"/>
    </xf>
    <xf numFmtId="0" fontId="117" fillId="0" borderId="12" xfId="0" applyFont="1" applyBorder="1" applyAlignment="1">
      <alignment horizontal="center" vertical="center"/>
    </xf>
    <xf numFmtId="0" fontId="117" fillId="0" borderId="1" xfId="0" applyFont="1" applyBorder="1" applyAlignment="1">
      <alignment horizontal="center" vertical="center" wrapText="1"/>
    </xf>
    <xf numFmtId="0" fontId="117" fillId="0" borderId="69" xfId="0" applyFont="1" applyBorder="1" applyAlignment="1">
      <alignment horizontal="center" vertical="top"/>
    </xf>
    <xf numFmtId="3" fontId="99" fillId="0" borderId="4" xfId="0" applyNumberFormat="1" applyFont="1" applyBorder="1" applyAlignment="1">
      <alignment horizontal="center" vertical="top"/>
    </xf>
    <xf numFmtId="3" fontId="99" fillId="0" borderId="11" xfId="0" applyNumberFormat="1" applyFont="1" applyBorder="1" applyAlignment="1">
      <alignment horizontal="center" vertical="top"/>
    </xf>
    <xf numFmtId="0" fontId="117" fillId="0" borderId="6" xfId="0" applyFont="1" applyBorder="1" applyAlignment="1">
      <alignment horizontal="center" vertical="top"/>
    </xf>
    <xf numFmtId="167" fontId="99" fillId="0" borderId="5" xfId="4" applyNumberFormat="1" applyFont="1" applyBorder="1" applyAlignment="1">
      <alignment horizontal="center"/>
    </xf>
    <xf numFmtId="167" fontId="99" fillId="0" borderId="5" xfId="4" applyNumberFormat="1" applyFont="1" applyFill="1" applyBorder="1" applyAlignment="1">
      <alignment horizontal="center"/>
    </xf>
    <xf numFmtId="167" fontId="99" fillId="0" borderId="8" xfId="4" applyNumberFormat="1" applyFont="1" applyFill="1" applyBorder="1" applyAlignment="1">
      <alignment horizontal="center"/>
    </xf>
    <xf numFmtId="3" fontId="117" fillId="0" borderId="4" xfId="4" applyNumberFormat="1" applyFont="1" applyBorder="1" applyAlignment="1">
      <alignment horizontal="center" vertical="top"/>
    </xf>
    <xf numFmtId="3" fontId="99" fillId="0" borderId="4" xfId="4" applyNumberFormat="1" applyFont="1" applyBorder="1" applyAlignment="1">
      <alignment horizontal="center" vertical="top"/>
    </xf>
    <xf numFmtId="0" fontId="99" fillId="0" borderId="5" xfId="0" applyFont="1" applyBorder="1" applyAlignment="1">
      <alignment horizontal="center"/>
    </xf>
    <xf numFmtId="3" fontId="117" fillId="0" borderId="4" xfId="0" applyNumberFormat="1" applyFont="1" applyBorder="1" applyAlignment="1">
      <alignment horizontal="center" vertical="top"/>
    </xf>
    <xf numFmtId="0" fontId="99" fillId="0" borderId="6" xfId="0" applyFont="1" applyBorder="1" applyAlignment="1">
      <alignment vertical="top"/>
    </xf>
    <xf numFmtId="0" fontId="83" fillId="2" borderId="34" xfId="0" applyFont="1" applyFill="1" applyBorder="1" applyAlignment="1">
      <alignment horizontal="center" vertical="center" wrapText="1"/>
    </xf>
    <xf numFmtId="3" fontId="83" fillId="2" borderId="9" xfId="4" applyNumberFormat="1" applyFont="1" applyFill="1" applyBorder="1" applyAlignment="1">
      <alignment horizontal="center" vertical="center"/>
    </xf>
    <xf numFmtId="3" fontId="83" fillId="2" borderId="9" xfId="0" applyNumberFormat="1" applyFont="1" applyFill="1" applyBorder="1" applyAlignment="1">
      <alignment horizontal="center" vertical="center"/>
    </xf>
    <xf numFmtId="3" fontId="83" fillId="2" borderId="12" xfId="0" applyNumberFormat="1" applyFont="1" applyFill="1" applyBorder="1" applyAlignment="1">
      <alignment horizontal="center" vertical="center"/>
    </xf>
    <xf numFmtId="0" fontId="84" fillId="18" borderId="6" xfId="0" applyFont="1" applyFill="1" applyBorder="1" applyAlignment="1">
      <alignment horizontal="center" vertical="top"/>
    </xf>
    <xf numFmtId="167" fontId="84" fillId="18" borderId="5" xfId="4" applyNumberFormat="1" applyFont="1" applyFill="1" applyBorder="1" applyAlignment="1">
      <alignment horizontal="center" vertical="top"/>
    </xf>
    <xf numFmtId="167" fontId="84" fillId="18" borderId="8" xfId="4" applyNumberFormat="1" applyFont="1" applyFill="1" applyBorder="1" applyAlignment="1">
      <alignment horizontal="center" vertical="top"/>
    </xf>
    <xf numFmtId="0" fontId="122" fillId="0" borderId="0" xfId="0" applyFont="1" applyAlignment="1">
      <alignment horizontal="center"/>
    </xf>
    <xf numFmtId="0" fontId="102" fillId="3" borderId="11" xfId="0" applyFont="1" applyFill="1" applyBorder="1" applyAlignment="1">
      <alignment horizontal="center" vertical="center"/>
    </xf>
    <xf numFmtId="0" fontId="102" fillId="3" borderId="4" xfId="0" applyFont="1" applyFill="1" applyBorder="1" applyAlignment="1">
      <alignment horizontal="center" vertical="center"/>
    </xf>
    <xf numFmtId="0" fontId="102" fillId="3" borderId="11" xfId="0" applyFont="1" applyFill="1" applyBorder="1" applyAlignment="1">
      <alignment horizontal="center" vertical="center" wrapText="1"/>
    </xf>
    <xf numFmtId="0" fontId="102" fillId="16" borderId="4" xfId="0" applyFont="1" applyFill="1" applyBorder="1" applyAlignment="1">
      <alignment horizontal="left"/>
    </xf>
    <xf numFmtId="165" fontId="102" fillId="16" borderId="11" xfId="0" applyNumberFormat="1" applyFont="1" applyFill="1" applyBorder="1" applyAlignment="1">
      <alignment horizontal="center" vertical="center"/>
    </xf>
    <xf numFmtId="0" fontId="87" fillId="0" borderId="0" xfId="0" applyFont="1" applyAlignment="1">
      <alignment wrapText="1"/>
    </xf>
    <xf numFmtId="0" fontId="116" fillId="0" borderId="0" xfId="0" applyFont="1" applyAlignment="1">
      <alignment horizontal="right"/>
    </xf>
    <xf numFmtId="14" fontId="116" fillId="0" borderId="0" xfId="0" applyNumberFormat="1" applyFont="1" applyAlignment="1">
      <alignment horizontal="center" vertical="center"/>
    </xf>
    <xf numFmtId="0" fontId="117" fillId="15" borderId="5" xfId="0" applyFont="1" applyFill="1" applyBorder="1" applyAlignment="1">
      <alignment horizontal="center" vertical="center"/>
    </xf>
    <xf numFmtId="14" fontId="41" fillId="0" borderId="0" xfId="0" applyNumberFormat="1" applyFont="1" applyAlignment="1">
      <alignment horizontal="center"/>
    </xf>
    <xf numFmtId="0" fontId="103" fillId="3" borderId="11" xfId="0" applyFont="1" applyFill="1" applyBorder="1" applyAlignment="1">
      <alignment horizontal="center" vertical="center"/>
    </xf>
    <xf numFmtId="0" fontId="103" fillId="3" borderId="11" xfId="0" applyFont="1" applyFill="1" applyBorder="1" applyAlignment="1">
      <alignment horizontal="center" vertical="center" wrapText="1"/>
    </xf>
    <xf numFmtId="0" fontId="109" fillId="15" borderId="1" xfId="0" applyFont="1" applyFill="1" applyBorder="1" applyAlignment="1">
      <alignment vertical="center" wrapText="1"/>
    </xf>
    <xf numFmtId="165" fontId="104" fillId="15" borderId="1" xfId="0" applyNumberFormat="1" applyFont="1" applyFill="1" applyBorder="1" applyAlignment="1">
      <alignment horizontal="center" vertical="center"/>
    </xf>
    <xf numFmtId="3" fontId="122" fillId="0" borderId="0" xfId="0" applyNumberFormat="1" applyFont="1" applyAlignment="1">
      <alignment horizontal="center"/>
    </xf>
    <xf numFmtId="0" fontId="106" fillId="0" borderId="1" xfId="0" applyFont="1" applyBorder="1" applyAlignment="1">
      <alignment vertical="center" wrapText="1"/>
    </xf>
    <xf numFmtId="0" fontId="106" fillId="0" borderId="1" xfId="0" applyFont="1" applyBorder="1" applyAlignment="1">
      <alignment horizontal="left" vertical="center" wrapText="1"/>
    </xf>
    <xf numFmtId="14" fontId="116" fillId="0" borderId="0" xfId="0" applyNumberFormat="1" applyFont="1"/>
    <xf numFmtId="0" fontId="117" fillId="15" borderId="5" xfId="0" applyFont="1" applyFill="1" applyBorder="1" applyAlignment="1">
      <alignment horizontal="center" vertical="center" wrapText="1"/>
    </xf>
    <xf numFmtId="14" fontId="33" fillId="0" borderId="0" xfId="0" applyNumberFormat="1" applyFont="1" applyAlignment="1">
      <alignment horizontal="center" vertical="center"/>
    </xf>
    <xf numFmtId="164" fontId="99" fillId="0" borderId="1" xfId="0" applyNumberFormat="1" applyFont="1" applyBorder="1" applyAlignment="1">
      <alignment horizontal="center"/>
    </xf>
    <xf numFmtId="14" fontId="33" fillId="0" borderId="0" xfId="0" applyNumberFormat="1" applyFont="1" applyAlignment="1">
      <alignment horizontal="center"/>
    </xf>
    <xf numFmtId="0" fontId="124" fillId="0" borderId="0" xfId="0" applyFont="1" applyAlignment="1">
      <alignment horizontal="center"/>
    </xf>
    <xf numFmtId="164" fontId="124" fillId="0" borderId="0" xfId="0" applyNumberFormat="1" applyFont="1" applyAlignment="1">
      <alignment horizontal="center"/>
    </xf>
    <xf numFmtId="0" fontId="90" fillId="0" borderId="0" xfId="0" applyFont="1"/>
    <xf numFmtId="0" fontId="103" fillId="0" borderId="0" xfId="0" applyFont="1"/>
    <xf numFmtId="0" fontId="104" fillId="0" borderId="0" xfId="0" applyFont="1"/>
    <xf numFmtId="0" fontId="0" fillId="20" borderId="69" xfId="0" applyFill="1" applyBorder="1"/>
    <xf numFmtId="0" fontId="33" fillId="20" borderId="1" xfId="0" applyFont="1" applyFill="1" applyBorder="1" applyAlignment="1">
      <alignment horizontal="center" vertical="center"/>
    </xf>
    <xf numFmtId="0" fontId="0" fillId="20" borderId="34" xfId="0" applyFill="1" applyBorder="1"/>
    <xf numFmtId="0" fontId="0" fillId="20" borderId="9" xfId="0" applyFill="1" applyBorder="1" applyAlignment="1">
      <alignment horizontal="center" vertical="center"/>
    </xf>
    <xf numFmtId="0" fontId="0" fillId="20" borderId="12" xfId="0" applyFill="1" applyBorder="1" applyAlignment="1">
      <alignment horizontal="center" vertical="center"/>
    </xf>
    <xf numFmtId="3" fontId="3" fillId="20" borderId="4" xfId="0" applyNumberFormat="1" applyFont="1" applyFill="1" applyBorder="1" applyAlignment="1">
      <alignment horizontal="center" vertical="top"/>
    </xf>
    <xf numFmtId="3" fontId="0" fillId="20" borderId="4" xfId="0" applyNumberFormat="1" applyFill="1" applyBorder="1" applyAlignment="1">
      <alignment horizontal="center" vertical="top"/>
    </xf>
    <xf numFmtId="3" fontId="0" fillId="20" borderId="11" xfId="0" applyNumberFormat="1" applyFill="1" applyBorder="1" applyAlignment="1">
      <alignment horizontal="center" vertical="top"/>
    </xf>
    <xf numFmtId="167" fontId="0" fillId="20" borderId="5" xfId="4" applyNumberFormat="1" applyFont="1" applyFill="1" applyBorder="1" applyAlignment="1">
      <alignment horizontal="center"/>
    </xf>
    <xf numFmtId="167" fontId="0" fillId="20" borderId="8" xfId="4" applyNumberFormat="1" applyFont="1" applyFill="1" applyBorder="1" applyAlignment="1">
      <alignment horizontal="center"/>
    </xf>
    <xf numFmtId="3" fontId="33" fillId="20" borderId="4" xfId="4" applyNumberFormat="1" applyFont="1" applyFill="1" applyBorder="1" applyAlignment="1">
      <alignment horizontal="center" vertical="top"/>
    </xf>
    <xf numFmtId="3" fontId="3" fillId="20" borderId="4" xfId="4" applyNumberFormat="1" applyFont="1" applyFill="1" applyBorder="1" applyAlignment="1">
      <alignment horizontal="center" vertical="top"/>
    </xf>
    <xf numFmtId="0" fontId="0" fillId="20" borderId="5" xfId="0" applyFill="1" applyBorder="1" applyAlignment="1">
      <alignment horizontal="center"/>
    </xf>
    <xf numFmtId="3" fontId="33" fillId="20" borderId="4" xfId="0" applyNumberFormat="1" applyFont="1" applyFill="1" applyBorder="1" applyAlignment="1">
      <alignment horizontal="center" vertical="top"/>
    </xf>
    <xf numFmtId="0" fontId="96" fillId="22" borderId="6" xfId="0" applyFont="1" applyFill="1" applyBorder="1" applyAlignment="1">
      <alignment horizontal="center" vertical="top"/>
    </xf>
    <xf numFmtId="167" fontId="96" fillId="22" borderId="5" xfId="4" applyNumberFormat="1" applyFont="1" applyFill="1" applyBorder="1" applyAlignment="1">
      <alignment horizontal="center" vertical="top"/>
    </xf>
    <xf numFmtId="167" fontId="96" fillId="22" borderId="8" xfId="4" applyNumberFormat="1" applyFont="1" applyFill="1" applyBorder="1" applyAlignment="1">
      <alignment horizontal="center" vertical="top"/>
    </xf>
    <xf numFmtId="0" fontId="0" fillId="20" borderId="0" xfId="0" applyFill="1"/>
    <xf numFmtId="0" fontId="125" fillId="20" borderId="0" xfId="0" applyFont="1" applyFill="1"/>
    <xf numFmtId="0" fontId="33" fillId="20" borderId="0" xfId="0" applyFont="1" applyFill="1"/>
    <xf numFmtId="0" fontId="0" fillId="20" borderId="0" xfId="0" applyFill="1" applyAlignment="1">
      <alignment horizontal="center"/>
    </xf>
    <xf numFmtId="0" fontId="97" fillId="20" borderId="0" xfId="0" applyFont="1" applyFill="1" applyAlignment="1">
      <alignment horizontal="center"/>
    </xf>
    <xf numFmtId="3" fontId="97" fillId="20" borderId="0" xfId="0" applyNumberFormat="1" applyFont="1" applyFill="1" applyAlignment="1">
      <alignment horizontal="right"/>
    </xf>
    <xf numFmtId="3" fontId="97" fillId="20" borderId="0" xfId="0" applyNumberFormat="1" applyFont="1" applyFill="1"/>
    <xf numFmtId="0" fontId="123" fillId="20" borderId="0" xfId="0" applyFont="1" applyFill="1"/>
    <xf numFmtId="0" fontId="56" fillId="4" borderId="4" xfId="0" applyFont="1" applyFill="1" applyBorder="1" applyAlignment="1">
      <alignment horizontal="center" vertical="center" wrapText="1"/>
    </xf>
    <xf numFmtId="164" fontId="49" fillId="17" borderId="5" xfId="0" applyNumberFormat="1" applyFont="1" applyFill="1" applyBorder="1" applyAlignment="1">
      <alignment horizontal="center" vertical="center" wrapText="1"/>
    </xf>
    <xf numFmtId="165" fontId="82" fillId="4" borderId="15" xfId="0" applyNumberFormat="1" applyFont="1" applyFill="1" applyBorder="1" applyAlignment="1">
      <alignment horizontal="center" vertical="top" wrapText="1"/>
    </xf>
    <xf numFmtId="0" fontId="56" fillId="2" borderId="46" xfId="0" applyFont="1" applyFill="1" applyBorder="1" applyAlignment="1">
      <alignment horizontal="center" vertical="center" wrapText="1"/>
    </xf>
    <xf numFmtId="0" fontId="126" fillId="0" borderId="0" xfId="0" applyFont="1" applyAlignment="1">
      <alignment horizontal="left" vertical="center"/>
    </xf>
    <xf numFmtId="14" fontId="127" fillId="0" borderId="0" xfId="0" applyNumberFormat="1" applyFont="1" applyAlignment="1">
      <alignment horizontal="center" vertical="center"/>
    </xf>
    <xf numFmtId="167" fontId="128" fillId="5" borderId="0" xfId="4" applyNumberFormat="1" applyFont="1" applyFill="1" applyAlignment="1">
      <alignment horizontal="center"/>
    </xf>
    <xf numFmtId="165" fontId="129" fillId="5" borderId="5" xfId="0" applyNumberFormat="1" applyFont="1" applyFill="1" applyBorder="1" applyAlignment="1">
      <alignment horizontal="right" vertical="center"/>
    </xf>
    <xf numFmtId="165" fontId="129" fillId="5" borderId="1" xfId="0" applyNumberFormat="1" applyFont="1" applyFill="1" applyBorder="1" applyAlignment="1">
      <alignment horizontal="right" vertical="center"/>
    </xf>
    <xf numFmtId="165" fontId="129" fillId="5" borderId="27" xfId="0" applyNumberFormat="1" applyFont="1" applyFill="1" applyBorder="1" applyAlignment="1">
      <alignment horizontal="right" vertical="center"/>
    </xf>
    <xf numFmtId="0" fontId="129" fillId="0" borderId="0" xfId="0" applyFont="1"/>
    <xf numFmtId="167" fontId="129" fillId="0" borderId="0" xfId="4" applyNumberFormat="1" applyFont="1" applyFill="1" applyAlignment="1">
      <alignment horizontal="center"/>
    </xf>
    <xf numFmtId="165" fontId="129" fillId="0" borderId="0" xfId="0" applyNumberFormat="1" applyFont="1" applyAlignment="1">
      <alignment horizontal="center"/>
    </xf>
    <xf numFmtId="168" fontId="129" fillId="0" borderId="0" xfId="0" applyNumberFormat="1" applyFont="1"/>
    <xf numFmtId="165" fontId="129" fillId="5" borderId="1" xfId="0" applyNumberFormat="1" applyFont="1" applyFill="1" applyBorder="1" applyAlignment="1">
      <alignment horizontal="center" vertical="center" wrapText="1"/>
    </xf>
    <xf numFmtId="165" fontId="129" fillId="5" borderId="5" xfId="0" applyNumberFormat="1" applyFont="1" applyFill="1" applyBorder="1" applyAlignment="1">
      <alignment horizontal="center" vertical="center" wrapText="1"/>
    </xf>
    <xf numFmtId="165" fontId="129" fillId="5" borderId="27" xfId="0" applyNumberFormat="1" applyFont="1" applyFill="1" applyBorder="1" applyAlignment="1">
      <alignment horizontal="center" vertical="center" wrapText="1"/>
    </xf>
    <xf numFmtId="0" fontId="35" fillId="0" borderId="0" xfId="0" applyFont="1" applyAlignment="1">
      <alignment horizontal="center"/>
    </xf>
    <xf numFmtId="164" fontId="131" fillId="0" borderId="0" xfId="0" applyNumberFormat="1" applyFont="1" applyAlignment="1">
      <alignment horizontal="center"/>
    </xf>
    <xf numFmtId="0" fontId="132" fillId="0" borderId="0" xfId="0" applyFont="1" applyAlignment="1">
      <alignment horizontal="center"/>
    </xf>
    <xf numFmtId="164" fontId="129" fillId="5" borderId="1" xfId="0" applyNumberFormat="1" applyFont="1" applyFill="1" applyBorder="1" applyAlignment="1">
      <alignment horizontal="right" vertical="center"/>
    </xf>
    <xf numFmtId="0" fontId="35" fillId="0" borderId="0" xfId="0" applyFont="1"/>
    <xf numFmtId="165" fontId="35" fillId="0" borderId="0" xfId="0" applyNumberFormat="1" applyFont="1" applyAlignment="1">
      <alignment horizontal="center"/>
    </xf>
    <xf numFmtId="4" fontId="130" fillId="0" borderId="0" xfId="0" applyNumberFormat="1" applyFont="1" applyAlignment="1">
      <alignment horizontal="center"/>
    </xf>
    <xf numFmtId="0" fontId="130" fillId="0" borderId="0" xfId="0" applyFont="1"/>
    <xf numFmtId="169" fontId="130" fillId="0" borderId="0" xfId="0" applyNumberFormat="1" applyFont="1"/>
    <xf numFmtId="164" fontId="133" fillId="0" borderId="0" xfId="0" applyNumberFormat="1" applyFont="1" applyAlignment="1">
      <alignment horizontal="center"/>
    </xf>
    <xf numFmtId="164" fontId="129" fillId="5" borderId="5" xfId="0" applyNumberFormat="1" applyFont="1" applyFill="1" applyBorder="1" applyAlignment="1">
      <alignment horizontal="right" vertical="center"/>
    </xf>
    <xf numFmtId="164" fontId="129" fillId="5" borderId="27" xfId="0" applyNumberFormat="1" applyFont="1" applyFill="1" applyBorder="1" applyAlignment="1">
      <alignment horizontal="right" vertical="center"/>
    </xf>
    <xf numFmtId="164" fontId="129" fillId="9" borderId="1" xfId="0" applyNumberFormat="1" applyFont="1" applyFill="1" applyBorder="1" applyAlignment="1">
      <alignment horizontal="right" vertical="center"/>
    </xf>
    <xf numFmtId="164" fontId="129" fillId="9" borderId="27" xfId="0" applyNumberFormat="1" applyFont="1" applyFill="1" applyBorder="1" applyAlignment="1">
      <alignment horizontal="right" vertical="center"/>
    </xf>
    <xf numFmtId="4" fontId="106" fillId="0" borderId="1" xfId="0" applyNumberFormat="1" applyFont="1" applyBorder="1" applyAlignment="1">
      <alignment horizontal="center" vertical="center"/>
    </xf>
    <xf numFmtId="173" fontId="105" fillId="0" borderId="1" xfId="0" applyNumberFormat="1" applyFont="1" applyBorder="1" applyAlignment="1">
      <alignment horizontal="center" vertical="center"/>
    </xf>
    <xf numFmtId="0" fontId="0" fillId="0" borderId="1" xfId="0" applyBorder="1"/>
    <xf numFmtId="164" fontId="105" fillId="0" borderId="1" xfId="0" applyNumberFormat="1" applyFont="1" applyBorder="1" applyAlignment="1">
      <alignment horizontal="center" vertical="center"/>
    </xf>
    <xf numFmtId="0" fontId="104" fillId="0" borderId="1" xfId="0" applyFont="1" applyBorder="1" applyAlignment="1">
      <alignment horizontal="left" vertical="center" wrapText="1"/>
    </xf>
    <xf numFmtId="0" fontId="105" fillId="0" borderId="1" xfId="0" applyFont="1" applyBorder="1" applyAlignment="1">
      <alignment horizontal="center" vertical="center" wrapText="1"/>
    </xf>
    <xf numFmtId="164" fontId="105" fillId="0" borderId="1" xfId="0" applyNumberFormat="1" applyFont="1" applyBorder="1" applyAlignment="1">
      <alignment horizontal="center" vertical="center" wrapText="1"/>
    </xf>
    <xf numFmtId="165" fontId="102" fillId="15" borderId="11" xfId="0" applyNumberFormat="1" applyFont="1" applyFill="1" applyBorder="1" applyAlignment="1">
      <alignment horizontal="center" vertical="center"/>
    </xf>
    <xf numFmtId="0" fontId="104" fillId="15" borderId="1" xfId="0" applyFont="1" applyFill="1" applyBorder="1"/>
    <xf numFmtId="0" fontId="33" fillId="15" borderId="1" xfId="0" applyFont="1" applyFill="1" applyBorder="1"/>
    <xf numFmtId="164" fontId="104" fillId="15" borderId="1" xfId="0" applyNumberFormat="1" applyFont="1" applyFill="1" applyBorder="1" applyAlignment="1">
      <alignment horizontal="center" vertical="center"/>
    </xf>
    <xf numFmtId="164" fontId="37" fillId="9" borderId="4" xfId="0" applyNumberFormat="1" applyFont="1" applyFill="1" applyBorder="1" applyAlignment="1">
      <alignment horizontal="right" vertical="center"/>
    </xf>
    <xf numFmtId="164" fontId="37" fillId="4" borderId="4" xfId="0" applyNumberFormat="1" applyFont="1" applyFill="1" applyBorder="1" applyAlignment="1">
      <alignment horizontal="right" vertical="center"/>
    </xf>
    <xf numFmtId="164" fontId="37" fillId="5" borderId="46" xfId="0" applyNumberFormat="1" applyFont="1" applyFill="1" applyBorder="1" applyAlignment="1">
      <alignment horizontal="center" vertical="center"/>
    </xf>
    <xf numFmtId="164" fontId="37" fillId="5" borderId="46" xfId="0" applyNumberFormat="1" applyFont="1" applyFill="1" applyBorder="1" applyAlignment="1">
      <alignment horizontal="right" vertical="center"/>
    </xf>
    <xf numFmtId="164" fontId="37" fillId="5" borderId="4" xfId="0" applyNumberFormat="1" applyFont="1" applyFill="1" applyBorder="1" applyAlignment="1">
      <alignment horizontal="center" vertical="center"/>
    </xf>
    <xf numFmtId="0" fontId="56" fillId="2" borderId="4" xfId="0" applyFont="1" applyFill="1" applyBorder="1" applyAlignment="1">
      <alignment horizontal="center" vertical="center" wrapText="1"/>
    </xf>
    <xf numFmtId="0" fontId="44" fillId="5" borderId="39" xfId="2" applyFill="1" applyBorder="1" applyAlignment="1">
      <alignment vertical="center" wrapText="1"/>
    </xf>
    <xf numFmtId="165" fontId="82" fillId="9" borderId="14" xfId="0" applyNumberFormat="1" applyFont="1" applyFill="1" applyBorder="1" applyAlignment="1">
      <alignment horizontal="center" vertical="top" wrapText="1"/>
    </xf>
    <xf numFmtId="164" fontId="49" fillId="13" borderId="24"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164" fontId="2" fillId="5" borderId="40" xfId="0" applyNumberFormat="1" applyFont="1" applyFill="1" applyBorder="1" applyAlignment="1">
      <alignment horizontal="center" vertical="center"/>
    </xf>
    <xf numFmtId="2" fontId="37" fillId="0" borderId="52" xfId="0" applyNumberFormat="1" applyFont="1" applyBorder="1" applyAlignment="1">
      <alignment vertical="center"/>
    </xf>
    <xf numFmtId="2" fontId="37" fillId="5" borderId="39" xfId="0" applyNumberFormat="1" applyFont="1" applyFill="1" applyBorder="1" applyAlignment="1">
      <alignment vertical="center"/>
    </xf>
    <xf numFmtId="2" fontId="37" fillId="5" borderId="1" xfId="0" applyNumberFormat="1" applyFont="1" applyFill="1" applyBorder="1" applyAlignment="1">
      <alignment vertical="center"/>
    </xf>
    <xf numFmtId="2" fontId="37" fillId="6" borderId="1" xfId="0" applyNumberFormat="1" applyFont="1" applyFill="1" applyBorder="1" applyAlignment="1">
      <alignment vertical="center"/>
    </xf>
    <xf numFmtId="2" fontId="37" fillId="4" borderId="1" xfId="0" applyNumberFormat="1" applyFont="1" applyFill="1" applyBorder="1" applyAlignment="1">
      <alignment vertical="center"/>
    </xf>
    <xf numFmtId="2" fontId="37" fillId="9" borderId="1" xfId="0" applyNumberFormat="1" applyFont="1" applyFill="1" applyBorder="1" applyAlignment="1">
      <alignment vertical="center"/>
    </xf>
    <xf numFmtId="2" fontId="37" fillId="5" borderId="40" xfId="0" applyNumberFormat="1" applyFont="1" applyFill="1" applyBorder="1" applyAlignment="1">
      <alignment vertical="center"/>
    </xf>
    <xf numFmtId="2" fontId="63" fillId="4" borderId="1" xfId="0" applyNumberFormat="1" applyFont="1" applyFill="1" applyBorder="1" applyAlignment="1">
      <alignment vertical="center"/>
    </xf>
    <xf numFmtId="2" fontId="63" fillId="9" borderId="1" xfId="0" applyNumberFormat="1" applyFont="1" applyFill="1" applyBorder="1" applyAlignment="1">
      <alignment vertical="center"/>
    </xf>
    <xf numFmtId="164" fontId="37" fillId="0" borderId="52" xfId="0" applyNumberFormat="1" applyFont="1" applyBorder="1" applyAlignment="1">
      <alignment vertical="center"/>
    </xf>
    <xf numFmtId="164" fontId="2" fillId="0" borderId="52" xfId="0" applyNumberFormat="1" applyFont="1" applyBorder="1" applyAlignment="1">
      <alignment vertical="center"/>
    </xf>
    <xf numFmtId="164" fontId="2" fillId="5" borderId="39" xfId="0" applyNumberFormat="1" applyFont="1" applyFill="1" applyBorder="1" applyAlignment="1">
      <alignment vertical="center"/>
    </xf>
    <xf numFmtId="164" fontId="2" fillId="5" borderId="1" xfId="0" applyNumberFormat="1" applyFont="1" applyFill="1" applyBorder="1" applyAlignment="1">
      <alignment vertical="center"/>
    </xf>
    <xf numFmtId="164" fontId="2" fillId="6" borderId="1" xfId="0" applyNumberFormat="1" applyFont="1" applyFill="1" applyBorder="1" applyAlignment="1">
      <alignment vertical="center"/>
    </xf>
    <xf numFmtId="164" fontId="2" fillId="4" borderId="1" xfId="0" applyNumberFormat="1" applyFont="1" applyFill="1" applyBorder="1" applyAlignment="1">
      <alignment vertical="center"/>
    </xf>
    <xf numFmtId="164" fontId="2" fillId="9" borderId="1" xfId="0" applyNumberFormat="1" applyFont="1" applyFill="1" applyBorder="1" applyAlignment="1">
      <alignment vertical="center"/>
    </xf>
    <xf numFmtId="164" fontId="2" fillId="5" borderId="40" xfId="0" applyNumberFormat="1" applyFont="1" applyFill="1" applyBorder="1" applyAlignment="1">
      <alignment vertical="center"/>
    </xf>
    <xf numFmtId="164" fontId="37" fillId="5" borderId="40" xfId="0" applyNumberFormat="1" applyFont="1" applyFill="1" applyBorder="1" applyAlignment="1">
      <alignment vertical="center"/>
    </xf>
    <xf numFmtId="164" fontId="49" fillId="10" borderId="1" xfId="0" applyNumberFormat="1" applyFont="1" applyFill="1" applyBorder="1" applyAlignment="1">
      <alignment horizontal="center" vertical="center" wrapText="1"/>
    </xf>
    <xf numFmtId="164" fontId="37" fillId="0" borderId="52" xfId="0" applyNumberFormat="1" applyFont="1" applyBorder="1" applyAlignment="1">
      <alignment horizontal="right" vertical="center"/>
    </xf>
    <xf numFmtId="164" fontId="33" fillId="5" borderId="1" xfId="0" applyNumberFormat="1" applyFont="1" applyFill="1" applyBorder="1" applyAlignment="1">
      <alignment horizontal="right" vertical="center"/>
    </xf>
    <xf numFmtId="164" fontId="48" fillId="5" borderId="1" xfId="0" applyNumberFormat="1" applyFont="1" applyFill="1" applyBorder="1" applyAlignment="1">
      <alignment horizontal="right" vertical="center"/>
    </xf>
    <xf numFmtId="165" fontId="37" fillId="5" borderId="40" xfId="0" applyNumberFormat="1" applyFont="1" applyFill="1" applyBorder="1" applyAlignment="1">
      <alignment horizontal="right" vertical="center"/>
    </xf>
    <xf numFmtId="165" fontId="37" fillId="5" borderId="46"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164" fontId="63" fillId="5" borderId="1" xfId="0" applyNumberFormat="1" applyFont="1" applyFill="1" applyBorder="1" applyAlignment="1">
      <alignment horizontal="right" vertical="center"/>
    </xf>
    <xf numFmtId="164" fontId="2" fillId="0" borderId="52" xfId="0" applyNumberFormat="1" applyFont="1" applyBorder="1" applyAlignment="1">
      <alignment horizontal="right" vertical="center"/>
    </xf>
    <xf numFmtId="164" fontId="2" fillId="5" borderId="39" xfId="0" applyNumberFormat="1" applyFont="1" applyFill="1" applyBorder="1" applyAlignment="1">
      <alignment horizontal="right" vertical="center"/>
    </xf>
    <xf numFmtId="2" fontId="2" fillId="5" borderId="1" xfId="0" applyNumberFormat="1" applyFont="1" applyFill="1" applyBorder="1" applyAlignment="1">
      <alignment horizontal="right" vertical="center"/>
    </xf>
    <xf numFmtId="164" fontId="2" fillId="9" borderId="1" xfId="0" applyNumberFormat="1" applyFont="1" applyFill="1" applyBorder="1" applyAlignment="1">
      <alignment horizontal="right" vertical="center"/>
    </xf>
    <xf numFmtId="164" fontId="2" fillId="4" borderId="1" xfId="0" applyNumberFormat="1" applyFont="1" applyFill="1" applyBorder="1" applyAlignment="1">
      <alignment horizontal="right" vertical="center"/>
    </xf>
    <xf numFmtId="164" fontId="2" fillId="5" borderId="40" xfId="0" applyNumberFormat="1" applyFont="1" applyFill="1" applyBorder="1" applyAlignment="1">
      <alignment horizontal="right" vertical="center"/>
    </xf>
    <xf numFmtId="165" fontId="2" fillId="5" borderId="1" xfId="0" applyNumberFormat="1" applyFont="1" applyFill="1" applyBorder="1" applyAlignment="1">
      <alignment horizontal="center" vertical="center"/>
    </xf>
    <xf numFmtId="164" fontId="72" fillId="5" borderId="1" xfId="0" applyNumberFormat="1" applyFont="1" applyFill="1" applyBorder="1" applyAlignment="1">
      <alignment horizontal="right" vertical="center"/>
    </xf>
    <xf numFmtId="165" fontId="49" fillId="2" borderId="40" xfId="0" applyNumberFormat="1" applyFont="1" applyFill="1" applyBorder="1" applyAlignment="1">
      <alignment horizontal="center" vertical="center" wrapText="1"/>
    </xf>
    <xf numFmtId="165" fontId="49" fillId="13" borderId="46" xfId="0" applyNumberFormat="1" applyFont="1" applyFill="1" applyBorder="1" applyAlignment="1">
      <alignment horizontal="center" vertical="center" wrapText="1"/>
    </xf>
    <xf numFmtId="164" fontId="37" fillId="5" borderId="1" xfId="0" applyNumberFormat="1" applyFont="1" applyFill="1" applyBorder="1" applyAlignment="1">
      <alignment horizontal="right" vertical="center" wrapText="1"/>
    </xf>
    <xf numFmtId="164" fontId="37" fillId="5" borderId="39" xfId="0" applyNumberFormat="1" applyFont="1" applyFill="1" applyBorder="1" applyAlignment="1">
      <alignment horizontal="right" vertical="center" wrapText="1"/>
    </xf>
    <xf numFmtId="164" fontId="37" fillId="5" borderId="45" xfId="0" applyNumberFormat="1" applyFont="1" applyFill="1" applyBorder="1" applyAlignment="1">
      <alignment vertical="center"/>
    </xf>
    <xf numFmtId="164" fontId="48" fillId="0" borderId="52" xfId="0" applyNumberFormat="1" applyFont="1" applyBorder="1" applyAlignment="1">
      <alignment vertical="center"/>
    </xf>
    <xf numFmtId="164" fontId="37" fillId="0" borderId="60" xfId="0" applyNumberFormat="1" applyFont="1" applyBorder="1" applyAlignment="1">
      <alignment vertical="center"/>
    </xf>
    <xf numFmtId="164" fontId="37" fillId="9" borderId="1" xfId="0" applyNumberFormat="1" applyFont="1" applyFill="1" applyBorder="1" applyAlignment="1">
      <alignment horizontal="right" vertical="center" wrapText="1"/>
    </xf>
    <xf numFmtId="164" fontId="48" fillId="5" borderId="1" xfId="0" applyNumberFormat="1" applyFont="1" applyFill="1" applyBorder="1" applyAlignment="1">
      <alignment horizontal="right" vertical="center" wrapText="1"/>
    </xf>
    <xf numFmtId="164" fontId="48" fillId="5" borderId="39" xfId="0" applyNumberFormat="1" applyFont="1" applyFill="1" applyBorder="1" applyAlignment="1">
      <alignment horizontal="right" vertical="center"/>
    </xf>
    <xf numFmtId="164" fontId="63" fillId="5" borderId="1" xfId="0" applyNumberFormat="1" applyFont="1" applyFill="1" applyBorder="1" applyAlignment="1">
      <alignment horizontal="right" vertical="center" wrapText="1"/>
    </xf>
    <xf numFmtId="164" fontId="2" fillId="5" borderId="1" xfId="0" applyNumberFormat="1" applyFont="1" applyFill="1" applyBorder="1" applyAlignment="1">
      <alignment horizontal="right" vertical="center" wrapText="1"/>
    </xf>
    <xf numFmtId="2" fontId="37" fillId="5" borderId="1" xfId="0" applyNumberFormat="1" applyFont="1" applyFill="1" applyBorder="1" applyAlignment="1">
      <alignment horizontal="right" vertical="center" wrapText="1"/>
    </xf>
    <xf numFmtId="164" fontId="48" fillId="9" borderId="1" xfId="0" applyNumberFormat="1" applyFont="1" applyFill="1" applyBorder="1" applyAlignment="1">
      <alignment horizontal="right" vertical="center"/>
    </xf>
    <xf numFmtId="164" fontId="48" fillId="4" borderId="1" xfId="0" applyNumberFormat="1" applyFont="1" applyFill="1" applyBorder="1" applyAlignment="1">
      <alignment horizontal="right" vertical="center"/>
    </xf>
    <xf numFmtId="171" fontId="37" fillId="4" borderId="1" xfId="0" applyNumberFormat="1" applyFont="1" applyFill="1" applyBorder="1" applyAlignment="1">
      <alignment horizontal="right" vertical="center"/>
    </xf>
    <xf numFmtId="164" fontId="91" fillId="5" borderId="1" xfId="0" applyNumberFormat="1" applyFont="1" applyFill="1" applyBorder="1" applyAlignment="1">
      <alignment horizontal="right" vertical="center"/>
    </xf>
    <xf numFmtId="164" fontId="37" fillId="5" borderId="46" xfId="0" applyNumberFormat="1" applyFont="1" applyFill="1" applyBorder="1" applyAlignment="1">
      <alignment vertical="center"/>
    </xf>
    <xf numFmtId="164" fontId="65" fillId="5" borderId="39" xfId="0" applyNumberFormat="1" applyFont="1" applyFill="1" applyBorder="1" applyAlignment="1">
      <alignment horizontal="right" vertical="center"/>
    </xf>
    <xf numFmtId="164" fontId="63" fillId="6" borderId="1" xfId="0" applyNumberFormat="1" applyFont="1" applyFill="1" applyBorder="1" applyAlignment="1">
      <alignment horizontal="right" vertical="center"/>
    </xf>
    <xf numFmtId="164" fontId="2" fillId="5" borderId="1" xfId="0" applyNumberFormat="1" applyFont="1" applyFill="1" applyBorder="1" applyAlignment="1">
      <alignment horizontal="center" vertical="center" wrapText="1"/>
    </xf>
    <xf numFmtId="164" fontId="2" fillId="5" borderId="40" xfId="0" applyNumberFormat="1" applyFont="1" applyFill="1" applyBorder="1" applyAlignment="1">
      <alignment horizontal="center" vertical="center" wrapText="1"/>
    </xf>
    <xf numFmtId="165" fontId="2" fillId="0" borderId="52" xfId="0" applyNumberFormat="1" applyFont="1" applyBorder="1" applyAlignment="1">
      <alignment horizontal="right" vertical="center"/>
    </xf>
    <xf numFmtId="165" fontId="2" fillId="5" borderId="39" xfId="0" applyNumberFormat="1" applyFont="1" applyFill="1" applyBorder="1" applyAlignment="1">
      <alignment horizontal="right" vertical="center"/>
    </xf>
    <xf numFmtId="164" fontId="2" fillId="6" borderId="1" xfId="0" applyNumberFormat="1" applyFont="1" applyFill="1" applyBorder="1" applyAlignment="1">
      <alignment horizontal="right" vertical="center"/>
    </xf>
    <xf numFmtId="164" fontId="65" fillId="5" borderId="1" xfId="0" applyNumberFormat="1" applyFont="1" applyFill="1" applyBorder="1" applyAlignment="1">
      <alignment horizontal="right" vertical="center"/>
    </xf>
    <xf numFmtId="164" fontId="48" fillId="6" borderId="1" xfId="0" applyNumberFormat="1" applyFont="1" applyFill="1" applyBorder="1" applyAlignment="1">
      <alignment horizontal="right" vertical="center"/>
    </xf>
    <xf numFmtId="165" fontId="63" fillId="5" borderId="1" xfId="0" applyNumberFormat="1" applyFont="1" applyFill="1" applyBorder="1" applyAlignment="1">
      <alignment horizontal="right" vertical="center"/>
    </xf>
    <xf numFmtId="164" fontId="48" fillId="5" borderId="40" xfId="0" applyNumberFormat="1" applyFont="1" applyFill="1" applyBorder="1" applyAlignment="1">
      <alignment horizontal="right" vertical="center"/>
    </xf>
    <xf numFmtId="165" fontId="48" fillId="5" borderId="40" xfId="0" applyNumberFormat="1" applyFont="1" applyFill="1" applyBorder="1" applyAlignment="1">
      <alignment horizontal="right" vertical="center"/>
    </xf>
    <xf numFmtId="14" fontId="53" fillId="5" borderId="1" xfId="0" applyNumberFormat="1" applyFont="1" applyFill="1" applyBorder="1" applyAlignment="1">
      <alignment horizontal="right" vertical="center" wrapText="1"/>
    </xf>
    <xf numFmtId="164" fontId="37" fillId="2" borderId="39" xfId="0" applyNumberFormat="1" applyFont="1" applyFill="1" applyBorder="1" applyAlignment="1">
      <alignment horizontal="right" vertical="center"/>
    </xf>
    <xf numFmtId="165" fontId="63" fillId="5" borderId="41" xfId="0" applyNumberFormat="1" applyFont="1" applyFill="1" applyBorder="1" applyAlignment="1">
      <alignment horizontal="right" vertical="center"/>
    </xf>
    <xf numFmtId="164" fontId="98" fillId="0" borderId="1" xfId="0" applyNumberFormat="1" applyFont="1" applyBorder="1" applyAlignment="1">
      <alignment horizontal="center" vertical="center"/>
    </xf>
    <xf numFmtId="165" fontId="135" fillId="15" borderId="1" xfId="0" applyNumberFormat="1" applyFont="1" applyFill="1" applyBorder="1" applyAlignment="1">
      <alignment horizontal="center" vertical="center"/>
    </xf>
    <xf numFmtId="164" fontId="98" fillId="0" borderId="0" xfId="0" applyNumberFormat="1" applyFont="1" applyAlignment="1">
      <alignment horizontal="center"/>
    </xf>
    <xf numFmtId="0" fontId="0" fillId="20" borderId="12" xfId="0" applyFill="1" applyBorder="1" applyAlignment="1">
      <alignment horizontal="center" vertical="center" wrapText="1"/>
    </xf>
    <xf numFmtId="0" fontId="41" fillId="21" borderId="34" xfId="0" applyFont="1" applyFill="1" applyBorder="1" applyAlignment="1">
      <alignment horizontal="center" vertical="center"/>
    </xf>
    <xf numFmtId="3" fontId="41" fillId="21" borderId="9" xfId="4" applyNumberFormat="1" applyFont="1" applyFill="1" applyBorder="1" applyAlignment="1">
      <alignment horizontal="center" vertical="center"/>
    </xf>
    <xf numFmtId="3" fontId="41" fillId="21" borderId="9" xfId="0" applyNumberFormat="1" applyFont="1" applyFill="1" applyBorder="1" applyAlignment="1">
      <alignment horizontal="center" vertical="center"/>
    </xf>
    <xf numFmtId="3" fontId="41" fillId="21" borderId="12" xfId="0" applyNumberFormat="1" applyFont="1" applyFill="1" applyBorder="1" applyAlignment="1">
      <alignment horizontal="center" vertical="center"/>
    </xf>
    <xf numFmtId="0" fontId="41" fillId="21" borderId="34" xfId="0" applyFont="1" applyFill="1" applyBorder="1" applyAlignment="1">
      <alignment horizontal="center" vertical="center" wrapText="1"/>
    </xf>
    <xf numFmtId="0" fontId="83" fillId="15" borderId="10" xfId="0" applyFont="1" applyFill="1" applyBorder="1" applyAlignment="1">
      <alignment horizontal="center" vertical="center" wrapText="1"/>
    </xf>
    <xf numFmtId="165" fontId="84" fillId="15" borderId="10" xfId="0" applyNumberFormat="1" applyFont="1" applyFill="1" applyBorder="1" applyAlignment="1">
      <alignment horizontal="center"/>
    </xf>
    <xf numFmtId="165" fontId="84" fillId="12" borderId="10" xfId="0" applyNumberFormat="1" applyFont="1" applyFill="1" applyBorder="1" applyAlignment="1">
      <alignment horizontal="center"/>
    </xf>
    <xf numFmtId="165" fontId="84" fillId="0" borderId="10" xfId="0" applyNumberFormat="1" applyFont="1" applyBorder="1" applyAlignment="1">
      <alignment horizontal="center" vertical="center"/>
    </xf>
    <xf numFmtId="165" fontId="84" fillId="12" borderId="10" xfId="0" applyNumberFormat="1" applyFont="1" applyFill="1" applyBorder="1" applyAlignment="1">
      <alignment horizontal="center" vertical="center"/>
    </xf>
    <xf numFmtId="165" fontId="85" fillId="12" borderId="10" xfId="0" applyNumberFormat="1" applyFont="1" applyFill="1" applyBorder="1" applyAlignment="1">
      <alignment horizontal="center" vertical="center"/>
    </xf>
    <xf numFmtId="165" fontId="84" fillId="0" borderId="66" xfId="0" applyNumberFormat="1" applyFont="1" applyBorder="1" applyAlignment="1">
      <alignment horizontal="center" vertical="center"/>
    </xf>
    <xf numFmtId="3" fontId="0" fillId="0" borderId="4" xfId="0" applyNumberFormat="1" applyBorder="1" applyAlignment="1">
      <alignment horizontal="center" vertical="top"/>
    </xf>
    <xf numFmtId="3" fontId="0" fillId="0" borderId="11" xfId="0" applyNumberFormat="1" applyBorder="1" applyAlignment="1">
      <alignment horizontal="center" vertical="top"/>
    </xf>
    <xf numFmtId="0" fontId="117" fillId="0" borderId="12" xfId="0" applyFont="1" applyBorder="1" applyAlignment="1">
      <alignment horizontal="center" vertical="center" wrapText="1"/>
    </xf>
    <xf numFmtId="0" fontId="0" fillId="5" borderId="0" xfId="0" applyFill="1" applyAlignment="1">
      <alignment wrapText="1"/>
    </xf>
    <xf numFmtId="0" fontId="103" fillId="0" borderId="4" xfId="0" applyFont="1" applyBorder="1" applyAlignment="1">
      <alignment horizontal="center" vertical="center" wrapText="1"/>
    </xf>
    <xf numFmtId="3" fontId="97" fillId="20" borderId="0" xfId="0" applyNumberFormat="1" applyFont="1" applyFill="1" applyAlignment="1">
      <alignment horizontal="center"/>
    </xf>
    <xf numFmtId="164" fontId="98" fillId="0" borderId="1" xfId="0" applyNumberFormat="1" applyFont="1" applyBorder="1" applyAlignment="1">
      <alignment horizontal="center"/>
    </xf>
    <xf numFmtId="0" fontId="117" fillId="15" borderId="1" xfId="0" applyFont="1" applyFill="1" applyBorder="1" applyAlignment="1">
      <alignment horizontal="center"/>
    </xf>
    <xf numFmtId="3" fontId="0" fillId="0" borderId="1" xfId="0" applyNumberFormat="1" applyBorder="1"/>
    <xf numFmtId="0" fontId="75" fillId="0" borderId="1" xfId="0" applyFont="1" applyBorder="1"/>
    <xf numFmtId="0" fontId="103" fillId="3" borderId="1" xfId="0" applyFont="1" applyFill="1" applyBorder="1" applyAlignment="1">
      <alignment horizontal="center"/>
    </xf>
    <xf numFmtId="167" fontId="137" fillId="22" borderId="8" xfId="4" applyNumberFormat="1" applyFont="1" applyFill="1" applyBorder="1" applyAlignment="1">
      <alignment horizontal="center" vertical="top"/>
    </xf>
    <xf numFmtId="3" fontId="79" fillId="21" borderId="12" xfId="0" applyNumberFormat="1" applyFont="1" applyFill="1" applyBorder="1" applyAlignment="1">
      <alignment horizontal="center" vertical="center"/>
    </xf>
    <xf numFmtId="167" fontId="38" fillId="20" borderId="5" xfId="4" applyNumberFormat="1" applyFont="1" applyFill="1" applyBorder="1" applyAlignment="1">
      <alignment horizontal="center"/>
    </xf>
    <xf numFmtId="3" fontId="38" fillId="20" borderId="11" xfId="0" applyNumberFormat="1" applyFont="1" applyFill="1" applyBorder="1" applyAlignment="1">
      <alignment horizontal="center" vertical="top"/>
    </xf>
    <xf numFmtId="167" fontId="38" fillId="20" borderId="8" xfId="4" applyNumberFormat="1" applyFont="1" applyFill="1" applyBorder="1" applyAlignment="1">
      <alignment horizontal="center"/>
    </xf>
    <xf numFmtId="0" fontId="38" fillId="20" borderId="12" xfId="0" applyFont="1" applyFill="1" applyBorder="1" applyAlignment="1">
      <alignment horizontal="center" vertical="center"/>
    </xf>
    <xf numFmtId="0" fontId="53" fillId="20" borderId="1" xfId="0" applyFont="1" applyFill="1" applyBorder="1" applyAlignment="1">
      <alignment horizontal="center" vertical="center"/>
    </xf>
    <xf numFmtId="3" fontId="38" fillId="0" borderId="11" xfId="0" applyNumberFormat="1" applyFont="1" applyBorder="1" applyAlignment="1">
      <alignment horizontal="center" vertical="top"/>
    </xf>
    <xf numFmtId="165" fontId="85" fillId="15" borderId="40" xfId="0" applyNumberFormat="1" applyFont="1" applyFill="1" applyBorder="1" applyAlignment="1">
      <alignment horizontal="center"/>
    </xf>
    <xf numFmtId="165" fontId="85" fillId="15" borderId="39" xfId="0" applyNumberFormat="1" applyFont="1" applyFill="1" applyBorder="1" applyAlignment="1">
      <alignment horizontal="center"/>
    </xf>
    <xf numFmtId="165" fontId="85" fillId="12" borderId="39" xfId="0" applyNumberFormat="1" applyFont="1" applyFill="1" applyBorder="1" applyAlignment="1">
      <alignment horizontal="center"/>
    </xf>
    <xf numFmtId="165" fontId="85" fillId="0" borderId="39" xfId="0" applyNumberFormat="1" applyFont="1" applyBorder="1" applyAlignment="1">
      <alignment horizontal="center" vertical="center"/>
    </xf>
    <xf numFmtId="165" fontId="85" fillId="0" borderId="41" xfId="0" applyNumberFormat="1" applyFont="1" applyBorder="1" applyAlignment="1">
      <alignment horizontal="center" vertical="center"/>
    </xf>
    <xf numFmtId="165" fontId="85" fillId="12" borderId="40" xfId="0" applyNumberFormat="1" applyFont="1" applyFill="1" applyBorder="1" applyAlignment="1">
      <alignment horizontal="center"/>
    </xf>
    <xf numFmtId="165" fontId="85" fillId="0" borderId="40" xfId="0" applyNumberFormat="1" applyFont="1" applyBorder="1" applyAlignment="1">
      <alignment horizontal="center" vertical="center"/>
    </xf>
    <xf numFmtId="165" fontId="85" fillId="0" borderId="42" xfId="0" applyNumberFormat="1" applyFont="1" applyBorder="1" applyAlignment="1">
      <alignment horizontal="center" vertical="center"/>
    </xf>
    <xf numFmtId="0" fontId="102" fillId="3" borderId="69" xfId="0" applyFont="1" applyFill="1" applyBorder="1" applyAlignment="1">
      <alignment horizontal="center" vertical="center" wrapText="1"/>
    </xf>
    <xf numFmtId="165" fontId="102" fillId="16" borderId="75" xfId="0" applyNumberFormat="1" applyFont="1" applyFill="1" applyBorder="1" applyAlignment="1">
      <alignment horizontal="center" vertical="center"/>
    </xf>
    <xf numFmtId="165" fontId="104" fillId="15" borderId="75" xfId="0" applyNumberFormat="1" applyFont="1" applyFill="1" applyBorder="1" applyAlignment="1">
      <alignment horizontal="center" vertical="center"/>
    </xf>
    <xf numFmtId="3" fontId="105" fillId="3" borderId="2" xfId="0" applyNumberFormat="1" applyFont="1" applyFill="1" applyBorder="1" applyAlignment="1">
      <alignment horizontal="center" vertical="center"/>
    </xf>
    <xf numFmtId="3" fontId="105" fillId="0" borderId="2" xfId="0" applyNumberFormat="1" applyFont="1" applyBorder="1" applyAlignment="1">
      <alignment horizontal="center" vertical="center"/>
    </xf>
    <xf numFmtId="165" fontId="106" fillId="3" borderId="2" xfId="0" applyNumberFormat="1" applyFont="1" applyFill="1" applyBorder="1" applyAlignment="1">
      <alignment horizontal="center" vertical="center"/>
    </xf>
    <xf numFmtId="165" fontId="104" fillId="15" borderId="2" xfId="0" applyNumberFormat="1" applyFont="1" applyFill="1" applyBorder="1" applyAlignment="1">
      <alignment horizontal="center" vertical="center"/>
    </xf>
    <xf numFmtId="165" fontId="105" fillId="3" borderId="2" xfId="0" applyNumberFormat="1" applyFont="1" applyFill="1" applyBorder="1" applyAlignment="1">
      <alignment horizontal="center" vertical="center"/>
    </xf>
    <xf numFmtId="164" fontId="105" fillId="0" borderId="2" xfId="0" applyNumberFormat="1" applyFont="1" applyBorder="1" applyAlignment="1">
      <alignment horizontal="center" vertical="center" wrapText="1"/>
    </xf>
    <xf numFmtId="164" fontId="104" fillId="15" borderId="2" xfId="0" applyNumberFormat="1" applyFont="1" applyFill="1" applyBorder="1" applyAlignment="1">
      <alignment horizontal="center" vertical="center"/>
    </xf>
    <xf numFmtId="165" fontId="0" fillId="0" borderId="1" xfId="0" applyNumberFormat="1" applyBorder="1"/>
    <xf numFmtId="166" fontId="0" fillId="0" borderId="1" xfId="0" applyNumberFormat="1" applyBorder="1"/>
    <xf numFmtId="0" fontId="102" fillId="0" borderId="1" xfId="0" applyFont="1" applyBorder="1" applyAlignment="1">
      <alignment horizontal="center"/>
    </xf>
    <xf numFmtId="0" fontId="102" fillId="3" borderId="1" xfId="0" applyFont="1" applyFill="1" applyBorder="1" applyAlignment="1">
      <alignment horizontal="center" vertical="center"/>
    </xf>
    <xf numFmtId="165" fontId="102" fillId="16" borderId="1" xfId="0" applyNumberFormat="1" applyFont="1" applyFill="1" applyBorder="1" applyAlignment="1">
      <alignment horizontal="center" vertical="center"/>
    </xf>
    <xf numFmtId="0" fontId="117" fillId="15" borderId="1" xfId="0" applyFont="1" applyFill="1" applyBorder="1" applyAlignment="1">
      <alignment horizontal="center" vertical="center"/>
    </xf>
    <xf numFmtId="165" fontId="105" fillId="0" borderId="0" xfId="0" applyNumberFormat="1" applyFont="1" applyAlignment="1">
      <alignment horizontal="left" vertical="center" wrapText="1"/>
    </xf>
    <xf numFmtId="0" fontId="103" fillId="3" borderId="4" xfId="0" applyFont="1" applyFill="1" applyBorder="1" applyAlignment="1">
      <alignment horizontal="center" vertical="center" wrapText="1"/>
    </xf>
    <xf numFmtId="0" fontId="0" fillId="0" borderId="9" xfId="0" applyBorder="1" applyAlignment="1">
      <alignment horizontal="center" vertical="center" wrapText="1"/>
    </xf>
    <xf numFmtId="165" fontId="108" fillId="3" borderId="2" xfId="0" applyNumberFormat="1" applyFont="1" applyFill="1" applyBorder="1" applyAlignment="1">
      <alignment horizontal="center" vertical="center"/>
    </xf>
    <xf numFmtId="165" fontId="106" fillId="0" borderId="2" xfId="0" applyNumberFormat="1" applyFont="1" applyBorder="1" applyAlignment="1">
      <alignment horizontal="center" vertical="center"/>
    </xf>
    <xf numFmtId="164" fontId="105" fillId="0" borderId="2" xfId="0" applyNumberFormat="1" applyFont="1" applyBorder="1" applyAlignment="1">
      <alignment horizontal="center" vertical="center"/>
    </xf>
    <xf numFmtId="0" fontId="38" fillId="16" borderId="36" xfId="0" applyFont="1" applyFill="1" applyBorder="1" applyAlignment="1">
      <alignment horizontal="left" vertical="center" wrapText="1"/>
    </xf>
    <xf numFmtId="0" fontId="33" fillId="20" borderId="2" xfId="0" applyFont="1" applyFill="1" applyBorder="1" applyAlignment="1">
      <alignment horizontal="center" vertical="center"/>
    </xf>
    <xf numFmtId="0" fontId="33" fillId="20" borderId="10" xfId="0" applyFont="1" applyFill="1" applyBorder="1" applyAlignment="1">
      <alignment horizontal="center" vertical="center"/>
    </xf>
    <xf numFmtId="0" fontId="33" fillId="20" borderId="4" xfId="0" applyFont="1" applyFill="1" applyBorder="1" applyAlignment="1">
      <alignment horizontal="center" vertical="center"/>
    </xf>
    <xf numFmtId="0" fontId="33" fillId="20" borderId="5" xfId="0" applyFont="1" applyFill="1" applyBorder="1" applyAlignment="1">
      <alignment horizontal="center" vertical="center"/>
    </xf>
    <xf numFmtId="0" fontId="83" fillId="15" borderId="55" xfId="0" applyFont="1" applyFill="1" applyBorder="1" applyAlignment="1">
      <alignment horizontal="center"/>
    </xf>
    <xf numFmtId="0" fontId="83" fillId="15" borderId="56" xfId="0" applyFont="1" applyFill="1" applyBorder="1" applyAlignment="1">
      <alignment horizontal="center"/>
    </xf>
    <xf numFmtId="0" fontId="83" fillId="15" borderId="52" xfId="0" applyFont="1" applyFill="1" applyBorder="1" applyAlignment="1">
      <alignment horizontal="center" vertical="center"/>
    </xf>
    <xf numFmtId="0" fontId="0" fillId="15" borderId="49" xfId="0" applyFill="1" applyBorder="1" applyAlignment="1">
      <alignment horizontal="center" vertical="center"/>
    </xf>
    <xf numFmtId="0" fontId="83" fillId="15" borderId="52" xfId="0" applyFont="1" applyFill="1" applyBorder="1" applyAlignment="1">
      <alignment horizontal="center" vertical="center" wrapText="1"/>
    </xf>
    <xf numFmtId="0" fontId="83" fillId="15" borderId="57" xfId="0" applyFont="1" applyFill="1" applyBorder="1" applyAlignment="1">
      <alignment horizontal="center" vertical="center"/>
    </xf>
    <xf numFmtId="0" fontId="83" fillId="15" borderId="62" xfId="0" applyFont="1" applyFill="1" applyBorder="1" applyAlignment="1">
      <alignment horizontal="center" vertical="center"/>
    </xf>
    <xf numFmtId="0" fontId="83" fillId="15" borderId="58" xfId="0" applyFont="1" applyFill="1" applyBorder="1" applyAlignment="1">
      <alignment horizontal="center" vertical="center"/>
    </xf>
    <xf numFmtId="0" fontId="83" fillId="15" borderId="47" xfId="0" applyFont="1" applyFill="1" applyBorder="1" applyAlignment="1">
      <alignment horizontal="center"/>
    </xf>
    <xf numFmtId="0" fontId="83" fillId="15" borderId="53" xfId="0" applyFont="1" applyFill="1" applyBorder="1" applyAlignment="1">
      <alignment horizontal="center"/>
    </xf>
    <xf numFmtId="0" fontId="0" fillId="0" borderId="49" xfId="0" applyBorder="1" applyAlignment="1">
      <alignment horizontal="center" vertical="center"/>
    </xf>
    <xf numFmtId="0" fontId="83" fillId="15" borderId="3" xfId="0" applyFont="1" applyFill="1" applyBorder="1" applyAlignment="1">
      <alignment horizontal="center" vertical="center" wrapText="1"/>
    </xf>
    <xf numFmtId="0" fontId="0" fillId="15" borderId="49" xfId="0" applyFill="1" applyBorder="1" applyAlignment="1">
      <alignment horizontal="center" vertical="center" wrapText="1"/>
    </xf>
    <xf numFmtId="0" fontId="83" fillId="15" borderId="20" xfId="0" applyFont="1" applyFill="1" applyBorder="1" applyAlignment="1">
      <alignment horizontal="center"/>
    </xf>
    <xf numFmtId="0" fontId="105" fillId="0" borderId="0" xfId="0" applyFont="1" applyAlignment="1">
      <alignment horizontal="left" vertical="center" wrapText="1"/>
    </xf>
    <xf numFmtId="0" fontId="106" fillId="0" borderId="0" xfId="0" applyFont="1" applyAlignment="1">
      <alignment horizontal="left" vertical="center" wrapText="1"/>
    </xf>
    <xf numFmtId="0" fontId="0" fillId="0" borderId="0" xfId="0" applyAlignment="1">
      <alignment horizontal="left" vertical="center" wrapText="1"/>
    </xf>
    <xf numFmtId="0" fontId="103" fillId="3" borderId="4" xfId="0" applyFont="1" applyFill="1" applyBorder="1" applyAlignment="1">
      <alignment horizontal="center" vertical="center"/>
    </xf>
    <xf numFmtId="0" fontId="103" fillId="3" borderId="5" xfId="0" applyFont="1" applyFill="1" applyBorder="1" applyAlignment="1">
      <alignment horizontal="center" vertical="center"/>
    </xf>
    <xf numFmtId="0" fontId="103" fillId="3" borderId="2" xfId="0" applyFont="1" applyFill="1" applyBorder="1" applyAlignment="1">
      <alignment horizontal="center"/>
    </xf>
    <xf numFmtId="0" fontId="103" fillId="3" borderId="10" xfId="0" applyFont="1" applyFill="1" applyBorder="1" applyAlignment="1">
      <alignment horizontal="center"/>
    </xf>
    <xf numFmtId="0" fontId="103" fillId="3" borderId="3" xfId="0" applyFont="1" applyFill="1" applyBorder="1" applyAlignment="1">
      <alignment horizontal="center"/>
    </xf>
    <xf numFmtId="0" fontId="104" fillId="0" borderId="2" xfId="0" applyFont="1" applyBorder="1" applyAlignment="1">
      <alignment horizontal="left" vertical="center" wrapText="1"/>
    </xf>
    <xf numFmtId="0" fontId="104" fillId="0" borderId="3" xfId="0" applyFont="1" applyBorder="1" applyAlignment="1">
      <alignment horizontal="left" vertical="center" wrapText="1"/>
    </xf>
    <xf numFmtId="0" fontId="104" fillId="0" borderId="10" xfId="0" applyFont="1" applyBorder="1" applyAlignment="1">
      <alignment horizontal="left" vertical="center" wrapText="1"/>
    </xf>
    <xf numFmtId="0" fontId="104" fillId="3" borderId="2" xfId="0" applyFont="1" applyFill="1" applyBorder="1" applyAlignment="1">
      <alignment horizontal="left" vertical="center" wrapText="1"/>
    </xf>
    <xf numFmtId="0" fontId="104" fillId="3" borderId="3" xfId="0" applyFont="1" applyFill="1" applyBorder="1" applyAlignment="1">
      <alignment horizontal="left" vertical="center" wrapText="1"/>
    </xf>
    <xf numFmtId="0" fontId="104" fillId="3" borderId="10" xfId="0" applyFont="1" applyFill="1" applyBorder="1" applyAlignment="1">
      <alignment horizontal="left" vertical="center" wrapText="1"/>
    </xf>
    <xf numFmtId="0" fontId="109" fillId="3" borderId="2" xfId="0" applyFont="1" applyFill="1" applyBorder="1" applyAlignment="1">
      <alignment horizontal="left" vertical="center" wrapText="1"/>
    </xf>
    <xf numFmtId="0" fontId="109" fillId="3" borderId="3" xfId="0" applyFont="1" applyFill="1" applyBorder="1" applyAlignment="1">
      <alignment horizontal="left" vertical="center" wrapText="1"/>
    </xf>
    <xf numFmtId="0" fontId="109" fillId="3" borderId="10" xfId="0" applyFont="1" applyFill="1" applyBorder="1" applyAlignment="1">
      <alignment horizontal="left" vertical="center" wrapText="1"/>
    </xf>
    <xf numFmtId="0" fontId="136" fillId="0" borderId="0" xfId="0" applyFont="1" applyAlignment="1">
      <alignment horizontal="left" vertical="center" wrapText="1"/>
    </xf>
    <xf numFmtId="0" fontId="136" fillId="0" borderId="0" xfId="0" applyFont="1" applyAlignment="1">
      <alignment horizontal="left" vertical="center"/>
    </xf>
    <xf numFmtId="0" fontId="117" fillId="15" borderId="1" xfId="0" applyFont="1" applyFill="1" applyBorder="1" applyAlignment="1">
      <alignment horizontal="center"/>
    </xf>
    <xf numFmtId="0" fontId="117" fillId="15" borderId="2" xfId="0" applyFont="1" applyFill="1" applyBorder="1" applyAlignment="1">
      <alignment horizontal="center"/>
    </xf>
    <xf numFmtId="0" fontId="117" fillId="15" borderId="10" xfId="0" applyFont="1" applyFill="1" applyBorder="1" applyAlignment="1">
      <alignment horizontal="center"/>
    </xf>
    <xf numFmtId="0" fontId="117" fillId="0" borderId="2" xfId="0" applyFont="1" applyBorder="1" applyAlignment="1">
      <alignment horizontal="center" vertical="center"/>
    </xf>
    <xf numFmtId="0" fontId="117" fillId="0" borderId="10" xfId="0" applyFont="1" applyBorder="1" applyAlignment="1">
      <alignment horizontal="center" vertical="center"/>
    </xf>
    <xf numFmtId="0" fontId="83" fillId="15" borderId="63" xfId="0" applyFont="1" applyFill="1" applyBorder="1" applyAlignment="1">
      <alignment horizontal="center"/>
    </xf>
    <xf numFmtId="0" fontId="83" fillId="15" borderId="64" xfId="0" applyFont="1" applyFill="1" applyBorder="1" applyAlignment="1">
      <alignment horizontal="center"/>
    </xf>
    <xf numFmtId="0" fontId="83" fillId="15" borderId="37" xfId="0" applyFont="1" applyFill="1" applyBorder="1" applyAlignment="1">
      <alignment horizontal="center" vertical="center"/>
    </xf>
    <xf numFmtId="0" fontId="83" fillId="15" borderId="38" xfId="0" applyFont="1" applyFill="1" applyBorder="1" applyAlignment="1">
      <alignment horizontal="center" vertical="center"/>
    </xf>
    <xf numFmtId="0" fontId="83" fillId="15" borderId="70" xfId="0" applyFont="1" applyFill="1" applyBorder="1" applyAlignment="1">
      <alignment horizontal="center"/>
    </xf>
    <xf numFmtId="0" fontId="83" fillId="15" borderId="72" xfId="0" applyFont="1" applyFill="1" applyBorder="1" applyAlignment="1">
      <alignment horizontal="center"/>
    </xf>
    <xf numFmtId="0" fontId="83" fillId="15" borderId="55" xfId="0" applyFont="1" applyFill="1" applyBorder="1" applyAlignment="1">
      <alignment horizontal="center" vertical="center"/>
    </xf>
    <xf numFmtId="0" fontId="83" fillId="15" borderId="56" xfId="0" applyFont="1" applyFill="1" applyBorder="1" applyAlignment="1">
      <alignment horizontal="center" vertical="center"/>
    </xf>
    <xf numFmtId="0" fontId="83" fillId="15" borderId="71" xfId="0" applyFont="1" applyFill="1" applyBorder="1" applyAlignment="1">
      <alignment horizontal="center"/>
    </xf>
    <xf numFmtId="0" fontId="108" fillId="0" borderId="0" xfId="0" applyFont="1" applyAlignment="1">
      <alignment horizontal="left" wrapText="1"/>
    </xf>
    <xf numFmtId="0" fontId="108" fillId="0" borderId="0" xfId="0" applyFont="1"/>
    <xf numFmtId="0" fontId="102" fillId="3" borderId="4" xfId="0" applyFont="1" applyFill="1" applyBorder="1" applyAlignment="1">
      <alignment horizontal="center" vertical="center"/>
    </xf>
    <xf numFmtId="0" fontId="102" fillId="3" borderId="5" xfId="0" applyFont="1" applyFill="1" applyBorder="1" applyAlignment="1">
      <alignment horizontal="center" vertical="center"/>
    </xf>
    <xf numFmtId="0" fontId="102" fillId="3" borderId="2" xfId="0" applyFont="1" applyFill="1" applyBorder="1" applyAlignment="1">
      <alignment horizontal="center"/>
    </xf>
    <xf numFmtId="0" fontId="102" fillId="3" borderId="10" xfId="0" applyFont="1" applyFill="1" applyBorder="1" applyAlignment="1">
      <alignment horizontal="center"/>
    </xf>
    <xf numFmtId="0" fontId="102" fillId="3" borderId="3" xfId="0" applyFont="1" applyFill="1" applyBorder="1" applyAlignment="1">
      <alignment horizontal="center"/>
    </xf>
    <xf numFmtId="0" fontId="113" fillId="0" borderId="0" xfId="0" applyFont="1" applyAlignment="1">
      <alignment horizontal="left" vertical="center" wrapText="1"/>
    </xf>
    <xf numFmtId="0" fontId="108" fillId="0" borderId="0" xfId="0" applyFont="1" applyAlignment="1">
      <alignment horizontal="left" vertical="center" wrapText="1"/>
    </xf>
    <xf numFmtId="0" fontId="117" fillId="0" borderId="4" xfId="0" applyFont="1" applyBorder="1" applyAlignment="1">
      <alignment horizontal="center" vertical="center"/>
    </xf>
    <xf numFmtId="0" fontId="117" fillId="0" borderId="5" xfId="0" applyFont="1" applyBorder="1" applyAlignment="1">
      <alignment horizontal="center" vertical="center"/>
    </xf>
    <xf numFmtId="0" fontId="90" fillId="0" borderId="0" xfId="0" applyFont="1" applyAlignment="1">
      <alignment horizontal="left" vertical="center" wrapText="1"/>
    </xf>
    <xf numFmtId="0" fontId="83" fillId="15" borderId="29" xfId="0" applyFont="1" applyFill="1" applyBorder="1" applyAlignment="1">
      <alignment horizontal="center"/>
    </xf>
    <xf numFmtId="0" fontId="83" fillId="15" borderId="16" xfId="0" applyFont="1" applyFill="1" applyBorder="1" applyAlignment="1">
      <alignment horizontal="center"/>
    </xf>
    <xf numFmtId="0" fontId="83" fillId="15" borderId="36" xfId="0" applyFont="1" applyFill="1" applyBorder="1" applyAlignment="1">
      <alignment horizontal="center"/>
    </xf>
    <xf numFmtId="0" fontId="89" fillId="0" borderId="0" xfId="0" applyFont="1" applyAlignment="1">
      <alignment vertical="top" wrapText="1"/>
    </xf>
    <xf numFmtId="0" fontId="0" fillId="0" borderId="0" xfId="0" applyAlignment="1">
      <alignment vertical="top" wrapText="1"/>
    </xf>
    <xf numFmtId="164" fontId="38" fillId="5" borderId="45" xfId="0" applyNumberFormat="1" applyFont="1" applyFill="1" applyBorder="1" applyAlignment="1">
      <alignment horizontal="center" vertical="center"/>
    </xf>
    <xf numFmtId="164" fontId="38" fillId="5" borderId="23" xfId="0" applyNumberFormat="1" applyFont="1" applyFill="1" applyBorder="1" applyAlignment="1">
      <alignment horizontal="center" vertical="center"/>
    </xf>
    <xf numFmtId="164" fontId="37" fillId="5" borderId="45" xfId="0" applyNumberFormat="1" applyFont="1" applyFill="1" applyBorder="1" applyAlignment="1">
      <alignment horizontal="right" vertical="center"/>
    </xf>
    <xf numFmtId="164" fontId="37" fillId="5" borderId="23" xfId="0" applyNumberFormat="1" applyFont="1" applyFill="1" applyBorder="1" applyAlignment="1">
      <alignment horizontal="right" vertical="center"/>
    </xf>
    <xf numFmtId="164" fontId="37" fillId="5" borderId="43" xfId="0" applyNumberFormat="1" applyFont="1" applyFill="1" applyBorder="1" applyAlignment="1">
      <alignment horizontal="right" vertical="center"/>
    </xf>
    <xf numFmtId="164" fontId="63" fillId="5" borderId="45" xfId="0" applyNumberFormat="1" applyFont="1" applyFill="1" applyBorder="1" applyAlignment="1">
      <alignment horizontal="right" vertical="center"/>
    </xf>
    <xf numFmtId="164" fontId="63" fillId="5" borderId="43" xfId="0" applyNumberFormat="1" applyFont="1" applyFill="1" applyBorder="1" applyAlignment="1">
      <alignment horizontal="right" vertical="center"/>
    </xf>
    <xf numFmtId="164" fontId="37" fillId="4" borderId="4" xfId="0" applyNumberFormat="1" applyFont="1" applyFill="1" applyBorder="1" applyAlignment="1">
      <alignment horizontal="right" vertical="center"/>
    </xf>
    <xf numFmtId="164" fontId="37" fillId="4" borderId="9" xfId="0" applyNumberFormat="1" applyFont="1" applyFill="1" applyBorder="1" applyAlignment="1">
      <alignment horizontal="right" vertical="center"/>
    </xf>
    <xf numFmtId="164" fontId="37" fillId="5" borderId="39" xfId="0" applyNumberFormat="1" applyFont="1" applyFill="1" applyBorder="1" applyAlignment="1">
      <alignment horizontal="right" vertical="center"/>
    </xf>
    <xf numFmtId="164" fontId="38" fillId="0" borderId="4" xfId="0" applyNumberFormat="1" applyFont="1" applyBorder="1" applyAlignment="1">
      <alignment horizontal="center" vertical="center"/>
    </xf>
    <xf numFmtId="164" fontId="38" fillId="0" borderId="9" xfId="0" applyNumberFormat="1" applyFont="1" applyBorder="1" applyAlignment="1">
      <alignment horizontal="center" vertical="center"/>
    </xf>
    <xf numFmtId="164" fontId="38" fillId="0" borderId="5" xfId="0" applyNumberFormat="1" applyFont="1" applyBorder="1" applyAlignment="1">
      <alignment horizontal="center" vertical="center"/>
    </xf>
    <xf numFmtId="164" fontId="37" fillId="5" borderId="4" xfId="0" applyNumberFormat="1" applyFont="1" applyFill="1" applyBorder="1" applyAlignment="1">
      <alignment horizontal="center" vertical="center"/>
    </xf>
    <xf numFmtId="164" fontId="37" fillId="5" borderId="5" xfId="0" applyNumberFormat="1" applyFont="1" applyFill="1" applyBorder="1" applyAlignment="1">
      <alignment horizontal="center" vertical="center"/>
    </xf>
    <xf numFmtId="164" fontId="37" fillId="4" borderId="5" xfId="0" applyNumberFormat="1" applyFont="1" applyFill="1" applyBorder="1" applyAlignment="1">
      <alignment horizontal="right" vertical="center"/>
    </xf>
    <xf numFmtId="164" fontId="37" fillId="6" borderId="1" xfId="0" applyNumberFormat="1" applyFont="1" applyFill="1" applyBorder="1" applyAlignment="1">
      <alignment horizontal="right" vertical="center"/>
    </xf>
    <xf numFmtId="164" fontId="37" fillId="5" borderId="4" xfId="0" applyNumberFormat="1" applyFont="1" applyFill="1" applyBorder="1" applyAlignment="1">
      <alignment horizontal="right" vertical="center"/>
    </xf>
    <xf numFmtId="164" fontId="37" fillId="5" borderId="5" xfId="0" applyNumberFormat="1" applyFont="1" applyFill="1" applyBorder="1" applyAlignment="1">
      <alignment horizontal="right" vertical="center"/>
    </xf>
    <xf numFmtId="164" fontId="37" fillId="5" borderId="1" xfId="0" applyNumberFormat="1" applyFont="1" applyFill="1" applyBorder="1" applyAlignment="1">
      <alignment horizontal="right" vertical="center"/>
    </xf>
    <xf numFmtId="164" fontId="37" fillId="4" borderId="1" xfId="0" applyNumberFormat="1" applyFont="1" applyFill="1" applyBorder="1" applyAlignment="1">
      <alignment horizontal="right" vertical="center"/>
    </xf>
    <xf numFmtId="164" fontId="2" fillId="5" borderId="1" xfId="0" applyNumberFormat="1" applyFont="1" applyFill="1" applyBorder="1" applyAlignment="1">
      <alignment horizontal="center" vertical="center"/>
    </xf>
    <xf numFmtId="164" fontId="2" fillId="5" borderId="10" xfId="0" applyNumberFormat="1" applyFont="1" applyFill="1" applyBorder="1" applyAlignment="1">
      <alignment horizontal="center" vertical="center"/>
    </xf>
    <xf numFmtId="164" fontId="37" fillId="0" borderId="60" xfId="0" applyNumberFormat="1" applyFont="1" applyBorder="1" applyAlignment="1">
      <alignment horizontal="right" vertical="center"/>
    </xf>
    <xf numFmtId="164" fontId="37" fillId="0" borderId="37" xfId="0" applyNumberFormat="1" applyFont="1" applyBorder="1" applyAlignment="1">
      <alignment horizontal="right" vertical="center"/>
    </xf>
    <xf numFmtId="164" fontId="37" fillId="6" borderId="4" xfId="0" applyNumberFormat="1" applyFont="1" applyFill="1" applyBorder="1" applyAlignment="1">
      <alignment horizontal="right" vertical="center"/>
    </xf>
    <xf numFmtId="164" fontId="37" fillId="6" borderId="5" xfId="0" applyNumberFormat="1" applyFont="1" applyFill="1" applyBorder="1" applyAlignment="1">
      <alignment horizontal="right" vertical="center"/>
    </xf>
    <xf numFmtId="164" fontId="37" fillId="6" borderId="9" xfId="0" applyNumberFormat="1" applyFont="1" applyFill="1" applyBorder="1" applyAlignment="1">
      <alignment horizontal="right" vertical="center"/>
    </xf>
    <xf numFmtId="164" fontId="72" fillId="5" borderId="4" xfId="0" applyNumberFormat="1" applyFont="1" applyFill="1" applyBorder="1" applyAlignment="1">
      <alignment horizontal="right" vertical="center"/>
    </xf>
    <xf numFmtId="164" fontId="72" fillId="5" borderId="9" xfId="0" applyNumberFormat="1" applyFont="1" applyFill="1" applyBorder="1" applyAlignment="1">
      <alignment horizontal="right" vertical="center"/>
    </xf>
    <xf numFmtId="164" fontId="37" fillId="5" borderId="9" xfId="0" applyNumberFormat="1" applyFont="1" applyFill="1" applyBorder="1" applyAlignment="1">
      <alignment horizontal="right" vertical="center"/>
    </xf>
    <xf numFmtId="164" fontId="48" fillId="5" borderId="45" xfId="0" applyNumberFormat="1" applyFont="1" applyFill="1" applyBorder="1" applyAlignment="1">
      <alignment horizontal="right" vertical="center"/>
    </xf>
    <xf numFmtId="164" fontId="48" fillId="5" borderId="23" xfId="0" applyNumberFormat="1" applyFont="1" applyFill="1" applyBorder="1" applyAlignment="1">
      <alignment horizontal="right" vertical="center"/>
    </xf>
    <xf numFmtId="0" fontId="37" fillId="5" borderId="39" xfId="0" applyFont="1" applyFill="1" applyBorder="1" applyAlignment="1">
      <alignment horizontal="left" vertical="center" wrapText="1"/>
    </xf>
    <xf numFmtId="14" fontId="37" fillId="5" borderId="1" xfId="0" applyNumberFormat="1" applyFont="1" applyFill="1" applyBorder="1" applyAlignment="1">
      <alignment horizontal="center" vertical="center" wrapText="1"/>
    </xf>
    <xf numFmtId="0" fontId="41" fillId="5" borderId="0" xfId="0" applyFont="1" applyFill="1" applyAlignment="1">
      <alignment horizontal="center" vertical="center" wrapText="1"/>
    </xf>
    <xf numFmtId="0" fontId="41" fillId="2" borderId="22"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41" fillId="2" borderId="26" xfId="0" applyFont="1" applyFill="1" applyBorder="1" applyAlignment="1">
      <alignment horizontal="center" vertical="center" wrapText="1"/>
    </xf>
    <xf numFmtId="167" fontId="49" fillId="5" borderId="4" xfId="4" applyNumberFormat="1" applyFont="1" applyFill="1" applyBorder="1" applyAlignment="1">
      <alignment horizontal="center" vertical="center" wrapText="1"/>
    </xf>
    <xf numFmtId="167" fontId="49" fillId="5" borderId="5" xfId="4" applyNumberFormat="1" applyFont="1" applyFill="1" applyBorder="1" applyAlignment="1">
      <alignment horizontal="center" vertical="center" wrapText="1"/>
    </xf>
    <xf numFmtId="0" fontId="37" fillId="5" borderId="67" xfId="0" applyFont="1" applyFill="1" applyBorder="1" applyAlignment="1">
      <alignment horizontal="center" vertical="center" wrapText="1"/>
    </xf>
    <xf numFmtId="0" fontId="37" fillId="5" borderId="0" xfId="0" applyFont="1" applyFill="1" applyAlignment="1">
      <alignment horizontal="center" vertical="center" wrapText="1"/>
    </xf>
    <xf numFmtId="0" fontId="38" fillId="5" borderId="0" xfId="0" applyFont="1" applyFill="1" applyAlignment="1">
      <alignment horizontal="center" vertical="center" wrapText="1"/>
    </xf>
    <xf numFmtId="14" fontId="37" fillId="5" borderId="4" xfId="0" applyNumberFormat="1" applyFont="1" applyFill="1" applyBorder="1" applyAlignment="1">
      <alignment horizontal="center" vertical="center" wrapText="1"/>
    </xf>
    <xf numFmtId="14" fontId="37" fillId="5" borderId="5" xfId="0" applyNumberFormat="1" applyFont="1" applyFill="1" applyBorder="1" applyAlignment="1">
      <alignment horizontal="center" vertical="center" wrapText="1"/>
    </xf>
    <xf numFmtId="164" fontId="37" fillId="0" borderId="4" xfId="0" applyNumberFormat="1" applyFont="1" applyBorder="1" applyAlignment="1">
      <alignment horizontal="center" vertical="center"/>
    </xf>
    <xf numFmtId="164" fontId="37" fillId="0" borderId="5" xfId="0" applyNumberFormat="1" applyFont="1" applyBorder="1" applyAlignment="1">
      <alignment horizontal="center" vertical="center"/>
    </xf>
    <xf numFmtId="164" fontId="0" fillId="5" borderId="45" xfId="0" applyNumberFormat="1" applyFill="1" applyBorder="1" applyAlignment="1">
      <alignment horizontal="right" vertical="center"/>
    </xf>
    <xf numFmtId="164" fontId="0" fillId="5" borderId="23" xfId="0" applyNumberFormat="1" applyFill="1" applyBorder="1" applyAlignment="1">
      <alignment horizontal="right" vertical="center"/>
    </xf>
    <xf numFmtId="164" fontId="0" fillId="5" borderId="43" xfId="0" applyNumberFormat="1" applyFill="1" applyBorder="1" applyAlignment="1">
      <alignment horizontal="right" vertical="center"/>
    </xf>
    <xf numFmtId="164" fontId="37" fillId="5" borderId="46" xfId="0" applyNumberFormat="1" applyFont="1" applyFill="1" applyBorder="1" applyAlignment="1">
      <alignment horizontal="center" vertical="center"/>
    </xf>
    <xf numFmtId="164" fontId="37" fillId="5" borderId="44" xfId="0" applyNumberFormat="1" applyFont="1" applyFill="1" applyBorder="1" applyAlignment="1">
      <alignment horizontal="center" vertical="center"/>
    </xf>
    <xf numFmtId="0" fontId="44" fillId="5" borderId="46" xfId="2" applyFill="1" applyBorder="1" applyAlignment="1">
      <alignment horizontal="left" vertical="center" wrapText="1"/>
    </xf>
    <xf numFmtId="0" fontId="44" fillId="5" borderId="24" xfId="2" applyFill="1" applyBorder="1" applyAlignment="1">
      <alignment horizontal="left" vertical="center" wrapText="1"/>
    </xf>
    <xf numFmtId="167" fontId="49" fillId="5" borderId="9" xfId="4" applyNumberFormat="1" applyFont="1" applyFill="1" applyBorder="1" applyAlignment="1">
      <alignment horizontal="center" vertical="center" wrapText="1"/>
    </xf>
    <xf numFmtId="165" fontId="48" fillId="5" borderId="46" xfId="0" applyNumberFormat="1" applyFont="1" applyFill="1" applyBorder="1" applyAlignment="1">
      <alignment horizontal="right" vertical="center"/>
    </xf>
    <xf numFmtId="165" fontId="48" fillId="5" borderId="44" xfId="0" applyNumberFormat="1" applyFont="1" applyFill="1" applyBorder="1" applyAlignment="1">
      <alignment horizontal="right" vertical="center"/>
    </xf>
    <xf numFmtId="164" fontId="0" fillId="5" borderId="45" xfId="0" applyNumberFormat="1" applyFill="1" applyBorder="1" applyAlignment="1">
      <alignment horizontal="center" vertical="center"/>
    </xf>
    <xf numFmtId="164" fontId="0" fillId="5" borderId="43" xfId="0" applyNumberFormat="1" applyFill="1" applyBorder="1" applyAlignment="1">
      <alignment horizontal="center" vertical="center"/>
    </xf>
    <xf numFmtId="165" fontId="37" fillId="5" borderId="4" xfId="0" applyNumberFormat="1" applyFont="1" applyFill="1" applyBorder="1" applyAlignment="1">
      <alignment horizontal="center" vertical="center" wrapText="1"/>
    </xf>
    <xf numFmtId="165" fontId="37" fillId="5" borderId="5" xfId="0" applyNumberFormat="1" applyFont="1" applyFill="1" applyBorder="1" applyAlignment="1">
      <alignment horizontal="center" vertical="center" wrapText="1"/>
    </xf>
    <xf numFmtId="165" fontId="63" fillId="5" borderId="1" xfId="0" applyNumberFormat="1" applyFont="1" applyFill="1" applyBorder="1" applyAlignment="1">
      <alignment horizontal="right" vertical="center"/>
    </xf>
    <xf numFmtId="165" fontId="37" fillId="5" borderId="46" xfId="0" applyNumberFormat="1" applyFont="1" applyFill="1" applyBorder="1" applyAlignment="1">
      <alignment horizontal="center" vertical="center" wrapText="1"/>
    </xf>
    <xf numFmtId="165" fontId="37" fillId="5" borderId="44" xfId="0" applyNumberFormat="1" applyFont="1" applyFill="1" applyBorder="1" applyAlignment="1">
      <alignment horizontal="center" vertical="center" wrapText="1"/>
    </xf>
    <xf numFmtId="165" fontId="37" fillId="5" borderId="45" xfId="0" applyNumberFormat="1" applyFont="1" applyFill="1" applyBorder="1" applyAlignment="1">
      <alignment horizontal="right" vertical="center"/>
    </xf>
    <xf numFmtId="165" fontId="37" fillId="5" borderId="43" xfId="0" applyNumberFormat="1" applyFont="1" applyFill="1" applyBorder="1" applyAlignment="1">
      <alignment horizontal="right" vertical="center"/>
    </xf>
    <xf numFmtId="0" fontId="37" fillId="5" borderId="45" xfId="0" applyFont="1" applyFill="1" applyBorder="1" applyAlignment="1">
      <alignment horizontal="left" vertical="center" wrapText="1"/>
    </xf>
    <xf numFmtId="0" fontId="37" fillId="5" borderId="43" xfId="0" applyFont="1" applyFill="1" applyBorder="1" applyAlignment="1">
      <alignment horizontal="left" vertical="center" wrapText="1"/>
    </xf>
    <xf numFmtId="164" fontId="37" fillId="9" borderId="4" xfId="0" applyNumberFormat="1" applyFont="1" applyFill="1" applyBorder="1" applyAlignment="1">
      <alignment horizontal="right" vertical="center"/>
    </xf>
    <xf numFmtId="164" fontId="37" fillId="9" borderId="5" xfId="0" applyNumberFormat="1" applyFont="1" applyFill="1" applyBorder="1" applyAlignment="1">
      <alignment horizontal="right" vertical="center"/>
    </xf>
    <xf numFmtId="2" fontId="37" fillId="5" borderId="5" xfId="0" applyNumberFormat="1" applyFont="1" applyFill="1" applyBorder="1" applyAlignment="1">
      <alignment horizontal="right" vertical="center"/>
    </xf>
    <xf numFmtId="2" fontId="37" fillId="4" borderId="1" xfId="0" applyNumberFormat="1" applyFont="1" applyFill="1" applyBorder="1" applyAlignment="1">
      <alignment horizontal="right" vertical="center"/>
    </xf>
    <xf numFmtId="2" fontId="37" fillId="5" borderId="1" xfId="0" applyNumberFormat="1" applyFont="1" applyFill="1" applyBorder="1" applyAlignment="1">
      <alignment horizontal="right" vertical="center"/>
    </xf>
    <xf numFmtId="2" fontId="37" fillId="4" borderId="5" xfId="0" applyNumberFormat="1" applyFont="1" applyFill="1" applyBorder="1" applyAlignment="1">
      <alignment horizontal="right" vertical="center"/>
    </xf>
    <xf numFmtId="2" fontId="37" fillId="9" borderId="5" xfId="0" applyNumberFormat="1" applyFont="1" applyFill="1" applyBorder="1" applyAlignment="1">
      <alignment horizontal="right" vertical="center"/>
    </xf>
    <xf numFmtId="165" fontId="37" fillId="5" borderId="23" xfId="0" applyNumberFormat="1" applyFont="1" applyFill="1" applyBorder="1" applyAlignment="1">
      <alignment horizontal="right" vertical="center"/>
    </xf>
    <xf numFmtId="165" fontId="37" fillId="5" borderId="4" xfId="0" applyNumberFormat="1" applyFont="1" applyFill="1" applyBorder="1" applyAlignment="1">
      <alignment horizontal="right" vertical="center" wrapText="1"/>
    </xf>
    <xf numFmtId="165" fontId="37" fillId="5" borderId="9" xfId="0" applyNumberFormat="1" applyFont="1" applyFill="1" applyBorder="1" applyAlignment="1">
      <alignment horizontal="right" vertical="center" wrapText="1"/>
    </xf>
    <xf numFmtId="165" fontId="37" fillId="5" borderId="5" xfId="0" applyNumberFormat="1" applyFont="1" applyFill="1" applyBorder="1" applyAlignment="1">
      <alignment horizontal="right" vertical="center" wrapText="1"/>
    </xf>
    <xf numFmtId="164" fontId="37" fillId="5" borderId="46" xfId="0" applyNumberFormat="1" applyFont="1" applyFill="1" applyBorder="1" applyAlignment="1">
      <alignment horizontal="center" vertical="center" wrapText="1"/>
    </xf>
    <xf numFmtId="164" fontId="37" fillId="5" borderId="24" xfId="0" applyNumberFormat="1" applyFont="1" applyFill="1" applyBorder="1" applyAlignment="1">
      <alignment horizontal="center" vertical="center" wrapText="1"/>
    </xf>
    <xf numFmtId="164" fontId="37" fillId="5" borderId="44" xfId="0" applyNumberFormat="1" applyFont="1" applyFill="1" applyBorder="1" applyAlignment="1">
      <alignment horizontal="center" vertical="center" wrapText="1"/>
    </xf>
    <xf numFmtId="164" fontId="0" fillId="5" borderId="23" xfId="0" applyNumberFormat="1" applyFill="1" applyBorder="1" applyAlignment="1">
      <alignment horizontal="center" vertical="center"/>
    </xf>
    <xf numFmtId="165" fontId="37" fillId="0" borderId="4" xfId="0" applyNumberFormat="1" applyFont="1" applyBorder="1" applyAlignment="1">
      <alignment horizontal="center" vertical="center" wrapText="1"/>
    </xf>
    <xf numFmtId="165" fontId="37" fillId="0" borderId="9" xfId="0" applyNumberFormat="1" applyFont="1" applyBorder="1" applyAlignment="1">
      <alignment horizontal="center" vertical="center" wrapText="1"/>
    </xf>
    <xf numFmtId="165" fontId="37" fillId="0" borderId="5" xfId="0" applyNumberFormat="1" applyFont="1" applyBorder="1" applyAlignment="1">
      <alignment horizontal="center" vertical="center" wrapText="1"/>
    </xf>
    <xf numFmtId="164" fontId="37" fillId="5" borderId="4" xfId="0" applyNumberFormat="1" applyFont="1" applyFill="1" applyBorder="1" applyAlignment="1">
      <alignment horizontal="center" vertical="center" wrapText="1"/>
    </xf>
    <xf numFmtId="164" fontId="37" fillId="5" borderId="9" xfId="0" applyNumberFormat="1" applyFont="1" applyFill="1" applyBorder="1" applyAlignment="1">
      <alignment horizontal="center" vertical="center" wrapText="1"/>
    </xf>
    <xf numFmtId="164" fontId="37" fillId="5" borderId="5" xfId="0" applyNumberFormat="1" applyFont="1" applyFill="1" applyBorder="1" applyAlignment="1">
      <alignment horizontal="center" vertical="center" wrapText="1"/>
    </xf>
    <xf numFmtId="164" fontId="37" fillId="5" borderId="9" xfId="0" applyNumberFormat="1" applyFont="1" applyFill="1" applyBorder="1" applyAlignment="1">
      <alignment horizontal="center" vertical="center"/>
    </xf>
    <xf numFmtId="164" fontId="37" fillId="5" borderId="46" xfId="0" applyNumberFormat="1" applyFont="1" applyFill="1" applyBorder="1" applyAlignment="1">
      <alignment horizontal="right" vertical="center"/>
    </xf>
    <xf numFmtId="164" fontId="37" fillId="5" borderId="44" xfId="0" applyNumberFormat="1" applyFont="1" applyFill="1" applyBorder="1" applyAlignment="1">
      <alignment horizontal="right" vertical="center"/>
    </xf>
    <xf numFmtId="165" fontId="37" fillId="5" borderId="46" xfId="0" applyNumberFormat="1" applyFont="1" applyFill="1" applyBorder="1" applyAlignment="1">
      <alignment horizontal="right" vertical="center"/>
    </xf>
    <xf numFmtId="165" fontId="37" fillId="5" borderId="44" xfId="0" applyNumberFormat="1" applyFont="1" applyFill="1" applyBorder="1" applyAlignment="1">
      <alignment horizontal="right" vertical="center"/>
    </xf>
    <xf numFmtId="164" fontId="37" fillId="0" borderId="9" xfId="0" applyNumberFormat="1" applyFont="1" applyBorder="1" applyAlignment="1">
      <alignment horizontal="center" vertical="center"/>
    </xf>
    <xf numFmtId="0" fontId="38" fillId="5" borderId="50" xfId="0" applyFont="1" applyFill="1" applyBorder="1" applyAlignment="1">
      <alignment horizontal="left" vertical="center" wrapText="1"/>
    </xf>
    <xf numFmtId="0" fontId="38" fillId="5" borderId="38" xfId="0" applyFont="1" applyFill="1" applyBorder="1" applyAlignment="1">
      <alignment horizontal="left" vertical="center" wrapText="1"/>
    </xf>
    <xf numFmtId="2" fontId="37" fillId="5" borderId="44" xfId="0" applyNumberFormat="1" applyFont="1" applyFill="1" applyBorder="1" applyAlignment="1">
      <alignment horizontal="right" vertical="center"/>
    </xf>
    <xf numFmtId="164" fontId="37" fillId="2" borderId="45" xfId="0" applyNumberFormat="1" applyFont="1" applyFill="1" applyBorder="1" applyAlignment="1">
      <alignment horizontal="right" vertical="center"/>
    </xf>
    <xf numFmtId="2" fontId="37" fillId="2" borderId="43" xfId="0" applyNumberFormat="1" applyFont="1" applyFill="1" applyBorder="1" applyAlignment="1">
      <alignment horizontal="right" vertical="center"/>
    </xf>
    <xf numFmtId="0" fontId="38" fillId="5" borderId="49" xfId="0" applyFont="1" applyFill="1" applyBorder="1" applyAlignment="1">
      <alignment horizontal="left" vertical="center" wrapText="1"/>
    </xf>
    <xf numFmtId="164" fontId="37" fillId="0" borderId="60" xfId="0" applyNumberFormat="1" applyFont="1" applyBorder="1" applyAlignment="1">
      <alignment vertical="center"/>
    </xf>
    <xf numFmtId="164" fontId="37" fillId="0" borderId="37" xfId="0" applyNumberFormat="1" applyFont="1" applyBorder="1" applyAlignment="1">
      <alignment vertical="center"/>
    </xf>
    <xf numFmtId="164" fontId="37" fillId="5" borderId="45" xfId="0" applyNumberFormat="1" applyFont="1" applyFill="1" applyBorder="1" applyAlignment="1">
      <alignment vertical="center"/>
    </xf>
    <xf numFmtId="164" fontId="37" fillId="5" borderId="23" xfId="0" applyNumberFormat="1" applyFont="1" applyFill="1" applyBorder="1" applyAlignment="1">
      <alignment vertical="center"/>
    </xf>
    <xf numFmtId="2" fontId="37" fillId="5" borderId="23" xfId="0" applyNumberFormat="1" applyFont="1" applyFill="1" applyBorder="1" applyAlignment="1">
      <alignment vertical="center"/>
    </xf>
    <xf numFmtId="164" fontId="37" fillId="5" borderId="43" xfId="0" applyNumberFormat="1" applyFont="1" applyFill="1" applyBorder="1" applyAlignment="1">
      <alignment vertical="center"/>
    </xf>
    <xf numFmtId="164" fontId="37" fillId="9" borderId="9" xfId="0" applyNumberFormat="1" applyFont="1" applyFill="1" applyBorder="1" applyAlignment="1">
      <alignment horizontal="right" vertical="center"/>
    </xf>
    <xf numFmtId="164" fontId="37" fillId="5" borderId="24" xfId="0" applyNumberFormat="1" applyFont="1" applyFill="1" applyBorder="1" applyAlignment="1">
      <alignment horizontal="right" vertical="center"/>
    </xf>
    <xf numFmtId="165" fontId="37" fillId="5" borderId="24" xfId="0" applyNumberFormat="1" applyFont="1" applyFill="1" applyBorder="1" applyAlignment="1">
      <alignment horizontal="right" vertical="center"/>
    </xf>
    <xf numFmtId="14" fontId="38" fillId="5" borderId="4" xfId="0" applyNumberFormat="1" applyFont="1" applyFill="1" applyBorder="1" applyAlignment="1">
      <alignment horizontal="center" vertical="center" wrapText="1"/>
    </xf>
    <xf numFmtId="14" fontId="38" fillId="5" borderId="9" xfId="0" applyNumberFormat="1" applyFont="1" applyFill="1" applyBorder="1" applyAlignment="1">
      <alignment horizontal="center" vertical="center" wrapText="1"/>
    </xf>
    <xf numFmtId="14" fontId="38" fillId="5" borderId="5" xfId="0" applyNumberFormat="1" applyFont="1" applyFill="1" applyBorder="1" applyAlignment="1">
      <alignment horizontal="center" vertical="center" wrapText="1"/>
    </xf>
    <xf numFmtId="0" fontId="38" fillId="5" borderId="45" xfId="0" applyFont="1" applyFill="1" applyBorder="1" applyAlignment="1">
      <alignment horizontal="left" vertical="center" wrapText="1"/>
    </xf>
    <xf numFmtId="0" fontId="38" fillId="5" borderId="23" xfId="0" applyFont="1" applyFill="1" applyBorder="1" applyAlignment="1">
      <alignment horizontal="left" vertical="center" wrapText="1"/>
    </xf>
    <xf numFmtId="0" fontId="38" fillId="5" borderId="43"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38" fillId="5" borderId="5" xfId="0" applyFont="1" applyFill="1" applyBorder="1" applyAlignment="1">
      <alignment horizontal="center" vertical="center" wrapText="1"/>
    </xf>
    <xf numFmtId="165" fontId="37" fillId="0" borderId="60" xfId="0" applyNumberFormat="1" applyFont="1" applyBorder="1" applyAlignment="1">
      <alignment horizontal="right" vertical="center"/>
    </xf>
    <xf numFmtId="165" fontId="37" fillId="0" borderId="35" xfId="0" applyNumberFormat="1" applyFont="1" applyBorder="1" applyAlignment="1">
      <alignment horizontal="right" vertical="center"/>
    </xf>
    <xf numFmtId="165" fontId="37" fillId="0" borderId="37" xfId="0" applyNumberFormat="1" applyFont="1" applyBorder="1" applyAlignment="1">
      <alignment horizontal="right" vertical="center"/>
    </xf>
    <xf numFmtId="164" fontId="63" fillId="5" borderId="4" xfId="0" applyNumberFormat="1" applyFont="1" applyFill="1" applyBorder="1" applyAlignment="1">
      <alignment horizontal="right" vertical="center"/>
    </xf>
    <xf numFmtId="164" fontId="63" fillId="5" borderId="9" xfId="0" applyNumberFormat="1" applyFont="1" applyFill="1" applyBorder="1" applyAlignment="1">
      <alignment horizontal="right" vertical="center"/>
    </xf>
    <xf numFmtId="164" fontId="63" fillId="5" borderId="5"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164" fontId="37" fillId="0" borderId="35" xfId="0" applyNumberFormat="1" applyFont="1" applyBorder="1" applyAlignment="1">
      <alignment horizontal="right" vertical="center"/>
    </xf>
    <xf numFmtId="164" fontId="65" fillId="5" borderId="4" xfId="0" applyNumberFormat="1" applyFont="1" applyFill="1" applyBorder="1" applyAlignment="1">
      <alignment horizontal="right" vertical="center"/>
    </xf>
    <xf numFmtId="164" fontId="65" fillId="5" borderId="5" xfId="0" applyNumberFormat="1" applyFont="1" applyFill="1" applyBorder="1" applyAlignment="1">
      <alignment horizontal="right" vertical="center"/>
    </xf>
    <xf numFmtId="164" fontId="37" fillId="5" borderId="40" xfId="0" applyNumberFormat="1" applyFont="1" applyFill="1" applyBorder="1" applyAlignment="1">
      <alignment horizontal="right" vertical="center"/>
    </xf>
    <xf numFmtId="164" fontId="0" fillId="5" borderId="39" xfId="0" applyNumberFormat="1" applyFill="1" applyBorder="1" applyAlignment="1">
      <alignment horizontal="center" vertical="center"/>
    </xf>
    <xf numFmtId="164" fontId="0" fillId="0" borderId="1" xfId="0" applyNumberFormat="1" applyBorder="1" applyAlignment="1">
      <alignment horizontal="center" vertical="center"/>
    </xf>
    <xf numFmtId="0" fontId="0" fillId="5" borderId="39" xfId="0" applyFill="1" applyBorder="1" applyAlignment="1">
      <alignment horizontal="center" vertical="center"/>
    </xf>
    <xf numFmtId="164" fontId="2" fillId="5" borderId="40" xfId="0" applyNumberFormat="1" applyFont="1" applyFill="1" applyBorder="1" applyAlignment="1">
      <alignment horizontal="center" vertical="center"/>
    </xf>
    <xf numFmtId="0" fontId="38" fillId="5" borderId="51" xfId="0" applyFont="1" applyFill="1" applyBorder="1" applyAlignment="1">
      <alignment horizontal="left" vertical="center" wrapText="1"/>
    </xf>
    <xf numFmtId="0" fontId="2" fillId="5" borderId="1" xfId="0" applyFont="1" applyFill="1" applyBorder="1" applyAlignment="1">
      <alignment horizontal="center" vertical="center"/>
    </xf>
    <xf numFmtId="0" fontId="43" fillId="5" borderId="0" xfId="0" applyFont="1" applyFill="1" applyAlignment="1">
      <alignment horizontal="center"/>
    </xf>
    <xf numFmtId="0" fontId="34" fillId="5" borderId="0" xfId="0" applyFont="1" applyFill="1" applyAlignment="1">
      <alignment horizontal="center" vertical="center" wrapText="1"/>
    </xf>
    <xf numFmtId="0" fontId="41" fillId="2" borderId="13"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2" borderId="25" xfId="0" applyFont="1" applyFill="1" applyBorder="1" applyAlignment="1">
      <alignment horizontal="center" vertical="center" wrapText="1"/>
    </xf>
    <xf numFmtId="0" fontId="81" fillId="2" borderId="47" xfId="0" applyFont="1" applyFill="1" applyBorder="1" applyAlignment="1">
      <alignment horizontal="center" vertical="center" wrapText="1"/>
    </xf>
    <xf numFmtId="0" fontId="81" fillId="2" borderId="18" xfId="0" applyFont="1" applyFill="1" applyBorder="1" applyAlignment="1">
      <alignment horizontal="center" vertical="center" wrapText="1"/>
    </xf>
    <xf numFmtId="0" fontId="81" fillId="2" borderId="53" xfId="0" applyFont="1" applyFill="1" applyBorder="1" applyAlignment="1">
      <alignment horizontal="center" vertical="center" wrapText="1"/>
    </xf>
    <xf numFmtId="0" fontId="81" fillId="2" borderId="39" xfId="0" applyFont="1" applyFill="1" applyBorder="1" applyAlignment="1">
      <alignment horizontal="center" vertical="center" wrapText="1"/>
    </xf>
    <xf numFmtId="0" fontId="81" fillId="2" borderId="1" xfId="0" applyFont="1" applyFill="1" applyBorder="1" applyAlignment="1">
      <alignment horizontal="center" vertical="center" wrapText="1"/>
    </xf>
    <xf numFmtId="0" fontId="81" fillId="2" borderId="40"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45" xfId="0" applyFont="1" applyFill="1" applyBorder="1" applyAlignment="1">
      <alignment horizontal="center" vertical="center" wrapText="1"/>
    </xf>
    <xf numFmtId="0" fontId="56" fillId="2" borderId="25"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10"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51" xfId="0" applyFont="1" applyFill="1" applyBorder="1" applyAlignment="1">
      <alignment horizontal="center" vertical="center" wrapText="1"/>
    </xf>
    <xf numFmtId="0" fontId="41" fillId="2" borderId="4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4" fillId="2" borderId="37"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56" fillId="4" borderId="23" xfId="0" applyFont="1" applyFill="1" applyBorder="1" applyAlignment="1">
      <alignment horizontal="center" vertical="center" wrapText="1"/>
    </xf>
    <xf numFmtId="0" fontId="56" fillId="4" borderId="25" xfId="0" applyFont="1" applyFill="1" applyBorder="1" applyAlignment="1">
      <alignment horizontal="center" vertical="center" wrapText="1"/>
    </xf>
    <xf numFmtId="0" fontId="41" fillId="4" borderId="24" xfId="0" applyFont="1" applyFill="1" applyBorder="1" applyAlignment="1">
      <alignment horizontal="center" vertical="center" wrapText="1"/>
    </xf>
    <xf numFmtId="0" fontId="41" fillId="4" borderId="28" xfId="0" applyFont="1" applyFill="1" applyBorder="1" applyAlignment="1">
      <alignment horizontal="center" vertical="center" wrapText="1"/>
    </xf>
    <xf numFmtId="0" fontId="41" fillId="4" borderId="29"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41" fillId="4" borderId="30" xfId="0" applyFont="1" applyFill="1" applyBorder="1" applyAlignment="1">
      <alignment horizontal="center" vertical="center" wrapText="1"/>
    </xf>
    <xf numFmtId="0" fontId="41" fillId="4" borderId="48" xfId="0" applyFont="1" applyFill="1" applyBorder="1" applyAlignment="1">
      <alignment horizontal="center" vertical="center" wrapText="1"/>
    </xf>
    <xf numFmtId="0" fontId="41" fillId="2" borderId="28"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38" fillId="5" borderId="39" xfId="0" applyFont="1" applyFill="1" applyBorder="1" applyAlignment="1">
      <alignment horizontal="center" vertical="center"/>
    </xf>
    <xf numFmtId="0" fontId="33" fillId="5" borderId="10" xfId="0" applyFont="1" applyFill="1" applyBorder="1" applyAlignment="1">
      <alignment horizontal="left" vertical="center" wrapText="1"/>
    </xf>
    <xf numFmtId="14" fontId="13" fillId="5" borderId="1" xfId="0" applyNumberFormat="1" applyFont="1" applyFill="1" applyBorder="1" applyAlignment="1">
      <alignment horizontal="left" vertical="center" wrapText="1"/>
    </xf>
    <xf numFmtId="14" fontId="26" fillId="5" borderId="1" xfId="0" applyNumberFormat="1" applyFont="1" applyFill="1" applyBorder="1" applyAlignment="1">
      <alignment horizontal="left" vertical="center" wrapText="1"/>
    </xf>
    <xf numFmtId="0" fontId="44" fillId="5" borderId="40" xfId="2" applyFill="1" applyBorder="1" applyAlignment="1">
      <alignment horizontal="left" vertical="center" wrapText="1"/>
    </xf>
    <xf numFmtId="0" fontId="38" fillId="5" borderId="39" xfId="0" applyFont="1" applyFill="1" applyBorder="1" applyAlignment="1">
      <alignment horizontal="left" vertical="center" wrapText="1"/>
    </xf>
    <xf numFmtId="14" fontId="38" fillId="5" borderId="1" xfId="0" applyNumberFormat="1" applyFont="1" applyFill="1" applyBorder="1" applyAlignment="1">
      <alignment horizontal="right" vertical="center" wrapText="1"/>
    </xf>
    <xf numFmtId="0" fontId="82" fillId="5" borderId="52" xfId="0" applyFont="1" applyFill="1" applyBorder="1" applyAlignment="1">
      <alignment horizontal="left" vertical="top" wrapText="1"/>
    </xf>
    <xf numFmtId="0" fontId="82" fillId="5" borderId="49" xfId="0" applyFont="1" applyFill="1" applyBorder="1" applyAlignment="1">
      <alignment horizontal="left" vertical="top" wrapText="1"/>
    </xf>
    <xf numFmtId="0" fontId="38" fillId="5" borderId="68" xfId="0" applyFont="1" applyFill="1" applyBorder="1" applyAlignment="1">
      <alignment vertical="center" wrapText="1"/>
    </xf>
    <xf numFmtId="0" fontId="38" fillId="5" borderId="62" xfId="0" applyFont="1" applyFill="1" applyBorder="1" applyAlignment="1">
      <alignment vertical="center" wrapText="1"/>
    </xf>
    <xf numFmtId="164" fontId="37" fillId="5" borderId="24" xfId="0" applyNumberFormat="1" applyFont="1" applyFill="1" applyBorder="1" applyAlignment="1">
      <alignment horizontal="center" vertical="center"/>
    </xf>
    <xf numFmtId="164" fontId="37" fillId="0" borderId="68" xfId="0" applyNumberFormat="1" applyFont="1" applyBorder="1" applyAlignment="1">
      <alignment horizontal="right" vertical="center"/>
    </xf>
    <xf numFmtId="164" fontId="37" fillId="0" borderId="67" xfId="0" applyNumberFormat="1" applyFont="1" applyBorder="1" applyAlignment="1">
      <alignment horizontal="right" vertical="center"/>
    </xf>
    <xf numFmtId="164" fontId="48" fillId="5" borderId="4" xfId="0" applyNumberFormat="1" applyFont="1" applyFill="1" applyBorder="1" applyAlignment="1">
      <alignment horizontal="right" vertical="center"/>
    </xf>
    <xf numFmtId="164" fontId="48" fillId="5" borderId="9" xfId="0" applyNumberFormat="1" applyFont="1" applyFill="1" applyBorder="1" applyAlignment="1">
      <alignment horizontal="right" vertical="center"/>
    </xf>
    <xf numFmtId="164" fontId="134" fillId="5" borderId="4" xfId="0" applyNumberFormat="1" applyFont="1" applyFill="1" applyBorder="1" applyAlignment="1">
      <alignment horizontal="right" vertical="center"/>
    </xf>
    <xf numFmtId="164" fontId="134" fillId="5" borderId="9" xfId="0" applyNumberFormat="1" applyFont="1" applyFill="1" applyBorder="1" applyAlignment="1">
      <alignment horizontal="right" vertical="center"/>
    </xf>
    <xf numFmtId="165" fontId="37" fillId="5" borderId="4" xfId="0" applyNumberFormat="1" applyFont="1" applyFill="1" applyBorder="1" applyAlignment="1">
      <alignment horizontal="right" vertical="center"/>
    </xf>
    <xf numFmtId="165" fontId="37" fillId="5" borderId="9" xfId="0" applyNumberFormat="1" applyFont="1" applyFill="1" applyBorder="1" applyAlignment="1">
      <alignment horizontal="right" vertical="center"/>
    </xf>
    <xf numFmtId="165" fontId="37" fillId="5" borderId="5" xfId="0" applyNumberFormat="1" applyFont="1" applyFill="1" applyBorder="1" applyAlignment="1">
      <alignment horizontal="right" vertical="center"/>
    </xf>
    <xf numFmtId="0" fontId="38" fillId="5" borderId="9" xfId="0" applyFont="1" applyFill="1" applyBorder="1" applyAlignment="1">
      <alignment horizontal="center" vertical="center" wrapText="1"/>
    </xf>
    <xf numFmtId="4" fontId="38" fillId="5" borderId="4" xfId="0" applyNumberFormat="1" applyFont="1" applyFill="1" applyBorder="1" applyAlignment="1">
      <alignment horizontal="right" vertical="center"/>
    </xf>
    <xf numFmtId="4" fontId="38" fillId="5" borderId="9" xfId="0" applyNumberFormat="1" applyFont="1" applyFill="1" applyBorder="1" applyAlignment="1">
      <alignment horizontal="right" vertical="center"/>
    </xf>
    <xf numFmtId="4" fontId="38" fillId="5" borderId="5" xfId="0" applyNumberFormat="1" applyFont="1" applyFill="1" applyBorder="1" applyAlignment="1">
      <alignment horizontal="right" vertical="center"/>
    </xf>
    <xf numFmtId="2" fontId="38" fillId="5" borderId="4" xfId="0" applyNumberFormat="1" applyFont="1" applyFill="1" applyBorder="1" applyAlignment="1">
      <alignment horizontal="right" vertical="center"/>
    </xf>
    <xf numFmtId="2" fontId="38" fillId="5" borderId="9" xfId="0" applyNumberFormat="1" applyFont="1" applyFill="1" applyBorder="1" applyAlignment="1">
      <alignment horizontal="right" vertical="center"/>
    </xf>
    <xf numFmtId="2" fontId="38" fillId="5" borderId="5" xfId="0" applyNumberFormat="1" applyFont="1" applyFill="1" applyBorder="1" applyAlignment="1">
      <alignment horizontal="right" vertical="center"/>
    </xf>
    <xf numFmtId="2" fontId="38" fillId="6" borderId="4" xfId="0" applyNumberFormat="1" applyFont="1" applyFill="1" applyBorder="1" applyAlignment="1">
      <alignment horizontal="right" vertical="center"/>
    </xf>
    <xf numFmtId="2" fontId="38" fillId="6" borderId="9" xfId="0" applyNumberFormat="1" applyFont="1" applyFill="1" applyBorder="1" applyAlignment="1">
      <alignment horizontal="right" vertical="center"/>
    </xf>
    <xf numFmtId="2" fontId="38" fillId="6" borderId="5" xfId="0" applyNumberFormat="1" applyFont="1" applyFill="1" applyBorder="1" applyAlignment="1">
      <alignment horizontal="right" vertical="center"/>
    </xf>
    <xf numFmtId="165" fontId="38" fillId="5" borderId="4" xfId="0" applyNumberFormat="1" applyFont="1" applyFill="1" applyBorder="1" applyAlignment="1">
      <alignment horizontal="right" vertical="center"/>
    </xf>
    <xf numFmtId="165" fontId="38" fillId="5" borderId="9" xfId="0" applyNumberFormat="1" applyFont="1" applyFill="1" applyBorder="1" applyAlignment="1">
      <alignment horizontal="right" vertical="center"/>
    </xf>
    <xf numFmtId="165" fontId="38" fillId="5" borderId="5" xfId="0" applyNumberFormat="1" applyFont="1" applyFill="1" applyBorder="1" applyAlignment="1">
      <alignment horizontal="right" vertical="center"/>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2" fontId="37" fillId="6" borderId="4" xfId="0" applyNumberFormat="1" applyFont="1" applyFill="1" applyBorder="1" applyAlignment="1">
      <alignment horizontal="right" vertical="center"/>
    </xf>
    <xf numFmtId="2" fontId="37" fillId="6" borderId="5" xfId="0" applyNumberFormat="1" applyFont="1" applyFill="1" applyBorder="1" applyAlignment="1">
      <alignment horizontal="right" vertical="center"/>
    </xf>
    <xf numFmtId="2" fontId="37" fillId="5" borderId="4" xfId="0" applyNumberFormat="1" applyFont="1" applyFill="1" applyBorder="1" applyAlignment="1">
      <alignment horizontal="right" vertical="center"/>
    </xf>
    <xf numFmtId="164" fontId="38" fillId="5" borderId="4" xfId="0" applyNumberFormat="1" applyFont="1" applyFill="1" applyBorder="1" applyAlignment="1">
      <alignment horizontal="right" vertical="center"/>
    </xf>
    <xf numFmtId="164" fontId="38" fillId="5" borderId="5" xfId="0" applyNumberFormat="1" applyFont="1" applyFill="1" applyBorder="1" applyAlignment="1">
      <alignment horizontal="right" vertical="center"/>
    </xf>
    <xf numFmtId="0" fontId="0" fillId="5" borderId="1" xfId="0" applyFill="1" applyBorder="1" applyAlignment="1">
      <alignment horizontal="center" vertical="center"/>
    </xf>
    <xf numFmtId="0" fontId="48"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64" fontId="38" fillId="6" borderId="4" xfId="0" applyNumberFormat="1" applyFont="1" applyFill="1" applyBorder="1" applyAlignment="1">
      <alignment horizontal="right" vertical="center"/>
    </xf>
    <xf numFmtId="164" fontId="38" fillId="6" borderId="9" xfId="0" applyNumberFormat="1" applyFont="1" applyFill="1" applyBorder="1" applyAlignment="1">
      <alignment horizontal="right" vertical="center"/>
    </xf>
    <xf numFmtId="164" fontId="38" fillId="6" borderId="5" xfId="0" applyNumberFormat="1" applyFont="1" applyFill="1" applyBorder="1" applyAlignment="1">
      <alignment horizontal="right" vertical="center"/>
    </xf>
    <xf numFmtId="164" fontId="38" fillId="5" borderId="9" xfId="0" applyNumberFormat="1" applyFont="1" applyFill="1" applyBorder="1" applyAlignment="1">
      <alignment horizontal="right"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48" fillId="5" borderId="4" xfId="0" applyFont="1" applyFill="1" applyBorder="1" applyAlignment="1">
      <alignment horizontal="center" vertical="center" wrapText="1"/>
    </xf>
    <xf numFmtId="0" fontId="48" fillId="5" borderId="5" xfId="0" applyFont="1" applyFill="1" applyBorder="1" applyAlignment="1">
      <alignment horizontal="center" vertical="center" wrapText="1"/>
    </xf>
    <xf numFmtId="0" fontId="0" fillId="5" borderId="9" xfId="0" applyFill="1" applyBorder="1" applyAlignment="1">
      <alignment horizontal="center" vertical="center"/>
    </xf>
    <xf numFmtId="0" fontId="48" fillId="5" borderId="9" xfId="0" applyFont="1" applyFill="1" applyBorder="1" applyAlignment="1">
      <alignment horizontal="center" vertical="center" wrapText="1"/>
    </xf>
    <xf numFmtId="0" fontId="48" fillId="5" borderId="4" xfId="0" applyFont="1" applyFill="1" applyBorder="1" applyAlignment="1">
      <alignment horizontal="left" vertical="center" wrapText="1"/>
    </xf>
    <xf numFmtId="0" fontId="48" fillId="5" borderId="9" xfId="0" applyFont="1" applyFill="1" applyBorder="1" applyAlignment="1">
      <alignment horizontal="left" vertical="center" wrapText="1"/>
    </xf>
    <xf numFmtId="164" fontId="0" fillId="5" borderId="4" xfId="0" applyNumberFormat="1" applyFill="1" applyBorder="1" applyAlignment="1">
      <alignment horizontal="center" vertical="center"/>
    </xf>
    <xf numFmtId="164" fontId="0" fillId="5" borderId="5" xfId="0" applyNumberFormat="1" applyFill="1" applyBorder="1" applyAlignment="1">
      <alignment horizontal="center" vertical="center"/>
    </xf>
    <xf numFmtId="165" fontId="21" fillId="5" borderId="4" xfId="0" applyNumberFormat="1" applyFont="1" applyFill="1" applyBorder="1" applyAlignment="1">
      <alignment horizontal="center" vertical="center" wrapText="1"/>
    </xf>
    <xf numFmtId="165" fontId="21" fillId="5" borderId="5" xfId="0" applyNumberFormat="1" applyFont="1" applyFill="1" applyBorder="1" applyAlignment="1">
      <alignment horizontal="center" vertical="center" wrapText="1"/>
    </xf>
    <xf numFmtId="164" fontId="21" fillId="5" borderId="4" xfId="0" applyNumberFormat="1" applyFont="1" applyFill="1" applyBorder="1" applyAlignment="1">
      <alignment horizontal="right" vertical="center"/>
    </xf>
    <xf numFmtId="164" fontId="21" fillId="5" borderId="5" xfId="0" applyNumberFormat="1" applyFont="1" applyFill="1" applyBorder="1" applyAlignment="1">
      <alignment horizontal="right" vertical="center"/>
    </xf>
    <xf numFmtId="164" fontId="0" fillId="5" borderId="4" xfId="0" applyNumberFormat="1" applyFill="1" applyBorder="1" applyAlignment="1">
      <alignment horizontal="right" vertical="center"/>
    </xf>
    <xf numFmtId="164" fontId="0" fillId="5" borderId="9" xfId="0" applyNumberFormat="1" applyFill="1" applyBorder="1" applyAlignment="1">
      <alignment horizontal="right" vertical="center"/>
    </xf>
    <xf numFmtId="164" fontId="0" fillId="5" borderId="5" xfId="0" applyNumberFormat="1" applyFill="1" applyBorder="1" applyAlignment="1">
      <alignment horizontal="right" vertical="center"/>
    </xf>
    <xf numFmtId="165" fontId="21" fillId="5" borderId="4" xfId="0" applyNumberFormat="1" applyFont="1" applyFill="1" applyBorder="1" applyAlignment="1">
      <alignment horizontal="right" vertical="center" wrapText="1"/>
    </xf>
    <xf numFmtId="165" fontId="21" fillId="5" borderId="9" xfId="0" applyNumberFormat="1" applyFont="1" applyFill="1" applyBorder="1" applyAlignment="1">
      <alignment horizontal="right" vertical="center" wrapText="1"/>
    </xf>
    <xf numFmtId="165" fontId="21" fillId="5" borderId="5" xfId="0" applyNumberFormat="1" applyFont="1" applyFill="1" applyBorder="1" applyAlignment="1">
      <alignment horizontal="right" vertical="center" wrapText="1"/>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2" fontId="37" fillId="3" borderId="4" xfId="0" applyNumberFormat="1" applyFont="1" applyFill="1" applyBorder="1" applyAlignment="1">
      <alignment horizontal="right" vertical="center"/>
    </xf>
    <xf numFmtId="2" fontId="37" fillId="3" borderId="5" xfId="0" applyNumberFormat="1" applyFont="1" applyFill="1" applyBorder="1" applyAlignment="1">
      <alignment horizontal="right" vertical="center"/>
    </xf>
    <xf numFmtId="164" fontId="37" fillId="3" borderId="4" xfId="0" applyNumberFormat="1" applyFont="1" applyFill="1" applyBorder="1" applyAlignment="1">
      <alignment horizontal="right" vertical="center"/>
    </xf>
    <xf numFmtId="164" fontId="37" fillId="3" borderId="5" xfId="0" applyNumberFormat="1" applyFont="1" applyFill="1" applyBorder="1" applyAlignment="1">
      <alignment horizontal="right" vertical="center"/>
    </xf>
    <xf numFmtId="164" fontId="38" fillId="5" borderId="4" xfId="0" applyNumberFormat="1" applyFont="1" applyFill="1" applyBorder="1" applyAlignment="1">
      <alignment horizontal="center" vertical="center"/>
    </xf>
    <xf numFmtId="164" fontId="38" fillId="5" borderId="5" xfId="0" applyNumberFormat="1" applyFont="1" applyFill="1" applyBorder="1" applyAlignment="1">
      <alignment horizontal="center" vertical="center"/>
    </xf>
    <xf numFmtId="4" fontId="37" fillId="5" borderId="4" xfId="0" applyNumberFormat="1" applyFont="1" applyFill="1" applyBorder="1" applyAlignment="1">
      <alignment horizontal="right" vertical="center"/>
    </xf>
    <xf numFmtId="4" fontId="37" fillId="5" borderId="5" xfId="0" applyNumberFormat="1" applyFont="1" applyFill="1" applyBorder="1" applyAlignment="1">
      <alignment horizontal="right" vertical="center"/>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8" fillId="5" borderId="4" xfId="0" applyFont="1" applyFill="1" applyBorder="1" applyAlignment="1">
      <alignment horizontal="center" vertical="center"/>
    </xf>
    <xf numFmtId="0" fontId="38" fillId="5" borderId="5" xfId="0" applyFont="1" applyFill="1" applyBorder="1" applyAlignment="1">
      <alignment horizontal="center" vertical="center"/>
    </xf>
    <xf numFmtId="0" fontId="53" fillId="5" borderId="4" xfId="0" applyFont="1" applyFill="1" applyBorder="1" applyAlignment="1">
      <alignment horizontal="left" vertical="center" wrapText="1"/>
    </xf>
    <xf numFmtId="0" fontId="53" fillId="5" borderId="5" xfId="0" applyFont="1" applyFill="1" applyBorder="1" applyAlignment="1">
      <alignment horizontal="left" vertical="center" wrapText="1"/>
    </xf>
    <xf numFmtId="14" fontId="38" fillId="5" borderId="4" xfId="0" applyNumberFormat="1" applyFont="1" applyFill="1" applyBorder="1" applyAlignment="1">
      <alignment horizontal="left" vertical="center" wrapText="1"/>
    </xf>
    <xf numFmtId="14" fontId="38" fillId="5" borderId="5" xfId="0" applyNumberFormat="1" applyFont="1" applyFill="1" applyBorder="1" applyAlignment="1">
      <alignment horizontal="left" vertical="center" wrapText="1"/>
    </xf>
    <xf numFmtId="0" fontId="48" fillId="5" borderId="5" xfId="0" applyFont="1" applyFill="1" applyBorder="1" applyAlignment="1">
      <alignment horizontal="left" vertical="center" wrapText="1"/>
    </xf>
    <xf numFmtId="0" fontId="38" fillId="5" borderId="9" xfId="0" applyFont="1" applyFill="1" applyBorder="1" applyAlignment="1">
      <alignment horizontal="center" vertical="center"/>
    </xf>
    <xf numFmtId="0" fontId="53" fillId="5" borderId="9" xfId="0" applyFont="1" applyFill="1" applyBorder="1" applyAlignment="1">
      <alignment horizontal="left" vertical="center" wrapText="1"/>
    </xf>
    <xf numFmtId="0" fontId="53" fillId="5" borderId="4" xfId="0" applyFont="1" applyFill="1" applyBorder="1" applyAlignment="1">
      <alignment horizontal="center" vertical="center" wrapText="1"/>
    </xf>
    <xf numFmtId="0" fontId="53" fillId="5" borderId="9" xfId="0" applyFont="1" applyFill="1" applyBorder="1" applyAlignment="1">
      <alignment horizontal="center" vertical="center" wrapText="1"/>
    </xf>
    <xf numFmtId="0" fontId="53" fillId="5" borderId="5" xfId="0" applyFont="1" applyFill="1" applyBorder="1" applyAlignment="1">
      <alignment horizontal="center" vertical="center" wrapText="1"/>
    </xf>
    <xf numFmtId="164" fontId="38" fillId="5" borderId="4" xfId="0" applyNumberFormat="1" applyFont="1" applyFill="1" applyBorder="1" applyAlignment="1">
      <alignment horizontal="center" vertical="center" wrapText="1"/>
    </xf>
    <xf numFmtId="164" fontId="38" fillId="5" borderId="5" xfId="0" applyNumberFormat="1" applyFont="1" applyFill="1" applyBorder="1" applyAlignment="1">
      <alignment horizontal="center" vertical="center" wrapText="1"/>
    </xf>
    <xf numFmtId="164" fontId="0" fillId="5" borderId="9" xfId="0" applyNumberFormat="1" applyFill="1" applyBorder="1" applyAlignment="1">
      <alignment horizontal="center" vertical="center"/>
    </xf>
    <xf numFmtId="165" fontId="37" fillId="5" borderId="9" xfId="0" applyNumberFormat="1" applyFont="1" applyFill="1" applyBorder="1" applyAlignment="1">
      <alignment horizontal="center" vertical="center" wrapText="1"/>
    </xf>
    <xf numFmtId="164" fontId="38" fillId="5" borderId="9" xfId="0" applyNumberFormat="1" applyFont="1" applyFill="1" applyBorder="1" applyAlignment="1">
      <alignment horizontal="center" vertical="center"/>
    </xf>
    <xf numFmtId="0" fontId="38" fillId="5" borderId="11"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3" fillId="5" borderId="4" xfId="0" applyFont="1" applyFill="1" applyBorder="1" applyAlignment="1">
      <alignment horizontal="left" vertical="center" wrapText="1"/>
    </xf>
    <xf numFmtId="0" fontId="33" fillId="5" borderId="9" xfId="0" applyFont="1" applyFill="1" applyBorder="1" applyAlignment="1">
      <alignment horizontal="left" vertical="center" wrapText="1"/>
    </xf>
    <xf numFmtId="0" fontId="33" fillId="5" borderId="5" xfId="0" applyFont="1" applyFill="1" applyBorder="1" applyAlignment="1">
      <alignment horizontal="left" vertical="center" wrapText="1"/>
    </xf>
    <xf numFmtId="14" fontId="21" fillId="5" borderId="4" xfId="0" applyNumberFormat="1" applyFont="1" applyFill="1" applyBorder="1" applyAlignment="1">
      <alignment horizontal="left" vertical="center" wrapText="1"/>
    </xf>
    <xf numFmtId="14" fontId="21" fillId="5" borderId="9" xfId="0" applyNumberFormat="1" applyFont="1" applyFill="1" applyBorder="1" applyAlignment="1">
      <alignment horizontal="left" vertical="center" wrapText="1"/>
    </xf>
    <xf numFmtId="14" fontId="21" fillId="5" borderId="5" xfId="0" applyNumberFormat="1" applyFont="1" applyFill="1" applyBorder="1" applyAlignment="1">
      <alignment horizontal="left" vertical="center" wrapText="1"/>
    </xf>
    <xf numFmtId="0" fontId="44" fillId="5" borderId="4" xfId="2" applyFill="1" applyBorder="1" applyAlignment="1">
      <alignment horizontal="left" vertical="center" wrapText="1"/>
    </xf>
    <xf numFmtId="0" fontId="44" fillId="5" borderId="9" xfId="2" applyFill="1" applyBorder="1" applyAlignment="1">
      <alignment horizontal="left" vertical="center" wrapText="1"/>
    </xf>
    <xf numFmtId="0" fontId="44" fillId="5" borderId="5" xfId="2" applyFill="1" applyBorder="1" applyAlignment="1">
      <alignment horizontal="left" vertical="center" wrapText="1"/>
    </xf>
    <xf numFmtId="0" fontId="38" fillId="5" borderId="9" xfId="0" applyFont="1" applyFill="1" applyBorder="1" applyAlignment="1">
      <alignment horizontal="left" vertical="center" wrapText="1"/>
    </xf>
    <xf numFmtId="0" fontId="38" fillId="5" borderId="24" xfId="0" applyFont="1" applyFill="1" applyBorder="1" applyAlignment="1">
      <alignment horizontal="left" vertical="center" wrapText="1"/>
    </xf>
    <xf numFmtId="0" fontId="38" fillId="5" borderId="28"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4" xfId="0" applyFill="1" applyBorder="1" applyAlignment="1">
      <alignment horizontal="center" vertical="center" wrapText="1"/>
    </xf>
    <xf numFmtId="0" fontId="0" fillId="5" borderId="9" xfId="0" applyFill="1" applyBorder="1" applyAlignment="1">
      <alignment horizontal="center" vertical="center" wrapText="1"/>
    </xf>
    <xf numFmtId="0" fontId="0" fillId="5" borderId="5" xfId="0"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21"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9"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39" fillId="5" borderId="35" xfId="0" applyFont="1" applyFill="1" applyBorder="1" applyAlignment="1">
      <alignment horizontal="left" vertical="top" wrapText="1"/>
    </xf>
    <xf numFmtId="0" fontId="39" fillId="5" borderId="0" xfId="0" applyFont="1" applyFill="1" applyAlignment="1">
      <alignment horizontal="left" vertical="top" wrapText="1"/>
    </xf>
    <xf numFmtId="0" fontId="56" fillId="2" borderId="15" xfId="0" applyFont="1" applyFill="1" applyBorder="1" applyAlignment="1">
      <alignment horizontal="center" vertical="center" wrapText="1"/>
    </xf>
    <xf numFmtId="0" fontId="56" fillId="2" borderId="16" xfId="0" applyFont="1" applyFill="1" applyBorder="1" applyAlignment="1">
      <alignment horizontal="center" vertical="center" wrapText="1"/>
    </xf>
    <xf numFmtId="0" fontId="56" fillId="2" borderId="17"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34" xfId="0" applyFont="1" applyFill="1" applyBorder="1" applyAlignment="1">
      <alignment horizontal="center" vertical="center" wrapText="1"/>
    </xf>
    <xf numFmtId="0" fontId="56" fillId="2" borderId="0" xfId="0" applyFont="1" applyFill="1" applyAlignment="1">
      <alignment horizontal="center" vertical="center" wrapText="1"/>
    </xf>
    <xf numFmtId="0" fontId="56" fillId="2" borderId="12" xfId="0" applyFont="1" applyFill="1" applyBorder="1" applyAlignment="1">
      <alignment horizontal="center" vertical="center" wrapText="1"/>
    </xf>
    <xf numFmtId="0" fontId="56" fillId="2" borderId="4" xfId="0" applyFont="1" applyFill="1" applyBorder="1" applyAlignment="1">
      <alignment horizontal="center" vertical="center" wrapText="1"/>
    </xf>
    <xf numFmtId="0" fontId="56" fillId="2" borderId="26" xfId="0" applyFont="1" applyFill="1" applyBorder="1" applyAlignment="1">
      <alignment horizontal="center" vertical="center" wrapText="1"/>
    </xf>
    <xf numFmtId="167" fontId="49" fillId="3" borderId="4" xfId="4" applyNumberFormat="1" applyFont="1" applyFill="1" applyBorder="1" applyAlignment="1">
      <alignment horizontal="center" vertical="center" wrapText="1"/>
    </xf>
    <xf numFmtId="167" fontId="49" fillId="3" borderId="5" xfId="4" applyNumberFormat="1" applyFont="1" applyFill="1" applyBorder="1" applyAlignment="1">
      <alignment horizontal="center" vertical="center" wrapText="1"/>
    </xf>
    <xf numFmtId="164" fontId="37" fillId="3" borderId="4" xfId="0" applyNumberFormat="1" applyFont="1" applyFill="1" applyBorder="1" applyAlignment="1">
      <alignment horizontal="center" vertical="center"/>
    </xf>
    <xf numFmtId="164" fontId="37" fillId="3" borderId="5" xfId="0" applyNumberFormat="1" applyFont="1" applyFill="1" applyBorder="1" applyAlignment="1">
      <alignment horizontal="center" vertical="center"/>
    </xf>
    <xf numFmtId="164" fontId="21" fillId="5" borderId="4" xfId="0" applyNumberFormat="1" applyFont="1" applyFill="1" applyBorder="1" applyAlignment="1">
      <alignment horizontal="center" vertical="center"/>
    </xf>
    <xf numFmtId="164" fontId="21" fillId="5" borderId="5" xfId="0" applyNumberFormat="1" applyFont="1" applyFill="1" applyBorder="1" applyAlignment="1">
      <alignment horizontal="center" vertical="center"/>
    </xf>
    <xf numFmtId="164" fontId="37" fillId="11" borderId="4" xfId="0" applyNumberFormat="1" applyFont="1" applyFill="1" applyBorder="1" applyAlignment="1">
      <alignment horizontal="right" vertical="center"/>
    </xf>
    <xf numFmtId="164" fontId="37" fillId="11" borderId="5" xfId="0" applyNumberFormat="1" applyFont="1" applyFill="1" applyBorder="1" applyAlignment="1">
      <alignment horizontal="right" vertical="center"/>
    </xf>
    <xf numFmtId="164" fontId="21" fillId="5" borderId="9" xfId="0" applyNumberFormat="1" applyFont="1" applyFill="1" applyBorder="1" applyAlignment="1">
      <alignment horizontal="center" vertical="center"/>
    </xf>
    <xf numFmtId="164" fontId="21" fillId="5" borderId="4" xfId="0" applyNumberFormat="1" applyFont="1" applyFill="1" applyBorder="1" applyAlignment="1">
      <alignment vertical="center"/>
    </xf>
    <xf numFmtId="164" fontId="21" fillId="5" borderId="9" xfId="0" applyNumberFormat="1" applyFont="1" applyFill="1" applyBorder="1" applyAlignment="1">
      <alignment vertical="center"/>
    </xf>
    <xf numFmtId="164" fontId="21" fillId="5" borderId="5" xfId="0" applyNumberFormat="1" applyFont="1" applyFill="1" applyBorder="1" applyAlignment="1">
      <alignment vertical="center"/>
    </xf>
    <xf numFmtId="2" fontId="37" fillId="3" borderId="9" xfId="0" applyNumberFormat="1" applyFont="1" applyFill="1" applyBorder="1" applyAlignment="1">
      <alignment horizontal="right" vertical="center"/>
    </xf>
    <xf numFmtId="2" fontId="37" fillId="5" borderId="4" xfId="0" applyNumberFormat="1" applyFont="1" applyFill="1" applyBorder="1" applyAlignment="1">
      <alignment vertical="center"/>
    </xf>
    <xf numFmtId="2" fontId="37" fillId="5" borderId="5" xfId="0" applyNumberFormat="1" applyFont="1" applyFill="1" applyBorder="1" applyAlignment="1">
      <alignment vertical="center"/>
    </xf>
    <xf numFmtId="2" fontId="37" fillId="6" borderId="4" xfId="0" applyNumberFormat="1" applyFont="1" applyFill="1" applyBorder="1" applyAlignment="1">
      <alignment vertical="center"/>
    </xf>
    <xf numFmtId="2" fontId="37" fillId="6" borderId="5" xfId="0" applyNumberFormat="1" applyFont="1" applyFill="1" applyBorder="1" applyAlignment="1">
      <alignment vertical="center"/>
    </xf>
    <xf numFmtId="2" fontId="37" fillId="5" borderId="9" xfId="0" applyNumberFormat="1" applyFont="1" applyFill="1" applyBorder="1" applyAlignment="1">
      <alignment horizontal="right" vertical="center"/>
    </xf>
    <xf numFmtId="164" fontId="37" fillId="3" borderId="9" xfId="0" applyNumberFormat="1" applyFont="1" applyFill="1" applyBorder="1" applyAlignment="1">
      <alignment horizontal="right" vertical="center"/>
    </xf>
    <xf numFmtId="0" fontId="38" fillId="3" borderId="4" xfId="0" applyFont="1" applyFill="1" applyBorder="1" applyAlignment="1">
      <alignment horizontal="left" vertical="center" wrapText="1"/>
    </xf>
    <xf numFmtId="0" fontId="38" fillId="3" borderId="9"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4" fillId="5" borderId="4" xfId="2" applyFill="1" applyBorder="1" applyAlignment="1">
      <alignment horizontal="center" vertical="center" wrapText="1"/>
    </xf>
    <xf numFmtId="0" fontId="44" fillId="5" borderId="5" xfId="2" applyFill="1" applyBorder="1" applyAlignment="1">
      <alignment horizontal="center" vertical="center" wrapText="1"/>
    </xf>
    <xf numFmtId="4" fontId="37" fillId="5" borderId="9" xfId="0" applyNumberFormat="1" applyFont="1" applyFill="1" applyBorder="1" applyAlignment="1">
      <alignment horizontal="right" vertical="center"/>
    </xf>
    <xf numFmtId="165" fontId="21" fillId="5" borderId="4" xfId="0" applyNumberFormat="1" applyFont="1" applyFill="1" applyBorder="1" applyAlignment="1">
      <alignment horizontal="right" vertical="center"/>
    </xf>
    <xf numFmtId="165" fontId="21" fillId="5" borderId="9" xfId="0" applyNumberFormat="1" applyFont="1" applyFill="1" applyBorder="1" applyAlignment="1">
      <alignment horizontal="right" vertical="center"/>
    </xf>
    <xf numFmtId="165" fontId="21" fillId="5" borderId="5" xfId="0" applyNumberFormat="1" applyFont="1" applyFill="1" applyBorder="1" applyAlignment="1">
      <alignment horizontal="right" vertical="center"/>
    </xf>
    <xf numFmtId="0" fontId="38" fillId="5" borderId="1" xfId="0" applyFont="1" applyFill="1" applyBorder="1" applyAlignment="1">
      <alignment horizontal="center" vertical="center" wrapText="1"/>
    </xf>
    <xf numFmtId="14" fontId="37" fillId="5" borderId="9" xfId="0" applyNumberFormat="1" applyFont="1" applyFill="1" applyBorder="1" applyAlignment="1">
      <alignment horizontal="center" vertical="center" wrapText="1"/>
    </xf>
    <xf numFmtId="0" fontId="37" fillId="5" borderId="9" xfId="0" applyFont="1" applyFill="1" applyBorder="1" applyAlignment="1">
      <alignment horizontal="left" vertical="center" wrapText="1"/>
    </xf>
    <xf numFmtId="167" fontId="49" fillId="3" borderId="9" xfId="4" applyNumberFormat="1" applyFont="1" applyFill="1" applyBorder="1" applyAlignment="1">
      <alignment horizontal="center" vertical="center" wrapText="1"/>
    </xf>
    <xf numFmtId="164" fontId="37" fillId="3" borderId="9" xfId="0" applyNumberFormat="1" applyFont="1" applyFill="1" applyBorder="1" applyAlignment="1">
      <alignment horizontal="center" vertical="center"/>
    </xf>
    <xf numFmtId="2" fontId="37" fillId="11" borderId="4" xfId="0" applyNumberFormat="1" applyFont="1" applyFill="1" applyBorder="1" applyAlignment="1">
      <alignment horizontal="right" vertical="center"/>
    </xf>
    <xf numFmtId="2" fontId="37" fillId="11" borderId="5" xfId="0" applyNumberFormat="1" applyFont="1" applyFill="1" applyBorder="1" applyAlignment="1">
      <alignment horizontal="right" vertical="center"/>
    </xf>
    <xf numFmtId="0" fontId="48" fillId="5" borderId="4" xfId="0" applyFont="1" applyFill="1" applyBorder="1" applyAlignment="1">
      <alignment vertical="center" wrapText="1"/>
    </xf>
    <xf numFmtId="0" fontId="48" fillId="5" borderId="5" xfId="0" applyFont="1" applyFill="1" applyBorder="1" applyAlignment="1">
      <alignment vertical="center" wrapText="1"/>
    </xf>
    <xf numFmtId="3" fontId="122" fillId="0" borderId="0" xfId="0" applyNumberFormat="1" applyFont="1" applyFill="1" applyAlignment="1">
      <alignment horizontal="center"/>
    </xf>
    <xf numFmtId="3" fontId="97" fillId="0" borderId="0" xfId="0" applyNumberFormat="1" applyFont="1" applyFill="1"/>
    <xf numFmtId="3" fontId="138" fillId="0" borderId="0" xfId="0" applyNumberFormat="1" applyFont="1" applyFill="1"/>
    <xf numFmtId="3" fontId="97" fillId="0" borderId="0" xfId="0" applyNumberFormat="1" applyFont="1" applyFill="1" applyAlignment="1">
      <alignment horizontal="center"/>
    </xf>
    <xf numFmtId="3" fontId="138" fillId="0" borderId="0" xfId="0" applyNumberFormat="1" applyFont="1" applyFill="1" applyAlignment="1">
      <alignment horizontal="center"/>
    </xf>
  </cellXfs>
  <cellStyles count="6">
    <cellStyle name="Excel Built-in Normal" xfId="5" xr:uid="{00000000-0005-0000-0000-000000000000}"/>
    <cellStyle name="Hyperlink" xfId="2" builtinId="8"/>
    <cellStyle name="Normal" xfId="0" builtinId="0"/>
    <cellStyle name="Normal 2" xfId="1" xr:uid="{00000000-0005-0000-0000-000003000000}"/>
    <cellStyle name="Normal 2 2" xfId="3" xr:uid="{00000000-0005-0000-0000-000004000000}"/>
    <cellStyle name="Percent" xfId="4" builtinId="5"/>
  </cellStyles>
  <dxfs count="0"/>
  <tableStyles count="0" defaultTableStyle="TableStyleMedium2" defaultPivotStyle="PivotStyleLight16"/>
  <colors>
    <mruColors>
      <color rgb="FFA729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75000"/>
                    <a:lumOff val="25000"/>
                  </a:schemeClr>
                </a:solidFill>
                <a:latin typeface="+mn-lt"/>
                <a:ea typeface="+mn-ea"/>
                <a:cs typeface="+mn-cs"/>
              </a:defRPr>
            </a:pPr>
            <a:r>
              <a:rPr lang="lv-LV" sz="1600" b="1">
                <a:solidFill>
                  <a:schemeClr val="tx1">
                    <a:lumMod val="75000"/>
                    <a:lumOff val="25000"/>
                  </a:schemeClr>
                </a:solidFill>
              </a:rPr>
              <a:t>2020. un 2021. gadā izlietotais, 2022. gadam plānotais atbalsts</a:t>
            </a:r>
          </a:p>
        </c:rich>
      </c:tx>
      <c:layout>
        <c:manualLayout>
          <c:xMode val="edge"/>
          <c:yMode val="edge"/>
          <c:x val="0.2472861443208561"/>
          <c:y val="3.1372549019607843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tx>
            <c:v>2020.g. izpilde</c:v>
          </c:tx>
          <c:spPr>
            <a:solidFill>
              <a:schemeClr val="accent1"/>
            </a:solidFill>
            <a:ln>
              <a:noFill/>
            </a:ln>
            <a:effectLst/>
          </c:spPr>
          <c:invertIfNegative val="0"/>
          <c:dLbls>
            <c:dLbl>
              <c:idx val="0"/>
              <c:layout>
                <c:manualLayout>
                  <c:x val="-3.6144581742204888E-3"/>
                  <c:y val="5.22875816993464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18-49B4-8F16-E5AD7745458F}"/>
                </c:ext>
              </c:extLst>
            </c:dLbl>
            <c:dLbl>
              <c:idx val="2"/>
              <c:layout>
                <c:manualLayout>
                  <c:x val="0"/>
                  <c:y val="-7.84313725490196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18-49B4-8F16-E5AD7745458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Kopējais atbalsts</c:v>
              </c:pt>
              <c:pt idx="1">
                <c:v>Atbalsts nozarēm</c:v>
              </c:pt>
              <c:pt idx="2">
                <c:v>Atbalsts aizdevumu un garantiju jomā</c:v>
              </c:pt>
              <c:pt idx="3">
                <c:v>Atbalsts pabalstu jomā</c:v>
              </c:pt>
              <c:pt idx="4">
                <c:v>Atbalsts nodokļu jomā</c:v>
              </c:pt>
              <c:pt idx="5">
                <c:v>ES fondu finansējuma atbalsts</c:v>
              </c:pt>
            </c:strLit>
          </c:cat>
          <c:val>
            <c:numLit>
              <c:formatCode>General</c:formatCode>
              <c:ptCount val="6"/>
              <c:pt idx="0">
                <c:v>1279.5963616900003</c:v>
              </c:pt>
              <c:pt idx="1">
                <c:v>631.79394600000012</c:v>
              </c:pt>
              <c:pt idx="2">
                <c:v>239.96399569000002</c:v>
              </c:pt>
              <c:pt idx="3">
                <c:v>129.58778200000003</c:v>
              </c:pt>
              <c:pt idx="4">
                <c:v>250.99299999999999</c:v>
              </c:pt>
              <c:pt idx="5">
                <c:v>27.257638</c:v>
              </c:pt>
            </c:numLit>
          </c:val>
          <c:extLst>
            <c:ext xmlns:c16="http://schemas.microsoft.com/office/drawing/2014/chart" uri="{C3380CC4-5D6E-409C-BE32-E72D297353CC}">
              <c16:uniqueId val="{00000002-9418-49B4-8F16-E5AD7745458F}"/>
            </c:ext>
          </c:extLst>
        </c:ser>
        <c:ser>
          <c:idx val="1"/>
          <c:order val="1"/>
          <c:tx>
            <c:v>2021.g. izpilde</c:v>
          </c:tx>
          <c:spPr>
            <a:solidFill>
              <a:schemeClr val="accent2"/>
            </a:solidFill>
            <a:ln>
              <a:noFill/>
            </a:ln>
            <a:effectLst/>
          </c:spPr>
          <c:invertIfNegative val="0"/>
          <c:dLbls>
            <c:dLbl>
              <c:idx val="0"/>
              <c:layout>
                <c:manualLayout>
                  <c:x val="2.4096387828136594E-3"/>
                  <c:y val="1.3071895424836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18-49B4-8F16-E5AD7745458F}"/>
                </c:ext>
              </c:extLst>
            </c:dLbl>
            <c:dLbl>
              <c:idx val="1"/>
              <c:layout>
                <c:manualLayout>
                  <c:x val="-1.2048193914068297E-3"/>
                  <c:y val="1.045751633986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18-49B4-8F16-E5AD7745458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Kopējais atbalsts</c:v>
              </c:pt>
              <c:pt idx="1">
                <c:v>Atbalsts nozarēm</c:v>
              </c:pt>
              <c:pt idx="2">
                <c:v>Atbalsts aizdevumu un garantiju jomā</c:v>
              </c:pt>
              <c:pt idx="3">
                <c:v>Atbalsts pabalstu jomā</c:v>
              </c:pt>
              <c:pt idx="4">
                <c:v>Atbalsts nodokļu jomā</c:v>
              </c:pt>
              <c:pt idx="5">
                <c:v>ES fondu finansējuma atbalsts</c:v>
              </c:pt>
            </c:strLit>
          </c:cat>
          <c:val>
            <c:numLit>
              <c:formatCode>General</c:formatCode>
              <c:ptCount val="6"/>
              <c:pt idx="0">
                <c:v>2283.6463718799996</c:v>
              </c:pt>
              <c:pt idx="1">
                <c:v>1497.1246124100001</c:v>
              </c:pt>
              <c:pt idx="2">
                <c:v>133.31562346999999</c:v>
              </c:pt>
              <c:pt idx="3">
                <c:v>533.45613600000001</c:v>
              </c:pt>
              <c:pt idx="4">
                <c:v>62.55</c:v>
              </c:pt>
              <c:pt idx="5">
                <c:v>57.2</c:v>
              </c:pt>
            </c:numLit>
          </c:val>
          <c:extLst>
            <c:ext xmlns:c16="http://schemas.microsoft.com/office/drawing/2014/chart" uri="{C3380CC4-5D6E-409C-BE32-E72D297353CC}">
              <c16:uniqueId val="{00000005-9418-49B4-8F16-E5AD7745458F}"/>
            </c:ext>
          </c:extLst>
        </c:ser>
        <c:ser>
          <c:idx val="2"/>
          <c:order val="2"/>
          <c:tx>
            <c:v>2022.g. plāns</c:v>
          </c:tx>
          <c:spPr>
            <a:solidFill>
              <a:schemeClr val="accent3"/>
            </a:solidFill>
            <a:ln>
              <a:noFill/>
            </a:ln>
            <a:effectLst/>
          </c:spPr>
          <c:invertIfNegative val="0"/>
          <c:dLbls>
            <c:dLbl>
              <c:idx val="0"/>
              <c:layout>
                <c:manualLayout>
                  <c:x val="3.6144581742204888E-3"/>
                  <c:y val="2.61437908496727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18-49B4-8F16-E5AD7745458F}"/>
                </c:ext>
              </c:extLst>
            </c:dLbl>
            <c:dLbl>
              <c:idx val="2"/>
              <c:layout>
                <c:manualLayout>
                  <c:x val="7.4783397858444421E-3"/>
                  <c:y val="7.84313725490196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18-49B4-8F16-E5AD7745458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Kopējais atbalsts</c:v>
              </c:pt>
              <c:pt idx="1">
                <c:v>Atbalsts nozarēm</c:v>
              </c:pt>
              <c:pt idx="2">
                <c:v>Atbalsts aizdevumu un garantiju jomā</c:v>
              </c:pt>
              <c:pt idx="3">
                <c:v>Atbalsts pabalstu jomā</c:v>
              </c:pt>
              <c:pt idx="4">
                <c:v>Atbalsts nodokļu jomā</c:v>
              </c:pt>
              <c:pt idx="5">
                <c:v>ES fondu finansējuma atbalsts</c:v>
              </c:pt>
            </c:strLit>
          </c:cat>
          <c:val>
            <c:numLit>
              <c:formatCode>General</c:formatCode>
              <c:ptCount val="6"/>
              <c:pt idx="0">
                <c:v>1538.58380852</c:v>
              </c:pt>
              <c:pt idx="1">
                <c:v>959.5</c:v>
              </c:pt>
              <c:pt idx="2">
                <c:v>199.76380852000003</c:v>
              </c:pt>
              <c:pt idx="3">
                <c:v>107.3</c:v>
              </c:pt>
              <c:pt idx="4">
                <c:v>35.5</c:v>
              </c:pt>
              <c:pt idx="5">
                <c:v>236.52</c:v>
              </c:pt>
            </c:numLit>
          </c:val>
          <c:extLst>
            <c:ext xmlns:c16="http://schemas.microsoft.com/office/drawing/2014/chart" uri="{C3380CC4-5D6E-409C-BE32-E72D297353CC}">
              <c16:uniqueId val="{00000008-9418-49B4-8F16-E5AD7745458F}"/>
            </c:ext>
          </c:extLst>
        </c:ser>
        <c:dLbls>
          <c:showLegendKey val="0"/>
          <c:showVal val="0"/>
          <c:showCatName val="0"/>
          <c:showSerName val="0"/>
          <c:showPercent val="0"/>
          <c:showBubbleSize val="0"/>
        </c:dLbls>
        <c:gapWidth val="219"/>
        <c:axId val="907041760"/>
        <c:axId val="907040120"/>
      </c:barChart>
      <c:catAx>
        <c:axId val="90704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07040120"/>
        <c:crosses val="autoZero"/>
        <c:auto val="1"/>
        <c:lblAlgn val="ctr"/>
        <c:lblOffset val="100"/>
        <c:noMultiLvlLbl val="0"/>
      </c:catAx>
      <c:valAx>
        <c:axId val="9070401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800">
                    <a:latin typeface="Times New Roman" panose="02020603050405020304" pitchFamily="18" charset="0"/>
                    <a:cs typeface="Times New Roman" panose="02020603050405020304" pitchFamily="18" charset="0"/>
                  </a:rPr>
                  <a:t>milj.eiro</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0704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24</xdr:row>
      <xdr:rowOff>0</xdr:rowOff>
    </xdr:from>
    <xdr:to>
      <xdr:col>24</xdr:col>
      <xdr:colOff>414336</xdr:colOff>
      <xdr:row>43</xdr:row>
      <xdr:rowOff>333375</xdr:rowOff>
    </xdr:to>
    <xdr:graphicFrame macro="">
      <xdr:nvGraphicFramePr>
        <xdr:cNvPr id="2" name="Chart 1">
          <a:extLst>
            <a:ext uri="{FF2B5EF4-FFF2-40B4-BE49-F238E27FC236}">
              <a16:creationId xmlns:a16="http://schemas.microsoft.com/office/drawing/2014/main" id="{58566784-69C0-47D3-BBC3-55648A86A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1</xdr:row>
      <xdr:rowOff>232834</xdr:rowOff>
    </xdr:from>
    <xdr:to>
      <xdr:col>23</xdr:col>
      <xdr:colOff>679450</xdr:colOff>
      <xdr:row>14</xdr:row>
      <xdr:rowOff>1457419</xdr:rowOff>
    </xdr:to>
    <xdr:pic>
      <xdr:nvPicPr>
        <xdr:cNvPr id="3" name="Picture 2">
          <a:extLst>
            <a:ext uri="{FF2B5EF4-FFF2-40B4-BE49-F238E27FC236}">
              <a16:creationId xmlns:a16="http://schemas.microsoft.com/office/drawing/2014/main" id="{6EEA264B-C981-430A-BD00-1F8EB330FDFF}"/>
            </a:ext>
          </a:extLst>
        </xdr:cNvPr>
        <xdr:cNvPicPr>
          <a:picLocks noChangeAspect="1"/>
        </xdr:cNvPicPr>
      </xdr:nvPicPr>
      <xdr:blipFill>
        <a:blip xmlns:r="http://schemas.openxmlformats.org/officeDocument/2006/relationships" r:embed="rId2"/>
        <a:stretch>
          <a:fillRect/>
        </a:stretch>
      </xdr:blipFill>
      <xdr:spPr>
        <a:xfrm>
          <a:off x="9039225" y="432859"/>
          <a:ext cx="9242425" cy="62537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3" dT="2022-08-31T10:40:47.59" personId="{00000000-0000-0000-0000-000000000000}" id="{448C6BBB-2BAA-497D-B83E-F4ECF730FA41}">
    <text>pabalsta fin. līdzekļi 2022.g. 20,6 mln euro sadalās šādi:  covid19 atbasta mērķim 6,5 mln euro un energo atbalsta mērķa grupām 14,1 mln euro</text>
  </threadedComment>
</ThreadedComments>
</file>

<file path=xl/threadedComments/threadedComment2.xml><?xml version="1.0" encoding="utf-8"?>
<ThreadedComments xmlns="http://schemas.microsoft.com/office/spreadsheetml/2018/threadedcomments" xmlns:x="http://schemas.openxmlformats.org/spreadsheetml/2006/main">
  <threadedComment ref="D33" dT="2022-08-31T08:51:13.17" personId="{00000000-0000-0000-0000-000000000000}" id="{E8216232-E468-4F7C-9C9B-74358EE11FB4}">
    <text>this benefit in 2022 amount 20,6 mln euro and is split to covid19 support (6,5 mln) and energo support targets 14,1 mln)</text>
  </threadedComment>
</ThreadedComments>
</file>

<file path=xl/threadedComments/threadedComment3.xml><?xml version="1.0" encoding="utf-8"?>
<ThreadedComments xmlns="http://schemas.microsoft.com/office/spreadsheetml/2018/threadedcomments" xmlns:x="http://schemas.openxmlformats.org/spreadsheetml/2006/main">
  <threadedComment ref="AC74" dT="2022-08-31T08:13:19.85" personId="{00000000-0000-0000-0000-000000000000}" id="{1AB57D22-1B3B-4654-9EFF-A660B440E049}">
    <text>precizēts plāns, jo šis pabalsts sadalās starp c19 mērķi (6,19milj.) un energo (14,06 milj.)</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tap.mk.gov.lv/mk/tap/?pid=40497330" TargetMode="External"/><Relationship Id="rId299" Type="http://schemas.openxmlformats.org/officeDocument/2006/relationships/hyperlink" Target="https://likumi.lv/ta/id/318434-grozijumi-ministru-kabineta-2020-gada-14-julija-noteikumos-nr-455-covid-19-skarto-turisma-nozares-saimnieciskas-darbibas-veicej..." TargetMode="External"/><Relationship Id="rId21" Type="http://schemas.openxmlformats.org/officeDocument/2006/relationships/hyperlink" Target="https://likumi.lv/ta/id/314259-par-valsts-akciju-sabiedribas-starptautiska-lidosta-riga-pamatkapitala-palielinasanu" TargetMode="External"/><Relationship Id="rId63" Type="http://schemas.openxmlformats.org/officeDocument/2006/relationships/hyperlink" Target="http://tap.mk.gov.lv/lv/mk/tap/?pid=40491825&amp;mode=mk&amp;date=2020-09-15" TargetMode="External"/><Relationship Id="rId159" Type="http://schemas.openxmlformats.org/officeDocument/2006/relationships/hyperlink" Target="https://likumi.lv/ta/id/321559-par-finansu-lidzeklu-pieskirsanu-no-valsts-budzeta-programmas-lidzekli-neparedzetiem-gadijumiem" TargetMode="External"/><Relationship Id="rId324" Type="http://schemas.openxmlformats.org/officeDocument/2006/relationships/hyperlink" Target="https://tapportals.mk.gov.lv/meetings/protocols/d5a852c0-a7fc-44d2-9aa0-a9c70df6890c" TargetMode="External"/><Relationship Id="rId366" Type="http://schemas.openxmlformats.org/officeDocument/2006/relationships/hyperlink" Target="https://likumi.lv/ta/id/331764-par-finansu-lidzeklu-pieskirsanu-no-valsts-budzeta-programmas-lidzekli-neparedzetiem-gadijumiem" TargetMode="External"/><Relationship Id="rId170" Type="http://schemas.openxmlformats.org/officeDocument/2006/relationships/hyperlink" Target="https://likumi.lv/ta/id/322460-par-finansu-lidzeklu-pieskirsanu-no-valsts-budzeta-programmas-lidzekli-neparedzetiem-gadijumiem" TargetMode="External"/><Relationship Id="rId226" Type="http://schemas.openxmlformats.org/officeDocument/2006/relationships/hyperlink" Target="https://likumi.lv/ta/id/323804-par-finansu-lidzeklu-pieskirsanu-no-valsts-budzeta-programmas-lidzekli-neparedzetiem-gadijumiem" TargetMode="External"/><Relationship Id="rId268" Type="http://schemas.openxmlformats.org/officeDocument/2006/relationships/hyperlink" Target="https://tapportals.mk.gov.lv/annotation/9cf3c111-c2b5-413a-bc88-d577bc4dd60c" TargetMode="External"/><Relationship Id="rId32" Type="http://schemas.openxmlformats.org/officeDocument/2006/relationships/hyperlink" Target="https://likumi.lv/ta/id/314435-par-finansu-lidzeklu-pieskirsanu-no-valsts-budzeta-programmas-lidzekli-neparedzetiem-gadijumiem" TargetMode="External"/><Relationship Id="rId74" Type="http://schemas.openxmlformats.org/officeDocument/2006/relationships/hyperlink" Target="https://m.likumi.lv/ta/id/319135-par-apropriacijas-palielinasanu-kulturas-ministrijai" TargetMode="External"/><Relationship Id="rId128" Type="http://schemas.openxmlformats.org/officeDocument/2006/relationships/hyperlink" Target="http://tap.mk.gov.lv/lv/mk/tap/?pid=40498320&amp;mode=mk&amp;date=2021-02-15" TargetMode="External"/><Relationship Id="rId335" Type="http://schemas.openxmlformats.org/officeDocument/2006/relationships/hyperlink" Target="http://tap.mk.gov.lv/lv/mk/tap/?pid=40486050&amp;mode=mk&amp;date=2020-04-14" TargetMode="External"/><Relationship Id="rId377" Type="http://schemas.openxmlformats.org/officeDocument/2006/relationships/hyperlink" Target="https://tapportals.mk.gov.lv/structuralizer/data/nodes/aa2056a0-d1b7-4244-9b27-1fbb0c6409b5/preview" TargetMode="External"/><Relationship Id="rId5" Type="http://schemas.openxmlformats.org/officeDocument/2006/relationships/hyperlink" Target="https://likumi.lv/ta/id/312968-par-apropriacijas-palielinasanu-veselibas-ministrijai" TargetMode="External"/><Relationship Id="rId181" Type="http://schemas.openxmlformats.org/officeDocument/2006/relationships/hyperlink" Target="https://likumi.lv/ta/id/322783" TargetMode="External"/><Relationship Id="rId237" Type="http://schemas.openxmlformats.org/officeDocument/2006/relationships/hyperlink" Target="https://www.vestnesis.lv/op/2021/154.36" TargetMode="External"/><Relationship Id="rId402" Type="http://schemas.openxmlformats.org/officeDocument/2006/relationships/hyperlink" Target="https://likumi.lv/ta/id/337985-par-finansu-lidzeklu-pieskirsanu-no-valsts-budzeta-programmas-lidzekli-neparedzetiem-gadijumiem" TargetMode="External"/><Relationship Id="rId279" Type="http://schemas.openxmlformats.org/officeDocument/2006/relationships/hyperlink" Target="https://likumi.lv/ta/id/325493-par-finansu-lidzeklu-pieskirsanu-no-valsts-budzeta-programmas-lidzekli-neparedzetiem-gadijumiem" TargetMode="External"/><Relationship Id="rId43" Type="http://schemas.openxmlformats.org/officeDocument/2006/relationships/hyperlink" Target="https://likumi.lv/ta/id/313612-par-finansu-lidzeklu-pieskirsanu-no-valsts-budzeta-programmas-lidzekli-neparedzetiem-gadijumiem" TargetMode="External"/><Relationship Id="rId139" Type="http://schemas.openxmlformats.org/officeDocument/2006/relationships/hyperlink" Target="https://likumi.lv/ta/id/320587-par-finansejuma-sadalijumu-pasvaldibam-covid-19-izraisitas-krizes-parvaresanas-un-seku-noversanas-pasakumu-istenosanai" TargetMode="External"/><Relationship Id="rId290" Type="http://schemas.openxmlformats.org/officeDocument/2006/relationships/hyperlink" Target="https://likumi.lv/ta/id/327453-par-apropriacijas-palielinasanu-veselibas-ministrijai" TargetMode="External"/><Relationship Id="rId304" Type="http://schemas.openxmlformats.org/officeDocument/2006/relationships/hyperlink" Target="https://likumi.lv/ta/id/328023-par-finansu-lidzeklu-pieskirsanu-no-valsts-budzeta-programmas-lidzekli-neparedzetiem-gadijumiem" TargetMode="External"/><Relationship Id="rId346" Type="http://schemas.openxmlformats.org/officeDocument/2006/relationships/hyperlink" Target="https://likumi.lv/ta/id/331406-par-finansu-lidzeklu-pieskirsanu-no-valsts-budzeta-programmas-lidzekli-neparedzetiem-gadijumiem" TargetMode="External"/><Relationship Id="rId388" Type="http://schemas.openxmlformats.org/officeDocument/2006/relationships/hyperlink" Target="https://likumi.lv/ta/id/334699-par-finansu-lidzeklu-pieskirsanu-no-valsts-budzeta-programmas-lidzekli-neparedzetiem-gadijumiem" TargetMode="External"/><Relationship Id="rId85" Type="http://schemas.openxmlformats.org/officeDocument/2006/relationships/hyperlink" Target="https://likumi.lv/ta/id/315852-par-finansu-lidzeklu-pieskirsanu-no-valsts-budzeta-programmas-lidzekli-neparedzetiem-gadijumiem" TargetMode="External"/><Relationship Id="rId150" Type="http://schemas.openxmlformats.org/officeDocument/2006/relationships/hyperlink" Target="https://likumi.lv/ta/id/314717-par-finansu-lidzeklu-pieskirsanu-no-valsts-budzeta-programmas-02-00-00-lidzekli-neparedzetiem-gadijumiem" TargetMode="External"/><Relationship Id="rId192" Type="http://schemas.openxmlformats.org/officeDocument/2006/relationships/hyperlink" Target="https://likumi.lv/ta/id/315312-grozijumi-ministru-kabineta-2018-gada-28-augusta-noteikumos-nr-555-veselibas-aprupes-pakalpojumu-organizesanas-un-samaksas" TargetMode="External"/><Relationship Id="rId206" Type="http://schemas.openxmlformats.org/officeDocument/2006/relationships/hyperlink" Target="https://likumi.lv/ta/id/324696-par-finansu-lidzeklu-pieskirsanu-no-valsts-budzeta-programmas-lidzekli-neparedzetiem-gadijumiem" TargetMode="External"/><Relationship Id="rId248" Type="http://schemas.openxmlformats.org/officeDocument/2006/relationships/hyperlink" Target="https://likumi.lv/ta/id/325935-par-finansu-lidzeklu-pieskirsanu-no-valsts-budzeta-programmas-lidzekli-neparedzetiem-gadijumiem" TargetMode="External"/><Relationship Id="rId12" Type="http://schemas.openxmlformats.org/officeDocument/2006/relationships/hyperlink" Target="https://likumi.lv/ta/id/313680-noteikumi-par-dikstaves-pabalstu-pasnodarbinatam-personam-kuras-skarusi-covid-19-izplatiba" TargetMode="External"/><Relationship Id="rId108" Type="http://schemas.openxmlformats.org/officeDocument/2006/relationships/hyperlink" Target="https://likumi.lv/ta/id/318971-par-finansejuma-sadalijumu-atbalsta-sniegsanai-attalinata-macibu-procesa-nodrosinasanai-visparejas-izglitibas-un-profesionalas" TargetMode="External"/><Relationship Id="rId315" Type="http://schemas.openxmlformats.org/officeDocument/2006/relationships/hyperlink" Target="http://tap.mk.gov.lv/lv/mk/tap/?pid=40502836&amp;mode=mk&amp;date=2021-05-27" TargetMode="External"/><Relationship Id="rId357" Type="http://schemas.openxmlformats.org/officeDocument/2006/relationships/hyperlink" Target="https://likumi.lv/ta/id/331017-par-finansu-lidzeklu-pieskirsanu-no-valsts-budzeta-programmas-lidzekli-neparedzetiem-gadijumiem" TargetMode="External"/><Relationship Id="rId54" Type="http://schemas.openxmlformats.org/officeDocument/2006/relationships/hyperlink" Target="https://likumi.lv/ta/id/317726-par-finansu-lidzeklu-pieskirsanu-no-valsts-budzeta-programmas-lidzekli-neparedzetiem-gadijumiem" TargetMode="External"/><Relationship Id="rId96" Type="http://schemas.openxmlformats.org/officeDocument/2006/relationships/hyperlink" Target="https://likumi.lv/ta/id/316998-par-finansu-lidzeklu-pieskirsanu-no-valsts-budzeta-programmas-lidzekli-neparedzetiem-gadijumiem" TargetMode="External"/><Relationship Id="rId161" Type="http://schemas.openxmlformats.org/officeDocument/2006/relationships/hyperlink" Target="https://likumi.lv/ta/id/321487-par-finansu-lidzeklu-pieskirsanu-no-valsts-budzeta-programmas-lidzekli-neparedzetiem-gadijumiem" TargetMode="External"/><Relationship Id="rId217" Type="http://schemas.openxmlformats.org/officeDocument/2006/relationships/hyperlink" Target="https://likumi.lv/ta/id/324703-par-finansu-lidzeklu-pieskirsanu-no-valsts-budzeta-programmas-lidzekli-neparedzetiem-gadijumiem%20Mk%20r&#299;k.%20505" TargetMode="External"/><Relationship Id="rId399" Type="http://schemas.openxmlformats.org/officeDocument/2006/relationships/hyperlink" Target="https://likumi.lv/ta/id/330395-noteikumi-par-kriterijiem-un-kartibu-kada-2022-gada-tiek-izverteti-un-izsniegti-valsts-aizdevumi-pasvaldibam-covid-19-izraisita..." TargetMode="External"/><Relationship Id="rId259" Type="http://schemas.openxmlformats.org/officeDocument/2006/relationships/hyperlink" Target="https://likumi.lv/ta/id/325497-par-finansu-lidzeklu-pieskirsanu-no-valsts-budzeta-programmas-lidzekli-neparedzetiem-gadijumiem" TargetMode="External"/><Relationship Id="rId23" Type="http://schemas.openxmlformats.org/officeDocument/2006/relationships/hyperlink" Target="https://www.vestnesis.lv/op/2021/66.24" TargetMode="External"/><Relationship Id="rId119" Type="http://schemas.openxmlformats.org/officeDocument/2006/relationships/hyperlink" Target="http://tap.mk.gov.lv/lv/mk/tap/?pid=40497627&amp;mode=mk&amp;date=2021-01-28" TargetMode="External"/><Relationship Id="rId270" Type="http://schemas.openxmlformats.org/officeDocument/2006/relationships/hyperlink" Target="https://likumi.lv/ta/id/327238-par-finansu-lidzeklu-pieskirsanu-no-valsts-budzeta-programmas-lidzekli-neparedzetiem-gadijumiem" TargetMode="External"/><Relationship Id="rId326" Type="http://schemas.openxmlformats.org/officeDocument/2006/relationships/hyperlink" Target="https://likumi.lv/ta/id/320816-noteikumi-par-atbalstu-makslas-izklaides-un-atputas-nozaru-komersantiem-kuru-darbibu-ietekmejusi-covid-19-izplatiba" TargetMode="External"/><Relationship Id="rId65" Type="http://schemas.openxmlformats.org/officeDocument/2006/relationships/hyperlink" Target="https://likumi.lv/ta/id/318965-par-finansu-lidzeklu-pieskirsanu-no-valsts-budzeta-programmas-lidzekli-neparedzetiem-gadijumiem" TargetMode="External"/><Relationship Id="rId130" Type="http://schemas.openxmlformats.org/officeDocument/2006/relationships/hyperlink" Target="https://likumi.lv/ta/id/321245-par-finansu-lidzeklu-pieskirsanu-no-valsts-budzeta-programmas-lidzekli-neparedzetiem-gadijumiem" TargetMode="External"/><Relationship Id="rId368" Type="http://schemas.openxmlformats.org/officeDocument/2006/relationships/hyperlink" Target="https://likumi.lv/ta/id/328010-par-atbalstitajiem-pasvaldibu-investiciju-projektiem-valsts-aizdevumu-pieskirsanai-covid-19-izraisitas-krizes-seku-mazinasanai" TargetMode="External"/><Relationship Id="rId172" Type="http://schemas.openxmlformats.org/officeDocument/2006/relationships/hyperlink" Target="https://likumi.lv/ta/id/322940-par-atbalstitajiem-pasvaldibu-investiciju-projektiem-valsts-aizdevumu-pieskirsanai-covid-19-izraisitas-krizes-seku-mazinasanai-un-noversanai?&amp;search=on" TargetMode="External"/><Relationship Id="rId228" Type="http://schemas.openxmlformats.org/officeDocument/2006/relationships/hyperlink" Target="https://likumi.lv/ta/id/324408-par-apropriacijas-palielinasanu-kulturas-ministrijai" TargetMode="External"/><Relationship Id="rId281" Type="http://schemas.openxmlformats.org/officeDocument/2006/relationships/hyperlink" Target="https://likumi.lv/ta/id/327591-par-finansu-lidzeklu-pieskirsanu-no-valsts-budzeta-programmas-lidzekli-neparedzetiem-gadijumiem" TargetMode="External"/><Relationship Id="rId337" Type="http://schemas.openxmlformats.org/officeDocument/2006/relationships/hyperlink" Target="https://likumi.lv/ta/id/329606-par-finansu-lidzeklu-pieskirsanu-no-valsts-budzeta-programmas-lidzekli-neparedzetiem-gadijumiem" TargetMode="External"/><Relationship Id="rId34" Type="http://schemas.openxmlformats.org/officeDocument/2006/relationships/hyperlink" Target="https://likumi.lv/ta/id/314853-noteikumi-par-valsts-atbalstu-istermina-aizdevumiem-lauksaimnieciba-covid-19-izplatibas-negativas-ietekmes-mazinasanai" TargetMode="External"/><Relationship Id="rId76"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41" Type="http://schemas.openxmlformats.org/officeDocument/2006/relationships/hyperlink" Target="https://likumi.lv/ta/id/321650-par-apropriacijas-palielinasanu-veselibas-ministrijai" TargetMode="External"/><Relationship Id="rId379" Type="http://schemas.openxmlformats.org/officeDocument/2006/relationships/hyperlink" Target="https://m.likumi.lv/ta/id/332669-par-finansu-lidzeklu-pieskirsanu-no-valsts-budzeta-programmaslidzekli-neparedzetiem-gadijumiem" TargetMode="External"/><Relationship Id="rId7" Type="http://schemas.openxmlformats.org/officeDocument/2006/relationships/hyperlink" Target="http://tap.mk.gov.lv/mk/mksedes/saraksts/protokols/?protokols=2020-03-19" TargetMode="External"/><Relationship Id="rId183" Type="http://schemas.openxmlformats.org/officeDocument/2006/relationships/hyperlink" Target="https://likumi.lv/ta/id/323495-par-finansu-lidzeklu-pieskirsanu-no-valsts-budzeta-programmas-lidzekli-neparedzetiem-gadijumiem" TargetMode="External"/><Relationship Id="rId239" Type="http://schemas.openxmlformats.org/officeDocument/2006/relationships/hyperlink" Target="https://likumi.lv/ta/id/325325-par-finansu-lidzeklu-pieskirsanu-no-valsts-budzeta-programmas-lidzekli-neparedzetiem-gadijumiem" TargetMode="External"/><Relationship Id="rId390" Type="http://schemas.openxmlformats.org/officeDocument/2006/relationships/hyperlink" Target="https://likumi.lv/ta/id/330810-par-apropriacijas-palielinasanu-veselibas-ministrijai" TargetMode="External"/><Relationship Id="rId404" Type="http://schemas.openxmlformats.org/officeDocument/2006/relationships/hyperlink" Target="https://likumi.lv/ta/id/337369-par-finansu-lidzeklu-pieskirsanu-no-valsts-budzeta-programmas-lidzekli-neparedzetiem-gadijumiem" TargetMode="External"/><Relationship Id="rId250" Type="http://schemas.openxmlformats.org/officeDocument/2006/relationships/hyperlink" Target="https://likumi.lv/ta/id/325934-par-finansu-lidzeklu-pieskirsanu-no-valsts-budzeta-programmas-lidzekli-neparedzetiem-gadijumiem" TargetMode="External"/><Relationship Id="rId292" Type="http://schemas.openxmlformats.org/officeDocument/2006/relationships/hyperlink" Target="https://likumi.lv/ta/id/328033-par-apropriacijas-palielinasanu-veselibas-ministrijai" TargetMode="External"/><Relationship Id="rId306" Type="http://schemas.openxmlformats.org/officeDocument/2006/relationships/hyperlink" Target="https://likumi.lv/ta/id/327527-par-finansu-lidzeklu-pieskirsanu-no-valsts-budzeta-programmas-lidzekli-neparedzetiem-gadijumiem" TargetMode="External"/><Relationship Id="rId45" Type="http://schemas.openxmlformats.org/officeDocument/2006/relationships/hyperlink" Target="http://tap.mk.gov.lv/lv/mk/tap/?pid=40488130&amp;mode=mk&amp;date=2020-06-02" TargetMode="External"/><Relationship Id="rId87" Type="http://schemas.openxmlformats.org/officeDocument/2006/relationships/hyperlink" Target="https://likumi.lv/ta/id/319785-grozijumi-ministru-kabineta-2018-gada-28-augusta-noteikumos-nr-555-veselibas-aprupes-pakalpojumu-organizesanas-un-samaksas-kart..." TargetMode="External"/><Relationship Id="rId110" Type="http://schemas.openxmlformats.org/officeDocument/2006/relationships/hyperlink" Target="https://likumi.lv/ta/id/320464-par-finansu-lidzeklu-pieskirsanu-no-valsts-budzeta-programmas-lidzekli-neparedzetiem-gadijumiem" TargetMode="External"/><Relationship Id="rId348" Type="http://schemas.openxmlformats.org/officeDocument/2006/relationships/hyperlink" Target="https://likumi.lv/ta/id/330821-par-finansu-lidzeklu-pieskirsanu-no-valsts-budzeta-programmaslidzekli-neparedzetiem-gadijumiem" TargetMode="External"/><Relationship Id="rId152" Type="http://schemas.openxmlformats.org/officeDocument/2006/relationships/hyperlink" Target="https://likumi.lv/ta/id/321223-par-finansu-lidzeklu-pieskirsanu-no-valsts-budzeta-programmas-lidzekli-neparedzetiem-gadijumiem" TargetMode="External"/><Relationship Id="rId194" Type="http://schemas.openxmlformats.org/officeDocument/2006/relationships/hyperlink" Target="http://tap.mk.gov.lv/lv/mk/tap/?pid=40488376&amp;mode=mk&amp;date=2020-06-09" TargetMode="External"/><Relationship Id="rId208" Type="http://schemas.openxmlformats.org/officeDocument/2006/relationships/hyperlink" Target="https://likumi.lv/ta/id/324708-par-finansu-lidzeklu-pieskirsanu-no-valsts-budzeta-programmas-lidzekli-neparedzetiem-gadijumiem" TargetMode="External"/><Relationship Id="rId261" Type="http://schemas.openxmlformats.org/officeDocument/2006/relationships/hyperlink" Target="https://likumi.lv/ta/id/325321-par-finansu-lidzeklu-pieskirsanu-no-valsts-budzeta-programmas-lidzekli-neparedzetiem-gadijumiem" TargetMode="External"/><Relationship Id="rId14" Type="http://schemas.openxmlformats.org/officeDocument/2006/relationships/hyperlink" Target="https://likumi.lv/ta/id/314098-grozijums-bezdarbnieku-un-darba-mekletaju-atbalsta-likuma" TargetMode="External"/><Relationship Id="rId56" Type="http://schemas.openxmlformats.org/officeDocument/2006/relationships/hyperlink" Target="https://likumi.lv/ta/id/320274-grozijumi-ministru-kabineta-2020-gada-24-novembra-noteikumos-nr-709-noteikumi-par-atbalstu-par-dikstavi-nodoklu-maksatajiem-to-..." TargetMode="External"/><Relationship Id="rId317" Type="http://schemas.openxmlformats.org/officeDocument/2006/relationships/hyperlink" Target="https://likumi.lv/ta/id/328443-par-finansu-lidzeklu-pieskirsanu-no-valsts-budzeta-programmas-lidzekli-neparedzetiem-gadijumiem" TargetMode="External"/><Relationship Id="rId359" Type="http://schemas.openxmlformats.org/officeDocument/2006/relationships/hyperlink" Target="https://likumi.lv/ta/id/329961-par-finansu-lidzeklu-pieskirsanu-no-valsts-budzeta-programmas-lidzekli-neparedzetiem-gadijumiem" TargetMode="External"/><Relationship Id="rId98" Type="http://schemas.openxmlformats.org/officeDocument/2006/relationships/hyperlink" Target="https://likumi.lv/ta/id/317243-par-finansu-lidzeklu-pieskirsanu-no-valsts-budzeta-programmas-lidzekli-neparedzetiem-gadijumiem" TargetMode="External"/><Relationship Id="rId121" Type="http://schemas.openxmlformats.org/officeDocument/2006/relationships/hyperlink" Target="http://tap.mk.gov.lv/lv/mk/tap/?pid=40498001&amp;mode=mk&amp;date=2021-02-05" TargetMode="External"/><Relationship Id="rId163" Type="http://schemas.openxmlformats.org/officeDocument/2006/relationships/hyperlink" Target="http://tap.mk.gov.lv/lv/mk/tap/?pid=40486957&amp;mode=mk&amp;date=2020-04-30" TargetMode="External"/><Relationship Id="rId219" Type="http://schemas.openxmlformats.org/officeDocument/2006/relationships/hyperlink" Target="https://likumi.lv/ta/id/324700-par-finansu-lidzeklu-pieskirsanu-no-valsts-budzeta-programmas-lidzekli-neparedzetiem-gadijumiem" TargetMode="External"/><Relationship Id="rId370" Type="http://schemas.openxmlformats.org/officeDocument/2006/relationships/hyperlink" Target="https://www.vestnesis.lv/op/2022/116.7" TargetMode="External"/><Relationship Id="rId230" Type="http://schemas.openxmlformats.org/officeDocument/2006/relationships/hyperlink" Target="http://tap.mk.gov.lv/lv/mk/tap/?pid=40504828&amp;mode=mk&amp;date=2021-07-14" TargetMode="External"/><Relationship Id="rId25" Type="http://schemas.openxmlformats.org/officeDocument/2006/relationships/hyperlink" Target="https://likumi.lv/ta/id/314585-par-finansu-lidzeklu-pieskirsanu-no-valsts-budzeta-programmas-lidzekli-neparedzetiem-gadijumiem" TargetMode="External"/><Relationship Id="rId67" Type="http://schemas.openxmlformats.org/officeDocument/2006/relationships/hyperlink" Target="https://likumi.lv/ta/id/318967-par-finansu-lidzeklu-pieskirsanu-no-valsts-budzeta-programmas-lidzekli-neparedzetiem-gadijumiem" TargetMode="External"/><Relationship Id="rId272" Type="http://schemas.openxmlformats.org/officeDocument/2006/relationships/hyperlink" Target="https://likumi.lv/ta/id/323479-par-finansu-lidzeklu-pieskirsanu-no-valsts-budzeta-programmas-lidzekli-neparedzetiem-gadijumiem" TargetMode="External"/><Relationship Id="rId328" Type="http://schemas.openxmlformats.org/officeDocument/2006/relationships/hyperlink" Target="https://m.likumi.lv/ta/id/329090-par-finansu-lidzeklu-pieskirsanu-no-valsts-budzeta-programmaslidzekli-neparedzetiem-gadijumiem" TargetMode="External"/><Relationship Id="rId132" Type="http://schemas.openxmlformats.org/officeDocument/2006/relationships/hyperlink" Target="https://m.likumi.lv/ta/id/321374-par-finansu-lidzeklu-pieskirsanu-no-valsts-budzeta-programmas-lidzekli-neparedzetiem-gadijumiem" TargetMode="External"/><Relationship Id="rId174" Type="http://schemas.openxmlformats.org/officeDocument/2006/relationships/hyperlink" Target="https://likumi.lv/ta/id/322777-par-finansu-lidzeklu-pieskirsanu-no-valsts-budzeta-programmas-lidzekli-neparedzetiem-gadijumiem" TargetMode="External"/><Relationship Id="rId381" Type="http://schemas.openxmlformats.org/officeDocument/2006/relationships/hyperlink" Target="https://tap.mk.gov.lv/mk/mksedes/saraksts/protokols/?protokols=2021-03-18" TargetMode="External"/><Relationship Id="rId241" Type="http://schemas.openxmlformats.org/officeDocument/2006/relationships/hyperlink" Target="https://likumi.lv/ta/id/324698-par-finansu-lidzeklu-pieskirsanu-no-valsts-budzeta-programmas-lidzekli-neparedzetiem-gadijumiem" TargetMode="External"/><Relationship Id="rId36" Type="http://schemas.openxmlformats.org/officeDocument/2006/relationships/hyperlink" Target="http://tap.mk.gov.lv/lv/mk/tap/?pid=40488578&amp;mode=mk&amp;date=2020-07-14" TargetMode="External"/><Relationship Id="rId283" Type="http://schemas.openxmlformats.org/officeDocument/2006/relationships/hyperlink" Target="https://likumi.lv/ta/id/323493-par-apropriacijas-pardali-no-budzeta-resora-74-gadskarteja-valsts-budzeta-izpildes-procesa-pardalamais-finansejums-programmas" TargetMode="External"/><Relationship Id="rId339" Type="http://schemas.openxmlformats.org/officeDocument/2006/relationships/hyperlink" Target="http://tap.mk.gov.lv/lv/mk/tap/?pid=40486050&amp;mode=mk&amp;date=2020-04-14" TargetMode="External"/><Relationship Id="rId78"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01" Type="http://schemas.openxmlformats.org/officeDocument/2006/relationships/hyperlink" Target="http://tap.mk.gov.lv/lv/mk/tap/?pid=40488130&amp;mode=mk&amp;date=2020-06-02" TargetMode="External"/><Relationship Id="rId143" Type="http://schemas.openxmlformats.org/officeDocument/2006/relationships/hyperlink" Target="https://likumi.lv/ta/id/321640-par-finansu-lidzeklu-pieskirsanu-no-valsts-budzeta-programmas-lidzekli-neparedzetiem-gadijumiem" TargetMode="External"/><Relationship Id="rId185" Type="http://schemas.openxmlformats.org/officeDocument/2006/relationships/hyperlink" Target="https://likumi.lv/ta/id/323805-par-finansu-lidzeklu-pieskirsanu-no-valsts-budzeta-programmas-lidzekli-neparedzetiem-gadijumiem" TargetMode="External"/><Relationship Id="rId350" Type="http://schemas.openxmlformats.org/officeDocument/2006/relationships/hyperlink" Target="https://tapportals.mk.gov.lv/annotation/47dc02aa-cabf-4bf5-9fea-add392e72793" TargetMode="External"/><Relationship Id="rId406" Type="http://schemas.openxmlformats.org/officeDocument/2006/relationships/vmlDrawing" Target="../drawings/vmlDrawing4.vml"/><Relationship Id="rId9" Type="http://schemas.openxmlformats.org/officeDocument/2006/relationships/hyperlink" Target="https://likumi.lv/ta/id/313340-grozijumi-ministru-kabineta-2020-gada-10-marta-rikojuma-nr-100-par-finansu-lidzeklu-pieskirsanu-no-valsts-budzeta-programmas" TargetMode="External"/><Relationship Id="rId210" Type="http://schemas.openxmlformats.org/officeDocument/2006/relationships/hyperlink" Target="https://likumi.lv/ta/id/324693-par-finansu-lidzeklu-pieskirsanu-no-valsts-budzeta-programmas-lidzekli-neparedzetiem-gadijumiem" TargetMode="External"/><Relationship Id="rId392" Type="http://schemas.openxmlformats.org/officeDocument/2006/relationships/hyperlink" Target="https://likumi.lv/ta/id/335324-par-finansu-lidzeklu-pieskirsanu-no-valsts-budzeta-programmas-lidzekli-neparedzetiem-gadijumiem" TargetMode="External"/><Relationship Id="rId252" Type="http://schemas.openxmlformats.org/officeDocument/2006/relationships/hyperlink" Target="https://likumi.lv/ta/id/325499-par-finansu-lidzeklu-pieskirsanu-no-valsts-budzeta-programmas-lidzekli-neparedzetiem-gadijumiem" TargetMode="External"/><Relationship Id="rId294" Type="http://schemas.openxmlformats.org/officeDocument/2006/relationships/hyperlink" Target="https://likumi.lv/ta/id/328027-par-finansu-lidzeklu-pieskirsanu-no-valsts-budzeta-programmas-lidzekli-neparedzetiem-gadijumiem" TargetMode="External"/><Relationship Id="rId308" Type="http://schemas.openxmlformats.org/officeDocument/2006/relationships/hyperlink" Target="https://likumi.lv/ta/id/326813-par-finansu-lidzeklu-pieskirsanu-no-valsts-budzeta-programmas-lidzekli-neparedzetiem-gadijumiem" TargetMode="External"/><Relationship Id="rId47" Type="http://schemas.openxmlformats.org/officeDocument/2006/relationships/hyperlink" Target="https://likumi.lv/ta/id/317696-par-finansu-lidzeklu-pieskirsanu-no-valsts-budzeta-programmas-lidzekli-neparedzetiem-gadijumiem" TargetMode="External"/><Relationship Id="rId89" Type="http://schemas.openxmlformats.org/officeDocument/2006/relationships/hyperlink" Target="https://likumi.lv/ta/id/317235-par-finansu-lidzeklu-pieskirsanu-no-valsts-budzeta-programmas-lidzekli-neparedzetiem-gadijumiem" TargetMode="External"/><Relationship Id="rId112" Type="http://schemas.openxmlformats.org/officeDocument/2006/relationships/hyperlink" Target="https://likumi.lv/ta/id/320208-par-finansu-lidzeklu-pieskirsanu-no-valsts-budzeta-programmas-lidzekli-neparedzetiem-gadijumiem" TargetMode="External"/><Relationship Id="rId154" Type="http://schemas.openxmlformats.org/officeDocument/2006/relationships/hyperlink" Target="https://likumi.lv/ta/id/318133-par-finansu-lidzeklu-pieskirsanu-no-valsts-budzeta-programmas-lidzekli-neparedzetiem-gadijumiem" TargetMode="External"/><Relationship Id="rId361" Type="http://schemas.openxmlformats.org/officeDocument/2006/relationships/hyperlink" Target="https://m.likumi.lv/ta/id/330054-par-finansu-lidzeklu-pieskirsanu-no-valsts-budzeta-programmas-lidzekli-neparedzetiem-gadijumiem" TargetMode="External"/><Relationship Id="rId196" Type="http://schemas.openxmlformats.org/officeDocument/2006/relationships/hyperlink" Target="https://likumi.lv/ta/id/318406-par-finansu-lidzeklu-pieskirsanu-no-valsts-budzeta-programmas-lidzekli-neparedzetiem-gadijumiem" TargetMode="External"/><Relationship Id="rId16" Type="http://schemas.openxmlformats.org/officeDocument/2006/relationships/hyperlink" Target="https://likumi.lv/ta/id/313935-grozijumi-ministru-kabineta-2020-gada-26-marta-noteikumos-nr-165-noteikumi-par-covid-19-izraisitas-krizes-skartiem-darba-devejiem" TargetMode="External"/><Relationship Id="rId221" Type="http://schemas.openxmlformats.org/officeDocument/2006/relationships/hyperlink" Target="http://tap.mk.gov.lv/lv/mk/tap/?pid=40505400&amp;mode=mk&amp;date=2021-07-14" TargetMode="External"/><Relationship Id="rId263" Type="http://schemas.openxmlformats.org/officeDocument/2006/relationships/hyperlink" Target="https://tapportals.mk.gov.lv/meetings/cabinet_ministers/884a8552-0a22-4712-aebd-4accd7fe29c8" TargetMode="External"/><Relationship Id="rId319" Type="http://schemas.openxmlformats.org/officeDocument/2006/relationships/hyperlink" Target="https://tapportals.mk.gov.lv/legal_acts/f788829b-9593-4706-ba5b-f4f645572a14" TargetMode="External"/><Relationship Id="rId58" Type="http://schemas.openxmlformats.org/officeDocument/2006/relationships/hyperlink" Target="https://likumi.lv/ta/id/320204-par-finansu-lidzeklu-pieskirsanu-no-valsts-budzeta-programmas-lidzekli-neparedzetiem-gadijumiem" TargetMode="External"/><Relationship Id="rId123" Type="http://schemas.openxmlformats.org/officeDocument/2006/relationships/hyperlink" Target="https://likumi.lv/ta/id/320957-par-apropriacijas-palielinasanu-veselibas-ministrijai" TargetMode="External"/><Relationship Id="rId330" Type="http://schemas.openxmlformats.org/officeDocument/2006/relationships/hyperlink" Target="https://likumi.lv/ta/id/329599-par-finansu-lidzeklu-pieskirsanu-no-valsts-budzeta-programmas-lidzekli-neparedzetiem-gadijumiem" TargetMode="External"/><Relationship Id="rId165" Type="http://schemas.openxmlformats.org/officeDocument/2006/relationships/hyperlink" Target="https://likumi.lv/ta/id/322230-par-finansu-lidzeklu-pieskirsanu-no-valsts-budzeta-programmas-lidzekli-neparedzetiem-gadijumiem" TargetMode="External"/><Relationship Id="rId372" Type="http://schemas.openxmlformats.org/officeDocument/2006/relationships/hyperlink" Target="https://likumi.lv/ta/id/332071-par-finansu-lidzeklu-pieskirsanu-no-valsts-budzeta-programmas-lidzekli-neparedzetiem-gadijumiem" TargetMode="External"/><Relationship Id="rId211" Type="http://schemas.openxmlformats.org/officeDocument/2006/relationships/hyperlink" Target="https://likumi.lv/ta/id/324695-par-finansu-lidzeklu-pieskirsanu-no-valsts-budzeta-programmas-lidzekli-neparedzetiem-gadijumiem" TargetMode="External"/><Relationship Id="rId232" Type="http://schemas.openxmlformats.org/officeDocument/2006/relationships/hyperlink" Target="https://likumi.lv/ta/id/325314-par-apropriacijas-palielinasanu-izglitibas-un-zinatnes-ministrijai" TargetMode="External"/><Relationship Id="rId253" Type="http://schemas.openxmlformats.org/officeDocument/2006/relationships/hyperlink" Target="https://likumi.lv/ta/id/325330-par-finansu-lidzeklu-pieskirsanu-no-valsts-budzeta-programmas-lidzekli-neparedzetiem-gadijumiem" TargetMode="External"/><Relationship Id="rId274" Type="http://schemas.openxmlformats.org/officeDocument/2006/relationships/hyperlink" Target="https://tapportals.mk.gov.lv/annotation/d8638392-7c02-40cb-911a-f2466af8203e" TargetMode="External"/><Relationship Id="rId295" Type="http://schemas.openxmlformats.org/officeDocument/2006/relationships/hyperlink" Target="https://likumi.lv/ta/id/326629-par-atbalstitajiem-pasvaldibu-investiciju-projektiem-valsts-aizdevumu-pieskirsanai-covid-19-izraisitas-krizes-seku-mazinasanai" TargetMode="External"/><Relationship Id="rId309" Type="http://schemas.openxmlformats.org/officeDocument/2006/relationships/hyperlink" Target="https://tapportals.mk.gov.lv/meetings/protocols/a4e0d281-9a87-4959-b3ed-b8a0fbed0a55" TargetMode="External"/><Relationship Id="rId27" Type="http://schemas.openxmlformats.org/officeDocument/2006/relationships/hyperlink" Target="http://tap.mk.gov.lv/lv/mk/tap/?pid=40488130&amp;mode=mk&amp;date=2020-06-02" TargetMode="External"/><Relationship Id="rId48" Type="http://schemas.openxmlformats.org/officeDocument/2006/relationships/hyperlink" Target="http://tap.mk.gov.lv/lv/mk/tap/?pid=40488130&amp;mode=mk&amp;date=2020-06-02" TargetMode="External"/><Relationship Id="rId69" Type="http://schemas.openxmlformats.org/officeDocument/2006/relationships/hyperlink" Target="https://likumi.lv/ta/id/318759-noteikumi-par-aizdevumiem-un-to-procentu-likmju-subsidijam-komersantiem-konkuretspejas-veicinasanai" TargetMode="External"/><Relationship Id="rId113" Type="http://schemas.openxmlformats.org/officeDocument/2006/relationships/hyperlink" Target="https://likumi.lv/ta/id/320625-par-finansu-lidzeklu-pieskirsanu-no-valsts-budzeta-programmas-lidzekli-neparedzetiem-gadijumiem" TargetMode="External"/><Relationship Id="rId134" Type="http://schemas.openxmlformats.org/officeDocument/2006/relationships/hyperlink" Target="https://likumi.lv/ta/id/320832-par-finansu-lidzeklu-pieskirsanu-no-valsts-budzeta-programmas-lidzekli-neparedzetiem-gadijumiem" TargetMode="External"/><Relationship Id="rId320" Type="http://schemas.openxmlformats.org/officeDocument/2006/relationships/hyperlink" Target="https://likumi.lv/ta/id/321139-par-finansu-lidzeklu-pieskirsanu-no-valsts-budzeta-programmas-lidzekli-neparedzetiem-gadijumiem" TargetMode="External"/><Relationship Id="rId80" Type="http://schemas.openxmlformats.org/officeDocument/2006/relationships/hyperlink" Target="https://likumi.lv/ta/id/320202-par-finansu-lidzeklu-pieskirsanu-no-valsts-budzeta-programmas-lidzekli-neparedzetiem-gadijumiem" TargetMode="External"/><Relationship Id="rId155" Type="http://schemas.openxmlformats.org/officeDocument/2006/relationships/hyperlink" Target="https://likumi.lv/ta/id/322652-par-finansu-lidzeklu-pieskirsanu-no-valsts-budzeta-programmas-lidzekli-neparedzetiem-gadijumiem" TargetMode="External"/><Relationship Id="rId176" Type="http://schemas.openxmlformats.org/officeDocument/2006/relationships/hyperlink" Target="https://likumi.lv/ta/id/323482-par-finansu-lidzeklu-pieskirsanu-no-valsts-budzeta-programmas-lidzekli-neparedzetiem-gadijumiem" TargetMode="External"/><Relationship Id="rId197" Type="http://schemas.openxmlformats.org/officeDocument/2006/relationships/hyperlink" Target="https://likumi.lv/ta/id/318053-par-finansu-lidzeklu-pieskirsanu-no-valsts-budzeta-programmas-lidzekli-neparedzetiem-gadijumiem" TargetMode="External"/><Relationship Id="rId341" Type="http://schemas.openxmlformats.org/officeDocument/2006/relationships/hyperlink" Target="https://likumi.lv/ta/id/327584-par-finansu-lidzeklu-pieskirsanu-no-valsts-budzeta-programmas-lidzekli-neparedzetiem-gadijumiem" TargetMode="External"/><Relationship Id="rId362" Type="http://schemas.openxmlformats.org/officeDocument/2006/relationships/hyperlink" Target="https://likumi.lv/ta/id/331223-par-finansu-lidzeklu-pieskirsanu-no-valsts-budzeta-programmaslidzekli-neparedzetiem-gadijumiem" TargetMode="External"/><Relationship Id="rId383" Type="http://schemas.openxmlformats.org/officeDocument/2006/relationships/hyperlink" Target="https://likumi.lv/ta/id/332495-par-finansu-lidzeklu-pieskirsanu-no-valsts-budzeta-programmas-lidzekli-neparedzetiem-gadijumiem" TargetMode="External"/><Relationship Id="rId201" Type="http://schemas.openxmlformats.org/officeDocument/2006/relationships/hyperlink" Target="https://likumi.lv/ta/id/323864-par-apropriacijas-pardali-starp-kulturas-ministrijas-budzeta-apaksprogrammam" TargetMode="External"/><Relationship Id="rId222" Type="http://schemas.openxmlformats.org/officeDocument/2006/relationships/hyperlink" Target="https://likumi.lv/ta/id/324692-par-finansu-lidzeklu-pieskirsanu-no-valsts-budzeta-programmas-lidzekli-neparedzetiem-gadijumiem" TargetMode="External"/><Relationship Id="rId243" Type="http://schemas.openxmlformats.org/officeDocument/2006/relationships/hyperlink" Target="https://likumi.lv/ta/id/313681-noteikumi-par-publiskas-personas-un-publiskas-personas-kontroletas-kapitalsabiedribas-mantas-nomas-maksas-atbrivojuma-vai-samazinajuma" TargetMode="External"/><Relationship Id="rId264" Type="http://schemas.openxmlformats.org/officeDocument/2006/relationships/hyperlink" Target="https://likumi.lv/ta/id/321806-par-finansu-lidzeklu-pieskirsanu-no-valsts-budzeta-programmas-lidzekli-neparedzetiem-gadijumiem" TargetMode="External"/><Relationship Id="rId285" Type="http://schemas.openxmlformats.org/officeDocument/2006/relationships/hyperlink" Target="https://likumi.lv/ta/id/327383-par-finansu-lidzeklu-pieskirsanu-no-valsts-budzeta-programmas-lidzekli-neparedzetiem-gadijumiem" TargetMode="External"/><Relationship Id="rId17" Type="http://schemas.openxmlformats.org/officeDocument/2006/relationships/hyperlink" Target="https://likumi.lv/ta/id/313434-par-valsts-akciju-sabiedribas-latvijas-gaisa-satiksme-pamatkapitala-palielinasanu" TargetMode="External"/><Relationship Id="rId38" Type="http://schemas.openxmlformats.org/officeDocument/2006/relationships/hyperlink" Target="http://tap.mk.gov.lv/lv/mk/tap/?pid=40489541&amp;mode=mk&amp;date=2020-07-14" TargetMode="External"/><Relationship Id="rId59" Type="http://schemas.openxmlformats.org/officeDocument/2006/relationships/hyperlink" Target="http://tap.mk.gov.lv/lv/mk/tap/?pid=40489492&amp;mode=mk&amp;date=2020-07-14" TargetMode="External"/><Relationship Id="rId103" Type="http://schemas.openxmlformats.org/officeDocument/2006/relationships/hyperlink" Target="http://tap.mk.gov.lv/lv/mk/tap/?pid=40496774&amp;mode=mk&amp;date=2021-01-14" TargetMode="External"/><Relationship Id="rId124" Type="http://schemas.openxmlformats.org/officeDocument/2006/relationships/hyperlink" Target="https://likumi.lv/ta/id/320589-par-finansu-lidzeklu-pieskirsanu-no-valsts-budzeta-programmas-lidzekli-neparedzetiem-gadijumiem" TargetMode="External"/><Relationship Id="rId310" Type="http://schemas.openxmlformats.org/officeDocument/2006/relationships/hyperlink" Target="http://tap.mk.gov.lv/lv/mk/tap/?pid=40488130&amp;mode=mk&amp;date=2020-06-02" TargetMode="External"/><Relationship Id="rId70" Type="http://schemas.openxmlformats.org/officeDocument/2006/relationships/hyperlink" Target="https://likumi.lv/ta/id/318589-par-apropriacijas-pardali-neatliekamu-pasakumu-istenosanai-labklajibas-nozare" TargetMode="External"/><Relationship Id="rId91" Type="http://schemas.openxmlformats.org/officeDocument/2006/relationships/hyperlink" Target="https://likumi.lv/ta/id/319134-par-finansu-lidzeklu-pieskirsanu-no-valsts-budzeta-programmas-lidzekli-neparedzetiem-gadijumiem" TargetMode="External"/><Relationship Id="rId145" Type="http://schemas.openxmlformats.org/officeDocument/2006/relationships/hyperlink" Target="http://tap.mk.gov.lv/lv/mk/tap/?pid=40502654&amp;mode=mk&amp;date=2021-06-01" TargetMode="External"/><Relationship Id="rId166" Type="http://schemas.openxmlformats.org/officeDocument/2006/relationships/hyperlink" Target="http://tap.mk.gov.lv/mk/mksedes/saraksts/protokols/?protokols=2021-05-18" TargetMode="External"/><Relationship Id="rId187" Type="http://schemas.openxmlformats.org/officeDocument/2006/relationships/hyperlink" Target="https://likumi.lv/ta/id/321649-par-finansu-lidzeklu-pieskirsanu-no-valsts-budzeta-programmas-lidzekli-neparedzetiem-gadijumiem" TargetMode="External"/><Relationship Id="rId331" Type="http://schemas.openxmlformats.org/officeDocument/2006/relationships/hyperlink" Target="https://www.vestnesis.lv/op/2022/24.16" TargetMode="External"/><Relationship Id="rId352" Type="http://schemas.openxmlformats.org/officeDocument/2006/relationships/hyperlink" Target="https://likumi.lv/ta/id/330811" TargetMode="External"/><Relationship Id="rId373" Type="http://schemas.openxmlformats.org/officeDocument/2006/relationships/hyperlink" Target="https://likumi.lv/ta/id/327375-par-finansu-lidzeklu-pieskirsanu-no-valsts-budzeta-programmas-02-00-00-lidzekli-neparedzetiem-gadijumiem" TargetMode="External"/><Relationship Id="rId394" Type="http://schemas.openxmlformats.org/officeDocument/2006/relationships/hyperlink" Target="https://tapportals.mk.gov.lv/structuralizer/data/nodes/83d65707-3bf9-4a4e-a3a4-972bdf97a3f4/preview" TargetMode="External"/><Relationship Id="rId408" Type="http://schemas.microsoft.com/office/2017/10/relationships/threadedComment" Target="../threadedComments/threadedComment3.xml"/><Relationship Id="rId1" Type="http://schemas.openxmlformats.org/officeDocument/2006/relationships/hyperlink" Target="https://likumi.lv/ta/id/313430-grozijumi-ministru-kabineta-2020-gada-19-marta-noteikumos-nr-149-noteikumi-par-apgrozamo-lidzeklu-aizdevumiem-saimnieciskas-dar..." TargetMode="External"/><Relationship Id="rId212" Type="http://schemas.openxmlformats.org/officeDocument/2006/relationships/hyperlink" Target="https://likumi.lv/ta/id/324694-par-finansu-lidzeklu-pieskirsanu-no-valsts-budzeta-programmas-lidzekli-neparedzetiem-gadijumiem" TargetMode="External"/><Relationship Id="rId233" Type="http://schemas.openxmlformats.org/officeDocument/2006/relationships/hyperlink" Target="https://likumi.lv/ta/id/324399-par-atbalstitajiem-pasvaldibu-investiciju-projektiem-valsts-aizdevumu-pieskirsanai-covid-19-izraisitas-krizes-seku-mazinasanai-un-noversanai" TargetMode="External"/><Relationship Id="rId254" Type="http://schemas.openxmlformats.org/officeDocument/2006/relationships/hyperlink" Target="https://likumi.lv/ta/id/325331-par-finansu-lidzeklu-pieskirsanu-no-valsts-budzeta-programmas-lidzekli-neparedzetiem-gadijumiem" TargetMode="External"/><Relationship Id="rId28" Type="http://schemas.openxmlformats.org/officeDocument/2006/relationships/hyperlink" Target="http://tap.mk.gov.lv/lv/mk/tap/?pid=40488130&amp;mode=mk&amp;date=2020-06-02" TargetMode="External"/><Relationship Id="rId49" Type="http://schemas.openxmlformats.org/officeDocument/2006/relationships/hyperlink" Target="https://likumi.lv/ta/id/317703-par-finansu-lidzeklu-pieskirsanu-no-valsts-budzeta-programmas-lidzekli-neparedzetiem-gadijumiem" TargetMode="External"/><Relationship Id="rId114" Type="http://schemas.openxmlformats.org/officeDocument/2006/relationships/hyperlink" Target="http://tap.mk.gov.lv/mk/tap/?pid=40491875" TargetMode="External"/><Relationship Id="rId275" Type="http://schemas.openxmlformats.org/officeDocument/2006/relationships/hyperlink" Target="https://likumi.lv/ta/id/327010-par-finansu-lidzeklu-pieskirsanu-no-valsts-budzeta-programmaslidzekli-neparedzetiem-gadijumiem" TargetMode="External"/><Relationship Id="rId296" Type="http://schemas.openxmlformats.org/officeDocument/2006/relationships/hyperlink" Target="https://likumi.lv/ta/id/327218-par-atbalstitajiem-pasvaldibu-investiciju-projektiem-valsts-aizdevumu-pieskirsanai-covid-19-izraisitas-krizes-seku-mazinasanai" TargetMode="External"/><Relationship Id="rId300" Type="http://schemas.openxmlformats.org/officeDocument/2006/relationships/hyperlink" Target="https://m.likumi.lv/ta/id/315585-par-finansu-lidzeklu-pieskirsanu-no-valsts-budzeta-programmas-lidzekli-neparedzetiem-gadijumiem" TargetMode="External"/><Relationship Id="rId60" Type="http://schemas.openxmlformats.org/officeDocument/2006/relationships/hyperlink" Target="https://titania.saeima.lv/LIVS13/saeimalivs13.nsf/0/D3145E3501CAE0EEC225861D00272C19?OpenDocument" TargetMode="External"/><Relationship Id="rId81" Type="http://schemas.openxmlformats.org/officeDocument/2006/relationships/hyperlink" Target="https://likumi.lv/ta/id/320203-par-finansu-lidzeklu-pieskirsanu-no-valsts-budzeta-programmas-lidzekli-neparedzetiem-gadijumiem" TargetMode="External"/><Relationship Id="rId135" Type="http://schemas.openxmlformats.org/officeDocument/2006/relationships/hyperlink" Target="https://likumi.lv/ta/id/321223-par-finansu-lidzeklu-pieskirsanu-no-valsts-budzeta-programmas-lidzekli-neparedzetiem-gadijumiem" TargetMode="External"/><Relationship Id="rId156" Type="http://schemas.openxmlformats.org/officeDocument/2006/relationships/hyperlink" Target="https://likumi.lv/ta/id/321372-par-finansu-lidzeklu-pieskirsanu-no-valsts-budzeta-programmas-lidzekli-neparedzetiem-gadijumiem-" TargetMode="External"/><Relationship Id="rId177" Type="http://schemas.openxmlformats.org/officeDocument/2006/relationships/hyperlink" Target="https://likumi.lv/ta/id/323492-par-finansu-lidzeklu-pieskirsanu-no-valsts-budzeta-programmas-lidzekli-neparedzetiem-gadijumiem" TargetMode="External"/><Relationship Id="rId198" Type="http://schemas.openxmlformats.org/officeDocument/2006/relationships/hyperlink" Target="http://likumi.lv/ta/id/316608-par-finansu-lidzeklu-pieskirsanu-no-valsts-budzeta-programmas-lidzekli-neparedzetiem-gadijumiem" TargetMode="External"/><Relationship Id="rId321" Type="http://schemas.openxmlformats.org/officeDocument/2006/relationships/hyperlink" Target="https://likumi.lv/ta/id/328254-par-finansu-lidzeklu-pieskirsanu-no-valsts-budzeta-programmaslidzekli-neparedzetiem-gadijumiem" TargetMode="External"/><Relationship Id="rId342" Type="http://schemas.openxmlformats.org/officeDocument/2006/relationships/hyperlink" Target="https://likumi.lv/ta/id/324810-par-finansu-lidzeklu-pieskirsanu-no-valsts-budzeta-programmas-lidzekli-neparedzetiem-gadijumiem" TargetMode="External"/><Relationship Id="rId363" Type="http://schemas.openxmlformats.org/officeDocument/2006/relationships/hyperlink" Target="https://likumi.lv/ta/id/331664-par-finansu-lidzeklu-pieskirsanu-no-valsts-budzeta-programmas-lidzekli-neparedzetiem-gadijumiem" TargetMode="External"/><Relationship Id="rId384" Type="http://schemas.openxmlformats.org/officeDocument/2006/relationships/hyperlink" Target="https://likumi.lv/ta/id/332880-par-finansu-lidzeklu-pieskirsanu-no-valsts-budzeta-programmas-lidzekli-neparedzetiem-gadijumiem" TargetMode="External"/><Relationship Id="rId202" Type="http://schemas.openxmlformats.org/officeDocument/2006/relationships/hyperlink" Target="http://tap.mk.gov.lv/lv/mk/tap/?pid=40503649&amp;mode=mk&amp;date=2021-06-15" TargetMode="External"/><Relationship Id="rId223" Type="http://schemas.openxmlformats.org/officeDocument/2006/relationships/hyperlink" Target="https://likumi.lv/ta/id/324615-noteikumi-par-aizdevumiem-ar-kapitala-atlaidi-investiciju-projektiem-komersantiem-konkuretspejas-veicinasanai" TargetMode="External"/><Relationship Id="rId244" Type="http://schemas.openxmlformats.org/officeDocument/2006/relationships/hyperlink" Target="https://likumi.lv/ta/id/325332-grozijums-ministru-kabineta-2021-gada-7-julija-rikojuma-nr-497-par-finansu-lidzeklu-pieskirsanu-no-valsts-budzeta-programmas" TargetMode="External"/><Relationship Id="rId18" Type="http://schemas.openxmlformats.org/officeDocument/2006/relationships/hyperlink" Target="https://likumi.lv/ta/id/314258-grozijumi-ministru-kabineta-2020-gada-31-marta-noteikumos-nr-179-noteikumi-par-dikstaves-pabalstu-pasnodarbinatam-personam" TargetMode="External"/><Relationship Id="rId39" Type="http://schemas.openxmlformats.org/officeDocument/2006/relationships/hyperlink" Target="https://likumi.lv/ta/id/316119-noteikumi-par-garantijam-lielajiem-komersantiem-kuru-darbibu-ietekmejusi-covid-19-izplatiba" TargetMode="External"/><Relationship Id="rId265" Type="http://schemas.openxmlformats.org/officeDocument/2006/relationships/hyperlink" Target="https://likumi.lv/ta/id/325936-par-finansu-lidzeklu-pieskirsanu-no-valsts-budzeta-programmas-lidzekli-neparedzetiem-gadijumiem" TargetMode="External"/><Relationship Id="rId286" Type="http://schemas.openxmlformats.org/officeDocument/2006/relationships/hyperlink" Target="https://likumi.lv/ta/id/327424-par-finansu-lidzeklu-pieskirsanu-no-valsts-budzeta-programmas-lidzekli-neparedzetiem-gadijumiem" TargetMode="External"/><Relationship Id="rId50" Type="http://schemas.openxmlformats.org/officeDocument/2006/relationships/hyperlink" Target="https://likumi.lv/ta/id/318052-par-finansu-lidzeklu-pieskirsanu-no-valsts-budzeta-programmas-lidzekli-neparedzetiem-gadijumiem" TargetMode="External"/><Relationship Id="rId104" Type="http://schemas.openxmlformats.org/officeDocument/2006/relationships/hyperlink" Target="https://likumi.lv/ta/id/319019-par-finansu-lidzeklu-pieskirsanu-no-valsts-budzeta-programmas-lidzekli-neparedzetiem-gadijumiem" TargetMode="External"/><Relationship Id="rId125" Type="http://schemas.openxmlformats.org/officeDocument/2006/relationships/hyperlink" Target="https://likumi.lv/ta/id/320816-noteikumi-par-atbalstu-makslas-izklaides-un-atputas-nozaru-komersantiem-kuru-darbibu-ietekmejusi-covid-19-izplatiba" TargetMode="External"/><Relationship Id="rId146" Type="http://schemas.openxmlformats.org/officeDocument/2006/relationships/hyperlink" Target="https://likumi.lv/ta/id/322046-par-finansu-lidzeklu-pieskirsanu-no-valsts-budzeta-programmas-lidzekli-neparedzetiem-gadijumiem" TargetMode="External"/><Relationship Id="rId167" Type="http://schemas.openxmlformats.org/officeDocument/2006/relationships/hyperlink" Target="http://tap.mk.gov.lv/mk/mksedes/saraksts/protokols/?protokols=2021-05-13" TargetMode="External"/><Relationship Id="rId188" Type="http://schemas.openxmlformats.org/officeDocument/2006/relationships/hyperlink" Target="https://www.vestnesis.lv/op/2021/46.11" TargetMode="External"/><Relationship Id="rId311" Type="http://schemas.openxmlformats.org/officeDocument/2006/relationships/hyperlink" Target="https://likumi.lv/ta/id/316831-par-finansu-lidzeklu-pieskirsanu-no-valsts-budzeta-programmas-lidzekli-neparedzetiem-gadijumiem" TargetMode="External"/><Relationship Id="rId332" Type="http://schemas.openxmlformats.org/officeDocument/2006/relationships/hyperlink" Target="https://likumi.lv/ta/id/328231-par-finansu-lidzeklu-pieskirsanu-no-valsts-budzeta-programmas-lidzekli-neparedzetiem-gadijumiem" TargetMode="External"/><Relationship Id="rId353" Type="http://schemas.openxmlformats.org/officeDocument/2006/relationships/hyperlink" Target="https://likumi.lv/ta/id/330812" TargetMode="External"/><Relationship Id="rId374" Type="http://schemas.openxmlformats.org/officeDocument/2006/relationships/hyperlink" Target="https://likumi.lv/ta/id/331199-par-finansu-lidzeklu-pieskirsanu-no-valsts-budzeta-programmas-lidzekli-neparedzetiem-gadijumiem" TargetMode="External"/><Relationship Id="rId395" Type="http://schemas.openxmlformats.org/officeDocument/2006/relationships/hyperlink" Target="https://tapportals.mk.gov.lv/structuralizer/data/nodes/874cb006-dcd1-47bf-b872-074b8a8d7ccc/preview" TargetMode="External"/><Relationship Id="rId71" Type="http://schemas.openxmlformats.org/officeDocument/2006/relationships/hyperlink" Target="https://likumi.lv/ta/id/320206-par-finansu-lidzeklu-pieskirsanu-no-valsts-budzeta-programmas-lidzekli-neparedzetiem-gadijumiem" TargetMode="External"/><Relationship Id="rId92" Type="http://schemas.openxmlformats.org/officeDocument/2006/relationships/hyperlink" Target="https://likumi.lv/ta/id/319133-par-finansu-lidzeklu-pieskirsanu-no-valsts-budzeta-programmas-lidzekli-neparedzetiem-gadijumiem" TargetMode="External"/><Relationship Id="rId213" Type="http://schemas.openxmlformats.org/officeDocument/2006/relationships/hyperlink" Target="http://tap.mk.gov.lv/mk/mksedes/saraksts/protokols/?protokols=2021-06-08" TargetMode="External"/><Relationship Id="rId234" Type="http://schemas.openxmlformats.org/officeDocument/2006/relationships/hyperlink" Target="https://likumi.lv/ta/id/322193"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s://likumi.lv/ta/id/316129-noteikumi-par-kapitala-ieguldijumiem-komersantos-kuru-darbibu-ietekmejusi-covid-19-izplatiba" TargetMode="External"/><Relationship Id="rId255" Type="http://schemas.openxmlformats.org/officeDocument/2006/relationships/hyperlink" Target="https://tapportals.mk.gov.lv/meetings/cabinet_ministers/884a8552-0a22-4712-aebd-4accd7fe29c8" TargetMode="External"/><Relationship Id="rId276" Type="http://schemas.openxmlformats.org/officeDocument/2006/relationships/hyperlink" Target="http://tap.mk.gov.lv/lv/mk/tap/?pid=40502907&amp;mode=mk&amp;date=2021-05-27" TargetMode="External"/><Relationship Id="rId297" Type="http://schemas.openxmlformats.org/officeDocument/2006/relationships/hyperlink" Target="https://likumi.lv/ta/id/328024-par-finansu-lidzeklu-pieskirsanu-no-valsts-budzeta-programmaslidzekli-neparedzetiem-gadijumiem" TargetMode="External"/><Relationship Id="rId40" Type="http://schemas.openxmlformats.org/officeDocument/2006/relationships/hyperlink" Target="http://tap.mk.gov.lv/lv/mk/tap/?pid=40489549&amp;mode=mk&amp;date=2020-07-14" TargetMode="External"/><Relationship Id="rId115" Type="http://schemas.openxmlformats.org/officeDocument/2006/relationships/hyperlink" Target="http://tap.mk.gov.lv/lv/mk/tap/?pid=40496837&amp;mode=mk&amp;date=2021-01-08" TargetMode="External"/><Relationship Id="rId136" Type="http://schemas.openxmlformats.org/officeDocument/2006/relationships/hyperlink" Target="https://likumi.lv/ta/id/321204-par-finansu-lidzeklu-pieskirsanu-no-valsts-budzeta-programmas-lidzekli-neparedzetiem-gadijumiem" TargetMode="External"/><Relationship Id="rId157" Type="http://schemas.openxmlformats.org/officeDocument/2006/relationships/hyperlink" Target="https://likumi.lv/ta/id/321836-par-finansu-lidzeklu-pieskirsanu-no-valsts-budzeta-programmas-02-00-00-lidzekli-neparedzetiem-gadijumiem" TargetMode="External"/><Relationship Id="rId178" Type="http://schemas.openxmlformats.org/officeDocument/2006/relationships/hyperlink" Target="https://likumi.lv/ta/id/323616-par-finansu-lidzeklu-pieskirsanu-no-valsts-budzeta-programmas-lidzekli-neparedzetiem-gadijumiem" TargetMode="External"/><Relationship Id="rId301" Type="http://schemas.openxmlformats.org/officeDocument/2006/relationships/hyperlink" Target="https://likumi.lv/ta/id/327744-par-finansu-lidzeklu-pieskirsanu-no-valsts-budzeta-programmas-lidzekli-neparedzetiem-gadijumiem" TargetMode="External"/><Relationship Id="rId322" Type="http://schemas.openxmlformats.org/officeDocument/2006/relationships/hyperlink" Target="https://likumi.lv/ta/id/329092-par-finansu-lidzeklu-pieskirsanu-no-valsts-budzeta-programmas-lidzekli-neparedzetiem-gadijumiem" TargetMode="External"/><Relationship Id="rId343" Type="http://schemas.openxmlformats.org/officeDocument/2006/relationships/hyperlink" Target="https://likumi.lv/ta/id/330052-par-finansu-lidzeklu-pieskirsanu-no-valsts-budzeta-programmas-lidzekli-neparedzetiem-gadijumiem" TargetMode="External"/><Relationship Id="rId364" Type="http://schemas.openxmlformats.org/officeDocument/2006/relationships/hyperlink" Target="https://likumi.lv/ta/id/330809-par-finansu-lidzeklu-pieskirsanu-no-valsts-budzeta-programmas-lidzekli-neparedzetiem-gadijumiem" TargetMode="External"/><Relationship Id="rId61" Type="http://schemas.openxmlformats.org/officeDocument/2006/relationships/hyperlink" Target="https://likumi.lv/ta/id/313933-par-finansu-lidzeklu-pieskirsanu-no-valsts-budzeta-programmas-lidzekli-neparedzetiem-gadijumiem" TargetMode="External"/><Relationship Id="rId82" Type="http://schemas.openxmlformats.org/officeDocument/2006/relationships/hyperlink" Target="https://likumi.lv/ta/id/314476-par-finansu-lidzeklu-pieskirsanu-no-valsts-budzeta-programmas-lidzekli-neparedzetiem-gadijumiem" TargetMode="External"/><Relationship Id="rId199" Type="http://schemas.openxmlformats.org/officeDocument/2006/relationships/hyperlink" Target="https://likumi.lv/ta/id/314836-par-finansu-lidzeklu-pieskirsanu-no-valsts-budzeta-programmas-lidzekli-neparedzetiem-gadijumiem" TargetMode="External"/><Relationship Id="rId203" Type="http://schemas.openxmlformats.org/officeDocument/2006/relationships/hyperlink" Target="https://likumi.lv/ta/id/324323-par-finansu-lidzeklu-pieskirsanu-no-valsts-budzeta-programmas-lidzekli-neparedzetiem-gadijumiem" TargetMode="External"/><Relationship Id="rId385" Type="http://schemas.openxmlformats.org/officeDocument/2006/relationships/hyperlink" Target="https://likumi.lv/ta/id/334045-par-finansu-lidzeklu-pieskirsanu-no-valsts-budzeta-programmas-lidzekli-neparedzetiem-gadijumiem" TargetMode="External"/><Relationship Id="rId19" Type="http://schemas.openxmlformats.org/officeDocument/2006/relationships/hyperlink" Target="http://likumi.lv/ta/id/314061-par-finansu-lidzeklu-pieskirsanu-no-valsts-budzeta-programmas-lidzekli-neparedzetiem-gadijumiem-" TargetMode="External"/><Relationship Id="rId224" Type="http://schemas.openxmlformats.org/officeDocument/2006/relationships/hyperlink" Target="https://likumi.lv/ta/id/324701-par-finansu-lidzeklu-pieskirsanu-no-valsts-budzeta-programmas-lidzekli-neparedzetiem-gadijumiem" TargetMode="External"/><Relationship Id="rId245" Type="http://schemas.openxmlformats.org/officeDocument/2006/relationships/hyperlink" Target="https://likumi.lv/ta/id/325318-par-finansu-lidzeklu-pieskirsanu-no-valsts-budzeta-programmas-lidzekli-neparedzetiem-gadijumiem" TargetMode="External"/><Relationship Id="rId266" Type="http://schemas.openxmlformats.org/officeDocument/2006/relationships/hyperlink" Target="https://likumi.lv/ta/id/320274-grozijumi-ministru-kabineta-2020-gada-24-novembra-noteikumos-nr-709-noteikumi-par-atbalstu-par-dikstavi-nodoklu-maksatajiem-to-..." TargetMode="External"/><Relationship Id="rId287" Type="http://schemas.openxmlformats.org/officeDocument/2006/relationships/hyperlink" Target="https://likumi.lv/ta/id/327384-par-finansu-lidzeklu-pieskirsanu-no-valsts-budzeta-programmas-lidzekli-neparedzetiem-gadijumiem" TargetMode="External"/><Relationship Id="rId30" Type="http://schemas.openxmlformats.org/officeDocument/2006/relationships/hyperlink" Target="http://tap.mk.gov.lv/lv/mk/tap/?pid=40488130&amp;mode=mk&amp;date=2020-06-02" TargetMode="External"/><Relationship Id="rId105" Type="http://schemas.openxmlformats.org/officeDocument/2006/relationships/hyperlink" Target="https://likumi.lv/ta/id/319437-par-finansu-lidzeklu-pieskirsanu-no-valsts-budzeta-programmas-lidzekli-neparedzetiem-gadijumiem" TargetMode="External"/><Relationship Id="rId126" Type="http://schemas.openxmlformats.org/officeDocument/2006/relationships/hyperlink" Target="https://likumi.lv/ta/id/321138-par-finansu-lidzeklu-pieskirsanu-no-valsts-budzeta-programmas-lidzekli-neparedzetiem-gadijumiem" TargetMode="External"/><Relationship Id="rId147" Type="http://schemas.openxmlformats.org/officeDocument/2006/relationships/hyperlink" Target="https://likumi.lv/ta/id/320206-par-finansu-lidzeklu-pieskirsanu-no-valsts-budzeta-programmas-lidzekli-neparedzetiem-gadijumiem" TargetMode="External"/><Relationship Id="rId168" Type="http://schemas.openxmlformats.org/officeDocument/2006/relationships/hyperlink" Target="http://tap.mk.gov.lv/lv/mk/tap/?pid=40499784&amp;mode=mk&amp;date=2021-03-18" TargetMode="External"/><Relationship Id="rId312" Type="http://schemas.openxmlformats.org/officeDocument/2006/relationships/hyperlink" Target="https://likumi.lv/ta/id/314718-par-finansu-lidzeklu-pieskirsanu-no-valsts-budzeta-programmas-lidzekli-neparedzetiem-gadijumiem" TargetMode="External"/><Relationship Id="rId333" Type="http://schemas.openxmlformats.org/officeDocument/2006/relationships/hyperlink" Target="https://tapportals.mk.gov.lv/structuralizer/data/nodes/f89b42f5-b5c8-43a3-969d-229a120e977e/preview" TargetMode="External"/><Relationship Id="rId354" Type="http://schemas.openxmlformats.org/officeDocument/2006/relationships/hyperlink" Target="https://tapportals.mk.gov.lv/meetings/protocols/bc243829-e155-46ec-9f94-d0bf9fd202be" TargetMode="External"/><Relationship Id="rId51" Type="http://schemas.openxmlformats.org/officeDocument/2006/relationships/hyperlink" Target="https://likumi.lv/ta/id/313372-par-finansu-lidzeklu-pieskirsanu-no-valsts-budzeta-programmas-lidzekli-neparedzetiem-gadijumiem" TargetMode="External"/><Relationship Id="rId72" Type="http://schemas.openxmlformats.org/officeDocument/2006/relationships/hyperlink" Target="https://likumi.lv/ta/id/319787-par-finansu-lidzeklu-pieskirsanu-no-valsts-budzeta-programmas-lidzekli-neparedzetiem-gadijumiem" TargetMode="External"/><Relationship Id="rId93" Type="http://schemas.openxmlformats.org/officeDocument/2006/relationships/hyperlink" Target="https://likumi.lv/ta/id/320379" TargetMode="External"/><Relationship Id="rId189" Type="http://schemas.openxmlformats.org/officeDocument/2006/relationships/hyperlink" Target="https://likumi.lv/ta/id/318112-par-finansu-lidzeklu-pieskirsanu-no-valsts-budzeta-programmas-lidzekli-neparedzetiem-gadijumiem" TargetMode="External"/><Relationship Id="rId375" Type="http://schemas.openxmlformats.org/officeDocument/2006/relationships/hyperlink" Target="https://likumi.lv/ta/id/331430-par-finansu-lidzeklu-pieskirsanu-no-valsts-budzeta-programmas-lidzekli-neparedzetiem-gadijumiem" TargetMode="External"/><Relationship Id="rId396" Type="http://schemas.openxmlformats.org/officeDocument/2006/relationships/hyperlink" Target="https://www.vestnesis.lv/op/2022/190.7" TargetMode="External"/><Relationship Id="rId3" Type="http://schemas.openxmlformats.org/officeDocument/2006/relationships/hyperlink" Target="https://www.vestnesis.lv/op/2020/62B.6" TargetMode="External"/><Relationship Id="rId214" Type="http://schemas.openxmlformats.org/officeDocument/2006/relationships/hyperlink" Target="http://tap.mk.gov.lv/lv/mk/tap/?pid=40500239&amp;mode=mk&amp;date=2021-04-20" TargetMode="External"/><Relationship Id="rId235" Type="http://schemas.openxmlformats.org/officeDocument/2006/relationships/hyperlink" Target="https://likumi.lv/ta/id/321916-par-finansu-lidzeklu-pieskirsanu-no-valsts-budzeta-programmas-lidzekli-neparedzetiem-gadijumiem" TargetMode="External"/><Relationship Id="rId256" Type="http://schemas.openxmlformats.org/officeDocument/2006/relationships/hyperlink" Target="https://tapportals.mk.gov.lv/meetings/cabinet_ministers/884a8552-0a22-4712-aebd-4accd7fe29c8" TargetMode="External"/><Relationship Id="rId277" Type="http://schemas.openxmlformats.org/officeDocument/2006/relationships/hyperlink" Target="https://likumi.lv/ta/id/327584-par-finansu-lidzeklu-pieskirsanu-no-valsts-budzeta-programmas-lidzekli-neparedzetiem-gadijumiem" TargetMode="External"/><Relationship Id="rId298" Type="http://schemas.openxmlformats.org/officeDocument/2006/relationships/hyperlink" Target="https://likumi.lv/ta/id/320278-par-finansu-lidzeklu-pieskirsanu-no-valsts-budzeta-programmas-lidzekli-neparedzetiem-gadijumiem" TargetMode="External"/><Relationship Id="rId400" Type="http://schemas.openxmlformats.org/officeDocument/2006/relationships/hyperlink" Target="https://tapportals.mk.gov.lv/structuralizer/data/nodes/5bf7ff40-83f8-40ef-b3f1-8252ce7d1502/preview" TargetMode="External"/><Relationship Id="rId116" Type="http://schemas.openxmlformats.org/officeDocument/2006/relationships/hyperlink" Target="http://tap.mk.gov.lv/mk/mksedes/saraksts/darbakartiba/?sede=1187" TargetMode="External"/><Relationship Id="rId137" Type="http://schemas.openxmlformats.org/officeDocument/2006/relationships/hyperlink" Target="https://likumi.lv/ta/id/320987-par-finansu-lidzeklu-pieskirsanu-no-valsts-budzeta-programmas-lidzekli-neparedzetiem-gadijumiem" TargetMode="External"/><Relationship Id="rId158" Type="http://schemas.openxmlformats.org/officeDocument/2006/relationships/hyperlink" Target="https://likumi.lv/ta/id/322458-par-finansu-lidzeklu-pieskirsanu-no-valsts-budzeta-programmas-lidzekli-neparedzetiem-gadijumiem" TargetMode="External"/><Relationship Id="rId302" Type="http://schemas.openxmlformats.org/officeDocument/2006/relationships/hyperlink" Target="https://likumi.lv/ta/id/327589-par-finansu-lidzeklu-pieskirsanu-no-valsts-budzeta-programmas-lidzekli-neparedzetiem-gadijumiem" TargetMode="External"/><Relationship Id="rId323" Type="http://schemas.openxmlformats.org/officeDocument/2006/relationships/hyperlink" Target="https://likumi.lv/ta/id/329143-par-finansu-lidzeklu-pieskirsanu-no-valsts-budzeta-programmas-lidzekli-neparedzetiem-gadijumiem" TargetMode="External"/><Relationship Id="rId344" Type="http://schemas.openxmlformats.org/officeDocument/2006/relationships/hyperlink" Target="https://m.likumi.lv/ta/id/330233-par-finansu-lidzeklu-pieskirsanu-no-valsts-budzeta-programmaslidzekli-neparedzetiem-gadijumiem" TargetMode="External"/><Relationship Id="rId20" Type="http://schemas.openxmlformats.org/officeDocument/2006/relationships/hyperlink" Target="https://likumi.lv/ta/id/313432" TargetMode="External"/><Relationship Id="rId41" Type="http://schemas.openxmlformats.org/officeDocument/2006/relationships/hyperlink" Target="https://likumi.lv/ta/id/315243-par-finansu-lidzeklu-pieskirsanu-no-valsts-budzeta-programmas-lidzekli-neparedzetiem-gadijumiem" TargetMode="External"/><Relationship Id="rId62" Type="http://schemas.openxmlformats.org/officeDocument/2006/relationships/hyperlink" Target="https://likumi.lv/ta/id/314036-par-finansu-lidzeklu-pieskirsanu-no-valsts-budzeta-programmas-lidzekli-neparedzetiem-gadijumiem" TargetMode="External"/><Relationship Id="rId83" Type="http://schemas.openxmlformats.org/officeDocument/2006/relationships/hyperlink" Target="https://likumi.lv/ta/id/320207-par-finansu-lidzeklu-pieskirsanu-no-valsts-budzeta-programmas-lidzekli-neparedzetiem-gadijumiem" TargetMode="External"/><Relationship Id="rId179" Type="http://schemas.openxmlformats.org/officeDocument/2006/relationships/hyperlink" Target="https://likumi.lv/ta/id/322782-par-finansu-lidzeklu-pieskirsanu-no-valsts-budzeta-programmas-lidzekli-neparedzetiem-gadijumiem" TargetMode="External"/><Relationship Id="rId365" Type="http://schemas.openxmlformats.org/officeDocument/2006/relationships/hyperlink" Target="https://likumi.lv/ta/id/331015-par-finansu-lidzeklu-pieskirsanu-no-valsts-budzeta-programmas-lidzekli-neparedzetiem-gadijumiem" TargetMode="External"/><Relationship Id="rId386" Type="http://schemas.openxmlformats.org/officeDocument/2006/relationships/hyperlink" Target="https://likumi.lv/ta/id/329604-par-finansu-lidzeklu-pieskirsanu-no-valsts-budzeta-programmas-lidzekli-neparedzetiem-gadijumiem" TargetMode="External"/><Relationship Id="rId190" Type="http://schemas.openxmlformats.org/officeDocument/2006/relationships/hyperlink" Target="http://tap.mk.gov.lv/lv/mk/tap/?pid=40491504&amp;mode=mk&amp;date=2020-09-02" TargetMode="External"/><Relationship Id="rId204" Type="http://schemas.openxmlformats.org/officeDocument/2006/relationships/hyperlink" Target="https://likumi.lv/ta/id/323650-par-finansu-lidzeklu-pieskirsanu-no-valsts-budzeta-programmas-lidzekli-neparedzetiem-gadijumiem" TargetMode="External"/><Relationship Id="rId225" Type="http://schemas.openxmlformats.org/officeDocument/2006/relationships/hyperlink" Target="https://likumi.lv/ta/id/323565-par-atbalstitajiem-pasvaldibu-investiciju-projektiem-valsts-aizdevumu-pieskirsanai-covid-19-izraisitas-krizes-seku-mazinasanai-un-noversanai?&amp;search=on" TargetMode="External"/><Relationship Id="rId246" Type="http://schemas.openxmlformats.org/officeDocument/2006/relationships/hyperlink" Target="https://likumi.lv/ta/id/325671-par-finansu-lidzeklu-pieskirsanu-no-valsts-budzeta-programmas-lidzekli-neparedzetiem-gadijumiem" TargetMode="External"/><Relationship Id="rId267" Type="http://schemas.openxmlformats.org/officeDocument/2006/relationships/hyperlink" Target="https://likumi.lv/ta/id/315287-covid-19-infekcijas-izplatibas-seku-parvaresanas-likums" TargetMode="External"/><Relationship Id="rId288" Type="http://schemas.openxmlformats.org/officeDocument/2006/relationships/hyperlink" Target="https://likumi.lv/ta/id/327738-par-finansu-lidzeklu-pieskirsanu-no-valsts-budzeta-programmas-lidzekli-neparedzetiem-gadijumiem" TargetMode="External"/><Relationship Id="rId106" Type="http://schemas.openxmlformats.org/officeDocument/2006/relationships/hyperlink" Target="https://likumi.lv/ta/id/320438-par-finansu-lidzeklu-pieskirsanu-no-valsts-budzeta-programmas-lidzekli-neparedzetiem-gadijumiem" TargetMode="External"/><Relationship Id="rId127" Type="http://schemas.openxmlformats.org/officeDocument/2006/relationships/hyperlink" Target="https://likumi.lv/ta/id/321139-par-finansu-lidzeklu-pieskirsanu-no-valsts-budzeta-programmas-lidzekli-neparedzetiem-gadijumiem" TargetMode="External"/><Relationship Id="rId313" Type="http://schemas.openxmlformats.org/officeDocument/2006/relationships/hyperlink" Target="https://likumi.lv/ta/id/328015-par-finansu-lidzeklu-pieskirsanu-no-valsts-budzeta-programmas-lidzekli-neparedzetiem-gadijumiem" TargetMode="External"/><Relationship Id="rId10" Type="http://schemas.openxmlformats.org/officeDocument/2006/relationships/hyperlink" Target="https://likumi.lv/ta/id/313377-grozijums-likuma-par-maternitates-un-slimibas-apdrosinasanu-" TargetMode="External"/><Relationship Id="rId31" Type="http://schemas.openxmlformats.org/officeDocument/2006/relationships/hyperlink" Target="http://tap.mk.gov.lv/lv/mk/tap/?pid=40488130&amp;mode=mk&amp;date=2020-06-02" TargetMode="External"/><Relationship Id="rId52" Type="http://schemas.openxmlformats.org/officeDocument/2006/relationships/hyperlink" Target="https://m.likumi.lv/ta/id/320209-par-finansu-lidzeklu-pieskirsanu-no-valsts-budzeta-programmas-lidzekli-neparedzetiem-gadijumiem" TargetMode="External"/><Relationship Id="rId73" Type="http://schemas.openxmlformats.org/officeDocument/2006/relationships/hyperlink" Target="https://likumi.lv/ta/id/320017-par-apropriacijas-palielinasanu-veselibas-ministrijai" TargetMode="External"/><Relationship Id="rId94" Type="http://schemas.openxmlformats.org/officeDocument/2006/relationships/hyperlink" Target="https://likumi.lv/ta/id/320274-grozijumi-ministru-kabineta-2020-gada-24-novembra-noteikumos-nr-709-noteikumi-par-atbalstu-par-dikstavi-nodoklu-maksatajiem-to-..." TargetMode="External"/><Relationship Id="rId148" Type="http://schemas.openxmlformats.org/officeDocument/2006/relationships/hyperlink" Target="https://www.vestnesis.lv/op/2021/46.21" TargetMode="External"/><Relationship Id="rId169" Type="http://schemas.openxmlformats.org/officeDocument/2006/relationships/hyperlink" Target="https://likumi.lv/ta/id/318958-par-finansu-lidzeklu-pieskirsanu-no-valsts-budzeta-programmas-020000-lidzekli-neparedzetiem-gadijumiem" TargetMode="External"/><Relationship Id="rId334" Type="http://schemas.openxmlformats.org/officeDocument/2006/relationships/hyperlink" Target="https://www.vestnesis.lv/op/2022/30.17" TargetMode="External"/><Relationship Id="rId355" Type="http://schemas.openxmlformats.org/officeDocument/2006/relationships/hyperlink" Target="https://likumi.lv/ta/id/331014-par-finansu-lidzeklu-pieskirsanu-no-valsts-budzeta-programmas-lidzekli-neparedzetiem-gadijumiem" TargetMode="External"/><Relationship Id="rId376" Type="http://schemas.openxmlformats.org/officeDocument/2006/relationships/hyperlink" Target="https://likumi.lv/ta/id/332677-par-finansu-lidzeklu-pieskirsanu-no-valsts-budzeta-programmas-lidzekli-neparedzetiem-gadijumiem" TargetMode="External"/><Relationship Id="rId397" Type="http://schemas.openxmlformats.org/officeDocument/2006/relationships/hyperlink" Target="https://tapportals.mk.gov.lv/structuralizer/data/nodes/87b021a5-ccf0-485f-97c1-3385e798a528/preview" TargetMode="External"/><Relationship Id="rId4" Type="http://schemas.openxmlformats.org/officeDocument/2006/relationships/hyperlink" Target="https://likumi.lv/ta/id/313372-par-finansu-lidzeklu-pieskirsanu-no-valsts-budzeta-programmas-lidzekli-neparedzetiem-gadijumiem" TargetMode="External"/><Relationship Id="rId180" Type="http://schemas.openxmlformats.org/officeDocument/2006/relationships/hyperlink" Target="https://likumi.lv/ta/id/323192-par-finansu-lidzeklu-pieskirsanu-no-valsts-budzeta-programmas-lidzekli-neparedzetiem-gadijumiem" TargetMode="External"/><Relationship Id="rId215" Type="http://schemas.openxmlformats.org/officeDocument/2006/relationships/hyperlink" Target="https://likumi.lv/ta/id/322354-par-finansu-lidzeklu-pieskirsanu-no-valsts-budzeta-programmas-lidzekli-neparedzetiem-gadijumiem" TargetMode="External"/><Relationship Id="rId236" Type="http://schemas.openxmlformats.org/officeDocument/2006/relationships/hyperlink" Target="https://likumi.lv/ta/id/325573-par-akciju-sabiedribas-air-baltic-corporation-pamatkapitala-palielinasanu" TargetMode="External"/><Relationship Id="rId257" Type="http://schemas.openxmlformats.org/officeDocument/2006/relationships/hyperlink" Target="https://tapportals.mk.gov.lv/meetings/cabinet_ministers/884a8552-0a22-4712-aebd-4accd7fe29c8" TargetMode="External"/><Relationship Id="rId278" Type="http://schemas.openxmlformats.org/officeDocument/2006/relationships/hyperlink" Target="https://likumi.lv/ta/id/327247-par-finansu-lidzeklu-pieskirsanu-no-valsts-budzeta-programmas-lidzekli-neparedzetiem-gadijumiem" TargetMode="External"/><Relationship Id="rId401" Type="http://schemas.openxmlformats.org/officeDocument/2006/relationships/hyperlink" Target="https://likumi.lv/ta/id/337979-par-finansu-lidzeklu-pieskirsanu-no-valsts-budzeta-programmas-lidzekli-neparedzetiem-gadijumiem" TargetMode="External"/><Relationship Id="rId303" Type="http://schemas.openxmlformats.org/officeDocument/2006/relationships/hyperlink" Target="https://likumi.lv/ta/id/327589-par-finansu-lidzeklu-pieskirsanu-no-valsts-budzeta-programmas-lidzekli-neparedzetiem-gadijumiem" TargetMode="External"/><Relationship Id="rId42" Type="http://schemas.openxmlformats.org/officeDocument/2006/relationships/hyperlink" Target="http://likumi.lv/ta/id/316390-par-finansu-lidzeklu-pieskirsanu-no-valsts-budzeta-programmas-lidzekli-neparedzetiem-gadijumiem" TargetMode="External"/><Relationship Id="rId84" Type="http://schemas.openxmlformats.org/officeDocument/2006/relationships/hyperlink" Target="https://likumi.lv/ta/id/314711-grozijums-ministru-kabineta-2009-gada-22-decembra-noteikumos-nr-1517-noteikumi-par-gimenes-valsts-pabalstu-un-piemaksam-pie" TargetMode="External"/><Relationship Id="rId138" Type="http://schemas.openxmlformats.org/officeDocument/2006/relationships/hyperlink" Target="https://likumi.lv/ta/id/321498-par-finansu-lidzeklu-pieskirsanu-no-valsts-budzeta-programmas-lidzekli-neparedzetiem-gadijumiem" TargetMode="External"/><Relationship Id="rId345" Type="http://schemas.openxmlformats.org/officeDocument/2006/relationships/hyperlink" Target="https://likumi.lv/ta/id/330441-par-finansu-lidzeklu-pieskirsanu-no-valsts-budzeta-programmas-lidzekli-neparedzetiem-gadijumiem" TargetMode="External"/><Relationship Id="rId387" Type="http://schemas.openxmlformats.org/officeDocument/2006/relationships/hyperlink" Target="https://tapportals.mk.gov.lv/structuralizer/data/nodes/d7f85dd9-6254-49a5-b03b-80dd6354a4ae/preview" TargetMode="External"/><Relationship Id="rId191" Type="http://schemas.openxmlformats.org/officeDocument/2006/relationships/hyperlink" Target="https://likumi.lv/ta/id/317376-par-finansu-lidzeklu-pieskirsanu-no-valsts-budzeta-programmas-lidzekli-neparedzetiem-gadijumiem" TargetMode="External"/><Relationship Id="rId205" Type="http://schemas.openxmlformats.org/officeDocument/2006/relationships/hyperlink" Target="https://www.vestnesis.lv/op/2021/124.27" TargetMode="External"/><Relationship Id="rId247" Type="http://schemas.openxmlformats.org/officeDocument/2006/relationships/hyperlink" Target="https://likumi.lv/ta/id/325494-par-finansu-lidzeklu-pieskirsanu-no-valsts-budzeta-programmas-lidzekli-neparedzetiem-gadijumiem" TargetMode="External"/><Relationship Id="rId107" Type="http://schemas.openxmlformats.org/officeDocument/2006/relationships/hyperlink" Target="https://likumi.lv/ta/id/320588-par-finansu-lidzeklu-pieskirsanu-no-valsts-budzeta-programmas-lidzekli-neparedzetiem-gadijumiem" TargetMode="External"/><Relationship Id="rId289" Type="http://schemas.openxmlformats.org/officeDocument/2006/relationships/hyperlink" Target="https://likumi.lv/ta/id/327387-par-finansu-lidzeklu-pieskirsanu-no-valsts-budzeta-programmas-lidzekli-neparedzetiem-gadijumiem" TargetMode="External"/><Relationship Id="rId11" Type="http://schemas.openxmlformats.org/officeDocument/2006/relationships/hyperlink" Target="https://likumi.lv/ta/id/313514-noteikumi-par-covid-19-izraisitas-krizes-skartiem-darba-devejiem-kuri-kvalificejas-dikstaves-pabalstam-un-nokaveto-nodoklu" TargetMode="External"/><Relationship Id="rId53" Type="http://schemas.openxmlformats.org/officeDocument/2006/relationships/hyperlink" Target="https://likumi.lv/ta/id/313934-par-apropriacijas-palielinasanu-veselibas-ministrijai" TargetMode="External"/><Relationship Id="rId149" Type="http://schemas.openxmlformats.org/officeDocument/2006/relationships/hyperlink" Target="https://likumi.lv/ta/id/321605-par-finansu-lidzeklu-pieskirsanu-no-valsts-budzeta-programmas-lidzekli-neparedzetiem-gadijumiem" TargetMode="External"/><Relationship Id="rId314" Type="http://schemas.openxmlformats.org/officeDocument/2006/relationships/hyperlink" Target="https://likumi.lv/ta/id/327743-par-finansu-lidzeklu-pieskirsanu-no-valsts-budzeta-programmas-lidzekli-neparedzetiem-gadijumiem" TargetMode="External"/><Relationship Id="rId356" Type="http://schemas.openxmlformats.org/officeDocument/2006/relationships/hyperlink" Target="https://likumi.lv/ta/id/331016-par-finansu-lidzeklu-pieskirsanu-no-valsts-budzeta-programmas-lidzekli-neparedzetiem-gadijumiem" TargetMode="External"/><Relationship Id="rId398" Type="http://schemas.openxmlformats.org/officeDocument/2006/relationships/hyperlink" Target="https://tapportals.mk.gov.lv/structuralizer/data/nodes/5bf7ff40-83f8-40ef-b3f1-8252ce7d1502/preview" TargetMode="External"/><Relationship Id="rId95" Type="http://schemas.openxmlformats.org/officeDocument/2006/relationships/hyperlink" Target="https://likumi.lv/ta/id/313614-par-finansu-lidzeklu-pieskirsanu-no-valsts-budzeta-programmas-lidzekli-neparedzetiem-gadijumiem" TargetMode="External"/><Relationship Id="rId160" Type="http://schemas.openxmlformats.org/officeDocument/2006/relationships/hyperlink" Target="https://likumi.lv/ta/id/322784" TargetMode="External"/><Relationship Id="rId216" Type="http://schemas.openxmlformats.org/officeDocument/2006/relationships/hyperlink" Target="https://www.vestnesis.lv/op/2021/124.29" TargetMode="External"/><Relationship Id="rId258" Type="http://schemas.openxmlformats.org/officeDocument/2006/relationships/hyperlink" Target="https://tapportals.mk.gov.lv/meetings/cabinet_ministers/884a8552-0a22-4712-aebd-4accd7fe29c8" TargetMode="External"/><Relationship Id="rId22" Type="http://schemas.openxmlformats.org/officeDocument/2006/relationships/hyperlink" Target="https://likumi.lv/ta/id/314477-par-finansu-lidzeklu-pieskirsanu-no-valsts-budzeta-programmas-lidzekli-neparedzetiem-gadijumiem" TargetMode="External"/><Relationship Id="rId64" Type="http://schemas.openxmlformats.org/officeDocument/2006/relationships/hyperlink" Target="http://tap.mk.gov.lv/mk/mksedes/saraksts/darbakartiba/?sede=1171" TargetMode="External"/><Relationship Id="rId118" Type="http://schemas.openxmlformats.org/officeDocument/2006/relationships/hyperlink" Target="http://tap.mk.gov.lv/lv/mk/tap/?pid=40497627&amp;mode=mk&amp;date=2021-01-28" TargetMode="External"/><Relationship Id="rId325" Type="http://schemas.openxmlformats.org/officeDocument/2006/relationships/hyperlink" Target="https://likumi.lv/ta/id/321193-par-akciju-sabiedribas-attistibas-finansu-institucija-altum-rezerves-kapitala-palielinasanu" TargetMode="External"/><Relationship Id="rId367" Type="http://schemas.openxmlformats.org/officeDocument/2006/relationships/hyperlink" Target="https://likumi.lv/ta/id/332092-par-finansu-lidzeklu-pieskirsanu-no-valsts-budzeta-programmas-lidzekli-neparedzetiem-gadijumiem" TargetMode="External"/><Relationship Id="rId171" Type="http://schemas.openxmlformats.org/officeDocument/2006/relationships/hyperlink" Target="https://likumi.lv/ta/id/321803-par-atbalstitajiem-pasvaldibu-investiciju-projektiem-valsts-aizdevumu-pieskirsanai-covid-19-izraisitas-krizes-seku-mazinasanai-un-noversanai" TargetMode="External"/><Relationship Id="rId227" Type="http://schemas.openxmlformats.org/officeDocument/2006/relationships/hyperlink" Target="http://tap.mk.gov.lv/lv/mk/tap/?pid=40505748&amp;mode=mk&amp;date=2021-07-30" TargetMode="External"/><Relationship Id="rId269" Type="http://schemas.openxmlformats.org/officeDocument/2006/relationships/hyperlink" Target="https://likumi.lv/ta/id/327007-par-finansu-lidzeklu-pieskirsanu-no-valsts-budzeta-programmas-lidzekli-neparedzetiem-gadijumiem" TargetMode="External"/><Relationship Id="rId33" Type="http://schemas.openxmlformats.org/officeDocument/2006/relationships/hyperlink" Target="https://likumi.lv/ta/id/314856-par-finansu-lidzeklu-pieskirsanu-no-valsts-budzeta-programmas-lidzekli-neparedzetiem-gadijumiem" TargetMode="External"/><Relationship Id="rId129" Type="http://schemas.openxmlformats.org/officeDocument/2006/relationships/hyperlink" Target="https://likumi.lv/ta/id/315560-noteikumi-par-garantijam-saimnieciskas-darbibas-veicejiem-konkuretspejas-uzlabosanai" TargetMode="External"/><Relationship Id="rId280" Type="http://schemas.openxmlformats.org/officeDocument/2006/relationships/hyperlink" Target="https://likumi.lv/ta/id/314587-par-akciju-sabiedribas-air-baltic-corporation-pamatkapitala-palielinasanu" TargetMode="External"/><Relationship Id="rId336" Type="http://schemas.openxmlformats.org/officeDocument/2006/relationships/hyperlink" Target="https://tapportals.mk.gov.lv/structuralizer/data/nodes/a56b2b25-048b-40fc-b546-5617559d18d6/preview" TargetMode="External"/><Relationship Id="rId75" Type="http://schemas.openxmlformats.org/officeDocument/2006/relationships/hyperlink" Target="https://likumi.lv/ta/id/320018-par-finansu-lidzeklu-pieskirsanu-no-valsts-budzeta-programmas-lidzekli-neparedzetiem-gadijumiem" TargetMode="External"/><Relationship Id="rId140" Type="http://schemas.openxmlformats.org/officeDocument/2006/relationships/hyperlink" Target="http://tap.mk.gov.lv/lv/mk/tap/?pid=40488130&amp;mode=mk&amp;date=2020-06-02" TargetMode="External"/><Relationship Id="rId182" Type="http://schemas.openxmlformats.org/officeDocument/2006/relationships/hyperlink" Target="https://likumi.lv/ta/id/323803-par-finansu-lidzeklu-pieskirsanu-no-valsts-budzeta-programmas-lidzekli-neparedzetiem-gadijumiem" TargetMode="External"/><Relationship Id="rId378" Type="http://schemas.openxmlformats.org/officeDocument/2006/relationships/hyperlink" Target="https://likumi.lv/ta/id/331673-par-finansu-lidzeklu-pieskirsanu-no-valsts-budzeta-programmaslidzekli-neparedzetiem-gadijumiem" TargetMode="External"/><Relationship Id="rId403" Type="http://schemas.openxmlformats.org/officeDocument/2006/relationships/hyperlink" Target="https://likumi.lv/ta/id/338252-par-finansu-lidzeklu-pieskirsanu-no-valsts-budzeta-programmas-lidzekli-neparedzetiem-gadijumiem" TargetMode="External"/><Relationship Id="rId6" Type="http://schemas.openxmlformats.org/officeDocument/2006/relationships/hyperlink" Target="https://likumi.lv/ta/id/313341-par-iekartu-iegadi-un-davinajuma-pienemsanu-attalinata-macibu-procesa-nodrosinasanai-arkartejas-situacijas-laika" TargetMode="External"/><Relationship Id="rId238" Type="http://schemas.openxmlformats.org/officeDocument/2006/relationships/hyperlink" Target="http://tap.mk.gov.lv/lv/mk/tap/?pid=40505841&amp;mode=mk&amp;date=2021-08-17" TargetMode="External"/><Relationship Id="rId291" Type="http://schemas.openxmlformats.org/officeDocument/2006/relationships/hyperlink" Target="https://likumi.lv/ta/id/327761-par-finansu-lidzeklu-pieskirsanu-no-valsts-budzeta-programmas-lidzekli-neparedzetiem-gadijumiem" TargetMode="External"/><Relationship Id="rId305" Type="http://schemas.openxmlformats.org/officeDocument/2006/relationships/hyperlink" Target="https://likumi.lv/ta/id/326215-par-finansu-lidzeklu-pieskirsanu-no-valsts-budzeta-programmas-lidzekli-neparedzetiem-gadijumiem" TargetMode="External"/><Relationship Id="rId347" Type="http://schemas.openxmlformats.org/officeDocument/2006/relationships/hyperlink" Target="https://tapportals.mk.gov.lv/structuralizer/data/nodes/450f5105-7692-4330-82b7-6e6a0f24294e/preview" TargetMode="External"/><Relationship Id="rId44" Type="http://schemas.openxmlformats.org/officeDocument/2006/relationships/hyperlink" Target="http://likumi.lv/ta/id/316611-par-finansu-lidzeklu-pieskirsanu-no-valsts-budzeta-programmas-lidzekli-neparedzetiem-gadijumiem" TargetMode="External"/><Relationship Id="rId86" Type="http://schemas.openxmlformats.org/officeDocument/2006/relationships/hyperlink" Target="https://likumi.lv/ta/id/314297-par-finansu-lidzeklu-pieskirsanu-no-valsts-budzeta-programmas-lidzekli-neparedzetiem-gadijumiem" TargetMode="External"/><Relationship Id="rId151" Type="http://schemas.openxmlformats.org/officeDocument/2006/relationships/hyperlink" Target="https://likumi.lv/ta/id/322356" TargetMode="External"/><Relationship Id="rId389" Type="http://schemas.openxmlformats.org/officeDocument/2006/relationships/hyperlink" Target="https://likumi.lv/ta/id/334045-par-finansu-lidzeklu-pieskirsanu-no-valsts-budzeta-programmas-lidzekli-neparedzetiem-gadijumiem" TargetMode="External"/><Relationship Id="rId193" Type="http://schemas.openxmlformats.org/officeDocument/2006/relationships/hyperlink" Target="http://tap.mk.gov.lv/mk/mksedes/saraksts/protokols/?protokols=2020-12-01" TargetMode="External"/><Relationship Id="rId207" Type="http://schemas.openxmlformats.org/officeDocument/2006/relationships/hyperlink" Target="https://likumi.lv/ta/id/324706-par-finansu-lidzeklu-pieskirsanu-no-valsts-budzeta-programmas-lidzekli-neparedzetiem-gadijumiem" TargetMode="External"/><Relationship Id="rId249" Type="http://schemas.openxmlformats.org/officeDocument/2006/relationships/hyperlink" Target="https://likumi.lv/ta/id/325315-par-finansu-lidzeklu-pieskirsanu-no-valsts-budzeta-programmas-lidzekli-neparedzetiem-gadijumiem" TargetMode="External"/><Relationship Id="rId13" Type="http://schemas.openxmlformats.org/officeDocument/2006/relationships/hyperlink" Target="https://likumi.lv/ta/id/313719-grozijumi-ministru-kabineta-2020-gada-26-marta-noteikumos-nr-165-noteikumi-par-covid-19-izraisitas-krizes-skartiem-darba-deveji..." TargetMode="External"/><Relationship Id="rId109" Type="http://schemas.openxmlformats.org/officeDocument/2006/relationships/hyperlink" Target="http://tap.mk.gov.lv/lv/mk/tap/?pid=40488130&amp;mode=mk&amp;date=2020-06-02" TargetMode="External"/><Relationship Id="rId260" Type="http://schemas.openxmlformats.org/officeDocument/2006/relationships/hyperlink" Target="https://tapportals.mk.gov.lv/structuralizer/data/nodes/bbfa6f6c-e8d2-460c-95c5-b228928846d2/preview" TargetMode="External"/><Relationship Id="rId316" Type="http://schemas.openxmlformats.org/officeDocument/2006/relationships/hyperlink" Target="https://likumi.lv/ta/id/327899-noteikumi-par-atbalstu-covid-19-krizes-skartajiem-tirdzniecibas-un-sporta-centriem-un-kulturas-atputas-un-izklaides-vietam" TargetMode="External"/><Relationship Id="rId55" Type="http://schemas.openxmlformats.org/officeDocument/2006/relationships/hyperlink" Target="http://likumi.lv/ta/id/314567-grozijumi-likuma-par-valsts-apdraudejuma-un-ta-seku-noversanas-un-parvaresanas-pasakumiem-sakara-ar-covid-19-izplatibu-" TargetMode="External"/><Relationship Id="rId97" Type="http://schemas.openxmlformats.org/officeDocument/2006/relationships/hyperlink" Target="https://likumi.lv/ta/id/316999-par-finansu-lidzeklu-pieskirsanu-no-valsts-budzeta-programmas-lidzekli-neparedzetiem-gadijumiem" TargetMode="External"/><Relationship Id="rId120" Type="http://schemas.openxmlformats.org/officeDocument/2006/relationships/hyperlink" Target="https://likumi.lv/ta/id/320833-par-finansu-lidzeklu-pieskirsanu-no-valsts-budzeta-programmas-lidzekli-neparedzetiem-gadijumiem" TargetMode="External"/><Relationship Id="rId358" Type="http://schemas.openxmlformats.org/officeDocument/2006/relationships/hyperlink" Target="https://likumi.lv/ta/id/331210-par-finansu-lidzeklu-pieskirsanu-no-valsts-budzeta-programmas-lidzekli-neparedzetiem-gadijumiem" TargetMode="External"/><Relationship Id="rId162" Type="http://schemas.openxmlformats.org/officeDocument/2006/relationships/hyperlink" Target="https://m.likumi.lv/ta/id/315847-par-finansu-lidzeklu-pieskirsanu-no-valsts-budzeta-programmas-lidzekli-neparedzetiem-gadijumiem" TargetMode="External"/><Relationship Id="rId218" Type="http://schemas.openxmlformats.org/officeDocument/2006/relationships/hyperlink" Target="https://likumi.lv/ta/id/320979-par-finansu-lidzeklu-pieskirsanu-no-valsts-budzeta-programmas-lidzekli-neparedzetiem-gadijumiem" TargetMode="External"/><Relationship Id="rId271" Type="http://schemas.openxmlformats.org/officeDocument/2006/relationships/hyperlink" Target="https://likumi.lv/ta/id/322355-par-finansu-lidzeklu-pieskirsanu-no-valsts-budzeta-programmas-lidzekli-neparedzetiem-gadijumiem" TargetMode="External"/><Relationship Id="rId24" Type="http://schemas.openxmlformats.org/officeDocument/2006/relationships/hyperlink" Target="http://tap.mk.gov.lv/doc/2020_05/LMnot_290420_Aizbildni_groz.796.docx" TargetMode="External"/><Relationship Id="rId66" Type="http://schemas.openxmlformats.org/officeDocument/2006/relationships/hyperlink" Target="https://likumi.lv/ta/id/320205-par-finansu-lidzeklu-pieskirsanu-no-valsts-budzeta-programmas-lidzekli-neparedzetiem-gadijumiem" TargetMode="External"/><Relationship Id="rId131" Type="http://schemas.openxmlformats.org/officeDocument/2006/relationships/hyperlink" Target="https://likumi.lv/ta/id/321140-par-apropriacijas-palielinasanu-veselibas-ministrijai" TargetMode="External"/><Relationship Id="rId327" Type="http://schemas.openxmlformats.org/officeDocument/2006/relationships/hyperlink" Target="https://likumi.lv/ta/id/326819-par-finansu-lidzeklu-pieskirsanu-no-valsts-budzeta-programmas-lidzekli-neparedzetiem-gadijumiem" TargetMode="External"/><Relationship Id="rId369" Type="http://schemas.openxmlformats.org/officeDocument/2006/relationships/hyperlink" Target="https://likumi.lv/ta/id/329513-par-finansu-lidzeklu-pieskirsanu-no-valsts-budzeta-programmas-lidzekli-neparedzetiem-gadijumiem" TargetMode="External"/><Relationship Id="rId173" Type="http://schemas.openxmlformats.org/officeDocument/2006/relationships/hyperlink" Target="https://likumi.lv/ta/id/323191-par-finansu-lidzeklu-pieskirsanu-no-valsts-budzeta-programmas-lidzekli-neparedzetiem-gadijumiem" TargetMode="External"/><Relationship Id="rId229" Type="http://schemas.openxmlformats.org/officeDocument/2006/relationships/hyperlink" Target="https://likumi.lv/ta/id/324414-par-finansu-lidzeklu-pieskirsanu-no-valsts-budzeta-programmas-lidzekli-neparedzetiem-gadijumiem" TargetMode="External"/><Relationship Id="rId380" Type="http://schemas.openxmlformats.org/officeDocument/2006/relationships/hyperlink" Target="https://m.likumi.lv/doc.php?id=314350" TargetMode="External"/><Relationship Id="rId240" Type="http://schemas.openxmlformats.org/officeDocument/2006/relationships/hyperlink" Target="http://tap.mk.gov.lv/lv/mk/tap/?pid=40507007&amp;mode=mk&amp;date=2021-09-07" TargetMode="External"/><Relationship Id="rId35" Type="http://schemas.openxmlformats.org/officeDocument/2006/relationships/hyperlink" Target="http://tap.mk.gov.lv/lv/mk/tap/?pid=40488130&amp;mode=mk&amp;date=2020-06-02" TargetMode="External"/><Relationship Id="rId77" Type="http://schemas.openxmlformats.org/officeDocument/2006/relationships/hyperlink" Target="https://likumi.lv/ta/id/315287-covid-19-infekcijas-izplatibas-seku-parvaresanas-likums" TargetMode="External"/><Relationship Id="rId100" Type="http://schemas.openxmlformats.org/officeDocument/2006/relationships/hyperlink" Target="http://tap.mk.gov.lv/lv/mk/tap/?pid=40488130&amp;mode=mk&amp;date=2020-06-02" TargetMode="External"/><Relationship Id="rId282" Type="http://schemas.openxmlformats.org/officeDocument/2006/relationships/hyperlink" Target="https://likumi.lv/ta/id/324008-par-finansu-lidzeklu-pieskirsanu-no-valsts-budzeta-programmas-lidzekli-neparedzetiem-gadijumiem" TargetMode="External"/><Relationship Id="rId338" Type="http://schemas.openxmlformats.org/officeDocument/2006/relationships/hyperlink" Target="https://likumi.lv/ta/id/329597-par-finansu-lidzeklu-pieskirsanu-no-valsts-budzeta-programmas-lidzekli-neparedzetiem-gadijumiem" TargetMode="External"/><Relationship Id="rId8" Type="http://schemas.openxmlformats.org/officeDocument/2006/relationships/hyperlink" Target="https://likumi.lv/ta/id/313818-par-finansu-lidzeklu-pieskirsanu-no-valsts-budzeta-programmas-lidzekli-neparedzetiem-gadijumiem" TargetMode="External"/><Relationship Id="rId142" Type="http://schemas.openxmlformats.org/officeDocument/2006/relationships/hyperlink" Target="https://likumi.lv/ta/id/321242-par-finansu-lidzeklu-pieskirsanu-no-valsts-budzeta-programmas-lidzekli-neparedzetiem-gadijumiem" TargetMode="External"/><Relationship Id="rId184" Type="http://schemas.openxmlformats.org/officeDocument/2006/relationships/hyperlink" Target="http://tap.mk.gov.lv/lv/mk/tap/?pid=40503596&amp;mode=mk&amp;date=2021-06-15" TargetMode="External"/><Relationship Id="rId391" Type="http://schemas.openxmlformats.org/officeDocument/2006/relationships/hyperlink" Target="https://www.vestnesis.lv/op/2022/130.23" TargetMode="External"/><Relationship Id="rId405" Type="http://schemas.openxmlformats.org/officeDocument/2006/relationships/printerSettings" Target="../printerSettings/printerSettings6.bin"/><Relationship Id="rId251" Type="http://schemas.openxmlformats.org/officeDocument/2006/relationships/hyperlink" Target="https://likumi.lv/ta/id/325322-par-finansu-lidzeklu-pieskirsanu-no-valsts-budzeta-programmas-lidzekli-neparedzetiem-gadijumiem" TargetMode="External"/><Relationship Id="rId46" Type="http://schemas.openxmlformats.org/officeDocument/2006/relationships/hyperlink" Target="https://likumi.lv/ta/id/316816-par-finansu-lidzeklu-pieskirsanu-no-valsts-budzeta-programmas-lidzekli-neparedzetiem-gadijumiem" TargetMode="External"/><Relationship Id="rId293" Type="http://schemas.openxmlformats.org/officeDocument/2006/relationships/hyperlink" Target="https://likumi.lv/ta/id/328040-par-apropriacijas-palielinasanu-veselibas-ministrijai" TargetMode="External"/><Relationship Id="rId307" Type="http://schemas.openxmlformats.org/officeDocument/2006/relationships/hyperlink" Target="https://likumi.lv/ta/id/328039-par-finansu-lidzeklu-pieskirsanu-no-valsts-budzeta-programmas-lidzekli-neparedzetiem-gadijumiem" TargetMode="External"/><Relationship Id="rId349" Type="http://schemas.openxmlformats.org/officeDocument/2006/relationships/hyperlink" Target="https://www.vestnesis.lv/op/2022/39.26" TargetMode="External"/><Relationship Id="rId88" Type="http://schemas.openxmlformats.org/officeDocument/2006/relationships/hyperlink" Target="https://likumi.lv/ta/id/321028-par-finansu-lidzeklu-pieskirsanu-no-valsts-budzeta-programmas-lidzekli-neparedzetiem-gadijumiem" TargetMode="External"/><Relationship Id="rId111" Type="http://schemas.openxmlformats.org/officeDocument/2006/relationships/hyperlink" Target="https://likumi.lv/ta/id/317957-par-finansu-lidzeklu-pieskirsanu-no-valsts-budzeta-programmas-lidzekli-neparedzetiem-gadijumiem" TargetMode="External"/><Relationship Id="rId153" Type="http://schemas.openxmlformats.org/officeDocument/2006/relationships/hyperlink" Target="http://tap.mk.gov.lv/lv/mk/tap/?pid=40499551&amp;mode=mk&amp;date=2021-03-18" TargetMode="External"/><Relationship Id="rId195" Type="http://schemas.openxmlformats.org/officeDocument/2006/relationships/hyperlink" Target="https://likumi.lv/ta/id/318518-par-finansu-lidzeklu-pieskirsanu-no-valsts-budzeta-programmas-lidzekli-neparedzetiem-gadijumiem" TargetMode="External"/><Relationship Id="rId209" Type="http://schemas.openxmlformats.org/officeDocument/2006/relationships/hyperlink" Target="https://likumi.lv/ta/id/324691-par-finansu-lidzeklu-pieskirsanu-no-valsts-budzeta-programmas-lidzekli-neparedzetiem-gadijumiem" TargetMode="External"/><Relationship Id="rId360" Type="http://schemas.openxmlformats.org/officeDocument/2006/relationships/hyperlink" Target="https://tapportals.mk.gov.lv/structuralizer/data/nodes/b9d30727-0210-474b-92ff-031949118671/preview" TargetMode="External"/><Relationship Id="rId220" Type="http://schemas.openxmlformats.org/officeDocument/2006/relationships/hyperlink" Target="https://likumi.lv/ta/id/324009-par-finansu-lidzeklu-pieskirsanu-no-valsts-budzeta-programmas-lidzekli-neparedzetiem-gadijumiem" TargetMode="External"/><Relationship Id="rId15" Type="http://schemas.openxmlformats.org/officeDocument/2006/relationships/hyperlink" Target="https://likumi.lv/ta/id/313818-par-finansu-lidzeklu-pieskirsanu-no-valsts-budzeta-programmas-lidzekli-neparedzetiem-gadijumiem" TargetMode="External"/><Relationship Id="rId57" Type="http://schemas.openxmlformats.org/officeDocument/2006/relationships/hyperlink" Target="http://likumi.lv/ta/id/316611-par-finansu-lidzeklu-pieskirsanu-no-valsts-budzeta-programmas-lidzekli-neparedzetiem-gadijumiem" TargetMode="External"/><Relationship Id="rId262" Type="http://schemas.openxmlformats.org/officeDocument/2006/relationships/hyperlink" Target="http://tap.mk.gov.lv/lv/mk/tap/?pid=40501127&amp;mode=mk&amp;date=2021-04-20" TargetMode="External"/><Relationship Id="rId318" Type="http://schemas.openxmlformats.org/officeDocument/2006/relationships/hyperlink" Target="https://likumi.lv/ta/id/328030-par-finansu-lidzeklu-pieskirsanu-no-valsts-budzeta-programmas-lidzekli-neparedzetiem-gadijumiem" TargetMode="External"/><Relationship Id="rId99" Type="http://schemas.openxmlformats.org/officeDocument/2006/relationships/hyperlink" Target="https://likumi.lv/ta/id/317373-par-finansu-lidzeklu-pieskirsanu-no-valsts-budzeta-programmas-lidzekli-neparedzetiem-gadijumiem" TargetMode="External"/><Relationship Id="rId122" Type="http://schemas.openxmlformats.org/officeDocument/2006/relationships/hyperlink" Target="https://likumi.lv/ta/id/320958-par-finansu-lidzeklu-pieskirsanu-no-valsts-budzeta-programmas-lidzekli-neparedzetiem-gadijumiem" TargetMode="External"/><Relationship Id="rId164" Type="http://schemas.openxmlformats.org/officeDocument/2006/relationships/hyperlink" Target="https://likumi.lv/ta/id/317374-par-apropriacijas-palielinasanu-veselibas-ministrijai" TargetMode="External"/><Relationship Id="rId371" Type="http://schemas.openxmlformats.org/officeDocument/2006/relationships/hyperlink" Target="https://likumi.lv/ta/id/331651-par-finansu-lidzeklu-pieskirsanu-no-valsts-budzeta-programmas-lidzekli-neparedzetiem-gadijumiem" TargetMode="External"/><Relationship Id="rId26" Type="http://schemas.openxmlformats.org/officeDocument/2006/relationships/hyperlink" Target="http://tap.mk.gov.lv/lv/mk/tap/?pid=40487446&amp;mode=mk&amp;date=2020-05-19" TargetMode="External"/><Relationship Id="rId231" Type="http://schemas.openxmlformats.org/officeDocument/2006/relationships/hyperlink" Target="https://likumi.lv/ta/id/325317-par-finansu-lidzeklu-pieskirsanu-no-valsts-budzeta-programmas-lidzekli-neparedzetiem-gadijumiem" TargetMode="External"/><Relationship Id="rId273"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329" Type="http://schemas.openxmlformats.org/officeDocument/2006/relationships/hyperlink" Target="https://likumi.lv/ta/id/329448-par-finansu-lidzeklu-pieskirsanu-no-valsts-budzeta-programmas-lidzekli-neparedzetiem-gadijumiem" TargetMode="External"/><Relationship Id="rId68" Type="http://schemas.openxmlformats.org/officeDocument/2006/relationships/hyperlink" Target="https://likumi.lv/ta/id/319785-grozijumi-ministru-kabineta-2018-gada-28-augusta-noteikumos-nr-555-veselibas-aprupes-pakalpojumu-organizesanas-un-samaksas-kart..." TargetMode="External"/><Relationship Id="rId133" Type="http://schemas.openxmlformats.org/officeDocument/2006/relationships/hyperlink" Target="https://m.likumi.lv/ta/id/321377-par-finansu-lidzeklu-pieskirsanu-no-valsts-budzeta-programmas-lidzekli-neparedzetiem-gadijumiem" TargetMode="External"/><Relationship Id="rId175" Type="http://schemas.openxmlformats.org/officeDocument/2006/relationships/hyperlink" Target="https://likumi.lv/ta/id/323306-par-finansu-lidzeklu-pieskirsanu-no-valsts-budzeta-programmas-lidzekli-neparedzetiem-gadijumiem" TargetMode="External"/><Relationship Id="rId340" Type="http://schemas.openxmlformats.org/officeDocument/2006/relationships/hyperlink" Target="https://likumi.lv/ta/id/329607-par-finansu-lidzeklu-pieskirsanu-no-valsts-budzeta-programmas-lidzekli-neparedzetiem-gadijumiem" TargetMode="External"/><Relationship Id="rId200" Type="http://schemas.openxmlformats.org/officeDocument/2006/relationships/hyperlink" Target="https://likumi.lv/ta/id/314475-par-finansu-lidzeklu-pieskirsanu-no-valsts-budzeta-programmas-lidzekli-neparedzetiem-gadijumiem" TargetMode="External"/><Relationship Id="rId382" Type="http://schemas.openxmlformats.org/officeDocument/2006/relationships/hyperlink" Target="https://likumi.lv/ta/id/331944-par-finansu-lidzeklu-pieskirsanu-no-valsts-budzeta-programmas-lidzekli-neparedzetiem-gadijumiem" TargetMode="External"/><Relationship Id="rId242" Type="http://schemas.openxmlformats.org/officeDocument/2006/relationships/hyperlink" Target="https://likumi.lv/ta/id/325670-par-apropriacijas-palielinasanu-veselibas-ministrijai" TargetMode="External"/><Relationship Id="rId284" Type="http://schemas.openxmlformats.org/officeDocument/2006/relationships/hyperlink" Target="https://likumi.lv/ta/id/327539-par-apropriacijas-pardali" TargetMode="External"/><Relationship Id="rId37" Type="http://schemas.openxmlformats.org/officeDocument/2006/relationships/hyperlink" Target="http://tap.mk.gov.lv/lv/mk/tap/?pid=40489440&amp;mode=mk&amp;date=2020-07-14" TargetMode="External"/><Relationship Id="rId79"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02" Type="http://schemas.openxmlformats.org/officeDocument/2006/relationships/hyperlink" Target="https://likumi.lv/ta/id/320367-par-finansu-lidzeklu-pieskirsanu-no-valsts-budzeta-programmas-lidzekli-neparedzetiem-gadijumiem" TargetMode="External"/><Relationship Id="rId144" Type="http://schemas.openxmlformats.org/officeDocument/2006/relationships/hyperlink" Target="https://likumi.lv/ta/id/321800-par-finansu-lidzeklu-pieskirsanu-no-valsts-budzeta-programmas-lidzekli-neparedzetiem-gadijumiem" TargetMode="External"/><Relationship Id="rId90" Type="http://schemas.openxmlformats.org/officeDocument/2006/relationships/hyperlink" Target="http://tap.mk.gov.lv/lv/mk/tap/?pid=40497039&amp;mode=mk&amp;date=2021-01-14" TargetMode="External"/><Relationship Id="rId186" Type="http://schemas.openxmlformats.org/officeDocument/2006/relationships/hyperlink" Target="https://m.likumi.lv/ta/id/323564-par-finansu-lidzeklu-pieskirsanu-no-valsts-budzeta-programmas-lidzekli-neparedzetiem-gadijumiem" TargetMode="External"/><Relationship Id="rId351" Type="http://schemas.openxmlformats.org/officeDocument/2006/relationships/hyperlink" Target="https://tapportals.mk.gov.lv/structuralizer/data/nodes/5fde73da-d851-4c13-801d-8a4bedcce5f5/preview" TargetMode="External"/><Relationship Id="rId393" Type="http://schemas.openxmlformats.org/officeDocument/2006/relationships/hyperlink" Target="https://tapportals.mk.gov.lv/structuralizer/data/nodes/d8aac442-7340-417d-a7a5-f5d1b58e6533/preview" TargetMode="External"/><Relationship Id="rId407"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17" Type="http://schemas.openxmlformats.org/officeDocument/2006/relationships/hyperlink" Target="https://likumi.lv/ta/id/319133-par-finansu-lidzeklu-pieskirsanu-no-valsts-budzeta-programmas-lidzekli-neparedzetiem-gadijumiem" TargetMode="External"/><Relationship Id="rId21" Type="http://schemas.openxmlformats.org/officeDocument/2006/relationships/hyperlink" Target="https://m.likumi.lv/doc.php?id=314350" TargetMode="External"/><Relationship Id="rId42" Type="http://schemas.openxmlformats.org/officeDocument/2006/relationships/hyperlink" Target="https://likumi.lv/ta/id/314853-noteikumi-par-valsts-atbalstu-istermina-aizdevumiem-lauksaimnieciba-covid-19-izplatibas-negativas-ietekmes-mazinasanai" TargetMode="External"/><Relationship Id="rId63" Type="http://schemas.openxmlformats.org/officeDocument/2006/relationships/hyperlink" Target="https://likumi.lv/ta/id/313372-par-finansu-lidzeklu-pieskirsanu-no-valsts-budzeta-programmas-lidzekli-neparedzetiem-gadijumiem" TargetMode="External"/><Relationship Id="rId84" Type="http://schemas.openxmlformats.org/officeDocument/2006/relationships/hyperlink" Target="http://tap.mk.gov.lv/lv/mk/tap/?pid=40499326&amp;mode=mk&amp;date=2021-03-11" TargetMode="External"/><Relationship Id="rId138" Type="http://schemas.openxmlformats.org/officeDocument/2006/relationships/hyperlink" Target="https://likumi.lv/ta/id/320379" TargetMode="External"/><Relationship Id="rId159" Type="http://schemas.openxmlformats.org/officeDocument/2006/relationships/hyperlink" Target="http://tap.mk.gov.lv/lv/mk/tap/?pid=40498320&amp;mode=mk&amp;date=2021-02-15" TargetMode="External"/><Relationship Id="rId170" Type="http://schemas.openxmlformats.org/officeDocument/2006/relationships/hyperlink" Target="http://tap.mk.gov.lv/lv/mk/tap/?pid=40488130&amp;mode=mk&amp;date=2020-06-02" TargetMode="External"/><Relationship Id="rId191" Type="http://schemas.openxmlformats.org/officeDocument/2006/relationships/hyperlink" Target="http://tap.mk.gov.lv/lv/mk/tap/?pid=40501127&amp;mode=mk&amp;date=2021-04-20" TargetMode="External"/><Relationship Id="rId107" Type="http://schemas.openxmlformats.org/officeDocument/2006/relationships/hyperlink" Target="http://tap.mk.gov.lv/lv/mk/tap/?pid=40491504&amp;mode=mk&amp;date=2020-09-02" TargetMode="External"/><Relationship Id="rId11" Type="http://schemas.openxmlformats.org/officeDocument/2006/relationships/hyperlink" Target="https://likumi.lv/ta/id/313514-noteikumi-par-covid-19-izraisitas-krizes-skartiem-darba-devejiem-kuri-kvalificejas-dikstaves-pabalstam-un-nokaveto-nodoklu" TargetMode="External"/><Relationship Id="rId32" Type="http://schemas.openxmlformats.org/officeDocument/2006/relationships/hyperlink" Target="http://tap.mk.gov.lv/lv/mk/tap/?pid=40488130&amp;mode=mk&amp;date=2020-06-02" TargetMode="External"/><Relationship Id="rId53" Type="http://schemas.openxmlformats.org/officeDocument/2006/relationships/hyperlink" Target="http://likumi.lv/ta/id/316390-par-finansu-lidzeklu-pieskirsanu-no-valsts-budzeta-programmas-lidzekli-neparedzetiem-gadijumiem" TargetMode="External"/><Relationship Id="rId74" Type="http://schemas.openxmlformats.org/officeDocument/2006/relationships/hyperlink" Target="https://likumi.lv/ta/id/314036-par-finansu-lidzeklu-pieskirsanu-no-valsts-budzeta-programmas-lidzekli-neparedzetiem-gadijumiem" TargetMode="External"/><Relationship Id="rId128" Type="http://schemas.openxmlformats.org/officeDocument/2006/relationships/hyperlink" Target="https://likumi.lv/ta/id/319134-par-finansu-lidzeklu-pieskirsanu-no-valsts-budzeta-programmas-lidzekli-neparedzetiem-gadijumiem" TargetMode="External"/><Relationship Id="rId149" Type="http://schemas.openxmlformats.org/officeDocument/2006/relationships/hyperlink" Target="https://likumi.lv/ta/id/320589-par-finansu-lidzeklu-pieskirsanu-no-valsts-budzeta-programmas-lidzekli-neparedzetiem-gadijumiem" TargetMode="External"/><Relationship Id="rId5" Type="http://schemas.openxmlformats.org/officeDocument/2006/relationships/hyperlink" Target="https://likumi.lv/ta/id/312968-par-apropriacijas-palielinasanu-veselibas-ministrijai" TargetMode="External"/><Relationship Id="rId95" Type="http://schemas.openxmlformats.org/officeDocument/2006/relationships/hyperlink" Target="https://likumi.lv/ta/id/320017-par-apropriacijas-palielinasanu-veselibas-ministrijai" TargetMode="External"/><Relationship Id="rId160" Type="http://schemas.openxmlformats.org/officeDocument/2006/relationships/hyperlink" Target="https://likumi.lv/ta/id/321140-par-apropriacijas-palielinasanu-veselibas-ministrijai" TargetMode="External"/><Relationship Id="rId181" Type="http://schemas.openxmlformats.org/officeDocument/2006/relationships/hyperlink" Target="http://tap.mk.gov.lv/lv/mk/tap/?pid=40501140&amp;mode=mk&amp;date=2021-04-27" TargetMode="External"/><Relationship Id="rId22" Type="http://schemas.openxmlformats.org/officeDocument/2006/relationships/hyperlink" Target="https://likumi.lv/ta/id/313432" TargetMode="External"/><Relationship Id="rId43" Type="http://schemas.openxmlformats.org/officeDocument/2006/relationships/hyperlink" Target="http://tap.mk.gov.lv/lv/mk/tap/?pid=40488130&amp;mode=mk&amp;date=2020-06-02" TargetMode="External"/><Relationship Id="rId64" Type="http://schemas.openxmlformats.org/officeDocument/2006/relationships/hyperlink" Target="https://m.likumi.lv/ta/id/320209-par-finansu-lidzeklu-pieskirsanu-no-valsts-budzeta-programmas-lidzekli-neparedzetiem-gadijumiem" TargetMode="External"/><Relationship Id="rId118" Type="http://schemas.openxmlformats.org/officeDocument/2006/relationships/hyperlink" Target="https://likumi.lv/ta/id/320274-grozijumi-ministru-kabineta-2020-gada-24-novembra-noteikumos-nr-709-noteikumi-par-atbalstu-par-dikstavi-nodoklu-maksatajiem-to-..." TargetMode="External"/><Relationship Id="rId139" Type="http://schemas.openxmlformats.org/officeDocument/2006/relationships/hyperlink" Target="https://likumi.lv/ta/id/321245-par-finansu-lidzeklu-pieskirsanu-no-valsts-budzeta-programmas-lidzekli-neparedzetiem-gadijumiem" TargetMode="External"/><Relationship Id="rId85" Type="http://schemas.openxmlformats.org/officeDocument/2006/relationships/hyperlink" Target="https://likumi.lv/ta/id/319785-grozijumi-ministru-kabineta-2018-gada-28-augusta-noteikumos-nr-555-veselibas-aprupes-pakalpojumu-organizesanas-un-samaksas-kart..." TargetMode="External"/><Relationship Id="rId150" Type="http://schemas.openxmlformats.org/officeDocument/2006/relationships/hyperlink" Target="https://likumi.lv/ta/id/320832-par-finansu-lidzeklu-pieskirsanu-no-valsts-budzeta-programmas-lidzekli-neparedzetiem-gadijumiem" TargetMode="External"/><Relationship Id="rId171" Type="http://schemas.openxmlformats.org/officeDocument/2006/relationships/hyperlink" Target="https://likumi.lv/ta/id/321223-par-finansu-lidzeklu-pieskirsanu-no-valsts-budzeta-programmas-lidzekli-neparedzetiem-gadijumiem" TargetMode="External"/><Relationship Id="rId192" Type="http://schemas.openxmlformats.org/officeDocument/2006/relationships/hyperlink" Target="http://tap.mk.gov.lv/lv/mk/tap/?pid=40501297&amp;mode=mk&amp;date=2021-04-27" TargetMode="External"/><Relationship Id="rId12" Type="http://schemas.openxmlformats.org/officeDocument/2006/relationships/hyperlink" Target="https://likumi.lv/ta/id/313680-noteikumi-par-dikstaves-pabalstu-pasnodarbinatam-personam-kuras-skarusi-covid-19-izplatiba" TargetMode="External"/><Relationship Id="rId33" Type="http://schemas.openxmlformats.org/officeDocument/2006/relationships/hyperlink" Target="http://tap.mk.gov.lv/lv/mk/tap/?pid=40486957&amp;mode=mk&amp;date=2020-04-30" TargetMode="External"/><Relationship Id="rId108" Type="http://schemas.openxmlformats.org/officeDocument/2006/relationships/hyperlink" Target="https://likumi.lv/ta/id/318112-par-finansu-lidzeklu-pieskirsanu-no-valsts-budzeta-programmas-lidzekli-neparedzetiem-gadijumiem" TargetMode="External"/><Relationship Id="rId129" Type="http://schemas.openxmlformats.org/officeDocument/2006/relationships/hyperlink" Target="https://likumi.lv/ta/id/320202-par-finansu-lidzeklu-pieskirsanu-no-valsts-budzeta-programmas-lidzekli-neparedzetiem-gadijumiem" TargetMode="External"/><Relationship Id="rId54" Type="http://schemas.openxmlformats.org/officeDocument/2006/relationships/hyperlink" Target="http://likumi.lv/ta/id/316608-par-finansu-lidzeklu-pieskirsanu-no-valsts-budzeta-programmas-lidzekli-neparedzetiem-gadijumiem" TargetMode="External"/><Relationship Id="rId75" Type="http://schemas.openxmlformats.org/officeDocument/2006/relationships/hyperlink" Target="http://tap.mk.gov.lv/lv/mk/tap/?pid=40491825&amp;mode=mk&amp;date=2020-09-15" TargetMode="External"/><Relationship Id="rId96" Type="http://schemas.openxmlformats.org/officeDocument/2006/relationships/hyperlink" Target="https://m.likumi.lv/ta/id/319135-par-apropriacijas-palielinasanu-kulturas-ministrijai" TargetMode="External"/><Relationship Id="rId140" Type="http://schemas.openxmlformats.org/officeDocument/2006/relationships/hyperlink" Target="http://tap.mk.gov.lv/mk/tap/?pid=40497330" TargetMode="External"/><Relationship Id="rId161" Type="http://schemas.openxmlformats.org/officeDocument/2006/relationships/hyperlink" Target="https://likumi.lv/ta/id/321242-par-finansu-lidzeklu-pieskirsanu-no-valsts-budzeta-programmas-lidzekli-neparedzetiem-gadijumiem" TargetMode="External"/><Relationship Id="rId182" Type="http://schemas.openxmlformats.org/officeDocument/2006/relationships/hyperlink" Target="http://tap.mk.gov.lv/lv/mk/tap/?pid=40501452&amp;mode=mk&amp;date=2021-04-29" TargetMode="External"/><Relationship Id="rId6" Type="http://schemas.openxmlformats.org/officeDocument/2006/relationships/hyperlink" Target="https://likumi.lv/ta/id/313341-par-iekartu-iegadi-un-davinajuma-pienemsanu-attalinata-macibu-procesa-nodrosinasanai-arkartejas-situacijas-laika" TargetMode="External"/><Relationship Id="rId23" Type="http://schemas.openxmlformats.org/officeDocument/2006/relationships/hyperlink" Target="https://likumi.lv/ta/id/314259-par-valsts-akciju-sabiedribas-starptautiska-lidosta-riga-pamatkapitala-palielinasanu" TargetMode="External"/><Relationship Id="rId119" Type="http://schemas.openxmlformats.org/officeDocument/2006/relationships/hyperlink" Target="https://likumi.lv/ta/id/320274-grozijumi-ministru-kabineta-2020-gada-24-novembra-noteikumos-nr-709-noteikumi-par-atbalstu-par-dikstavi-nodoklu-maksatajiem-to-..." TargetMode="External"/><Relationship Id="rId44" Type="http://schemas.openxmlformats.org/officeDocument/2006/relationships/hyperlink" Target="https://m.likumi.lv/ta/id/315585-par-finansu-lidzeklu-pieskirsanu-no-valsts-budzeta-programmas-lidzekli-neparedzetiem-gadijumiem" TargetMode="External"/><Relationship Id="rId65" Type="http://schemas.openxmlformats.org/officeDocument/2006/relationships/hyperlink" Target="https://likumi.lv/ta/id/313934-par-apropriacijas-palielinasanu-veselibas-ministrijai" TargetMode="External"/><Relationship Id="rId86" Type="http://schemas.openxmlformats.org/officeDocument/2006/relationships/hyperlink" Target="http://tap.mk.gov.lv/mk/tap/?pid=40491875" TargetMode="External"/><Relationship Id="rId130" Type="http://schemas.openxmlformats.org/officeDocument/2006/relationships/hyperlink" Target="https://likumi.lv/ta/id/315287-covid-19-infekcijas-izplatibas-seku-parvaresanas-likums" TargetMode="External"/><Relationship Id="rId151" Type="http://schemas.openxmlformats.org/officeDocument/2006/relationships/hyperlink" Target="http://tap.mk.gov.lv/lv/mk/tap/?pid=40488130&amp;mode=mk&amp;date=2020-06-02" TargetMode="External"/><Relationship Id="rId172" Type="http://schemas.openxmlformats.org/officeDocument/2006/relationships/hyperlink" Target="https://likumi.lv/ta/id/321559-par-finansu-lidzeklu-pieskirsanu-no-valsts-budzeta-programmas-lidzekli-neparedzetiem-gadijumiem" TargetMode="External"/><Relationship Id="rId193" Type="http://schemas.openxmlformats.org/officeDocument/2006/relationships/hyperlink" Target="http://tap.mk.gov.lv/lv/mk/tap/?pid=40501907&amp;mode=mk&amp;date=2021-05-18" TargetMode="External"/><Relationship Id="rId13" Type="http://schemas.openxmlformats.org/officeDocument/2006/relationships/hyperlink" Target="https://likumi.lv/ta/id/313719-grozijumi-ministru-kabineta-2020-gada-26-marta-noteikumos-nr-165-noteikumi-par-covid-19-izraisitas-krizes-skartiem-darba-deveji..." TargetMode="External"/><Relationship Id="rId109" Type="http://schemas.openxmlformats.org/officeDocument/2006/relationships/hyperlink" Target="https://likumi.lv/ta/id/319785-grozijumi-ministru-kabineta-2018-gada-28-augusta-noteikumos-nr-555-veselibas-aprupes-pakalpojumu-organizesanas-un-samaksas-kart..." TargetMode="External"/><Relationship Id="rId34" Type="http://schemas.openxmlformats.org/officeDocument/2006/relationships/hyperlink" Target="https://likumi.lv/ta/id/316129-noteikumi-par-kapitala-ieguldijumiem-komersantos-kuru-darbibu-ietekmejusi-covid-19-izplatiba" TargetMode="External"/><Relationship Id="rId55" Type="http://schemas.openxmlformats.org/officeDocument/2006/relationships/hyperlink" Target="http://likumi.lv/ta/id/316611-par-finansu-lidzeklu-pieskirsanu-no-valsts-budzeta-programmas-lidzekli-neparedzetiem-gadijumiem" TargetMode="External"/><Relationship Id="rId76" Type="http://schemas.openxmlformats.org/officeDocument/2006/relationships/hyperlink" Target="http://tap.mk.gov.lv/mk/mksedes/saraksts/darbakartiba/?sede=1171" TargetMode="External"/><Relationship Id="rId97" Type="http://schemas.openxmlformats.org/officeDocument/2006/relationships/hyperlink" Target="http://tap.mk.gov.lv/lv/mk/tap/?pid=40496774&amp;mode=mk&amp;date=2021-01-14" TargetMode="External"/><Relationship Id="rId120" Type="http://schemas.openxmlformats.org/officeDocument/2006/relationships/hyperlink" Target="https://likumi.lv/ta/id/317957-par-finansu-lidzeklu-pieskirsanu-no-valsts-budzeta-programmas-lidzekli-neparedzetiem-gadijumiem" TargetMode="External"/><Relationship Id="rId141" Type="http://schemas.openxmlformats.org/officeDocument/2006/relationships/hyperlink" Target="https://likumi.lv/ta/id/320438-par-finansu-lidzeklu-pieskirsanu-no-valsts-budzeta-programmas-lidzekli-neparedzetiem-gadijumiem" TargetMode="External"/><Relationship Id="rId7" Type="http://schemas.openxmlformats.org/officeDocument/2006/relationships/hyperlink" Target="http://tap.mk.gov.lv/mk/mksedes/saraksts/protokols/?protokols=2020-03-19" TargetMode="External"/><Relationship Id="rId71" Type="http://schemas.openxmlformats.org/officeDocument/2006/relationships/hyperlink" Target="http://tap.mk.gov.lv/lv/mk/tap/?pid=40489492&amp;mode=mk&amp;date=2020-07-14" TargetMode="External"/><Relationship Id="rId92" Type="http://schemas.openxmlformats.org/officeDocument/2006/relationships/hyperlink" Target="https://likumi.lv/ta/id/318133-par-finansu-lidzeklu-pieskirsanu-no-valsts-budzeta-programmas-lidzekli-neparedzetiem-gadijumiem" TargetMode="External"/><Relationship Id="rId162" Type="http://schemas.openxmlformats.org/officeDocument/2006/relationships/hyperlink" Target="https://m.likumi.lv/ta/id/321374-par-finansu-lidzeklu-pieskirsanu-no-valsts-budzeta-programmas-lidzekli-neparedzetiem-gadijumiem" TargetMode="External"/><Relationship Id="rId183" Type="http://schemas.openxmlformats.org/officeDocument/2006/relationships/hyperlink" Target="http://tap.mk.gov.lv/lv/mk/tap/?pid=40500239&amp;mode=mk&amp;date=2021-04-20"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s://likumi.lv/ta/id/314585-par-finansu-lidzeklu-pieskirsanu-no-valsts-budzeta-programmas-lidzekli-neparedzetiem-gadijumiem" TargetMode="External"/><Relationship Id="rId24" Type="http://schemas.openxmlformats.org/officeDocument/2006/relationships/hyperlink" Target="https://likumi.lv/ta/id/314477-par-finansu-lidzeklu-pieskirsanu-no-valsts-budzeta-programmas-lidzekli-neparedzetiem-gadijumiem" TargetMode="External"/><Relationship Id="rId40" Type="http://schemas.openxmlformats.org/officeDocument/2006/relationships/hyperlink" Target="https://likumi.lv/ta/id/314856-par-finansu-lidzeklu-pieskirsanu-no-valsts-budzeta-programmas-lidzekli-neparedzetiem-gadijumiem" TargetMode="External"/><Relationship Id="rId45" Type="http://schemas.openxmlformats.org/officeDocument/2006/relationships/hyperlink" Target="https://likumi.lv/ta/id/314587-par-akciju-sabiedribas-air-baltic-corporation-pamatkapitala-palielinasanu" TargetMode="External"/><Relationship Id="rId66" Type="http://schemas.openxmlformats.org/officeDocument/2006/relationships/hyperlink" Target="https://likumi.lv/ta/id/317726-par-finansu-lidzeklu-pieskirsanu-no-valsts-budzeta-programmas-lidzekli-neparedzetiem-gadijumiem" TargetMode="External"/><Relationship Id="rId87" Type="http://schemas.openxmlformats.org/officeDocument/2006/relationships/hyperlink" Target="https://likumi.lv/ta/id/318759-noteikumi-par-aizdevumiem-un-to-procentu-likmju-subsidijam-komersantiem-konkuretspejas-veicinasanai" TargetMode="External"/><Relationship Id="rId110" Type="http://schemas.openxmlformats.org/officeDocument/2006/relationships/hyperlink" Target="http://tap.mk.gov.lv/lv/mk/tap/?pid=40497820&amp;mode=mk&amp;date=2021-02-09" TargetMode="External"/><Relationship Id="rId115" Type="http://schemas.openxmlformats.org/officeDocument/2006/relationships/hyperlink" Target="http://tap.mk.gov.lv/lv/mk/tap/?pid=40497039&amp;mode=mk&amp;date=2021-01-14" TargetMode="External"/><Relationship Id="rId131" Type="http://schemas.openxmlformats.org/officeDocument/2006/relationships/hyperlink" Target="https://likumi.lv/ta/id/315287-covid-19-infekcijas-izplatibas-seku-parvaresanas-likums" TargetMode="External"/><Relationship Id="rId136" Type="http://schemas.openxmlformats.org/officeDocument/2006/relationships/hyperlink" Target="https://likumi.lv/ta/id/315287-covid-19-infekcijas-izplatibas-seku-parvaresanas-likums" TargetMode="External"/><Relationship Id="rId157" Type="http://schemas.openxmlformats.org/officeDocument/2006/relationships/hyperlink" Target="https://likumi.lv/ta/id/321204-par-finansu-lidzeklu-pieskirsanu-no-valsts-budzeta-programmas-lidzekli-neparedzetiem-gadijumiem" TargetMode="External"/><Relationship Id="rId178" Type="http://schemas.openxmlformats.org/officeDocument/2006/relationships/hyperlink" Target="http://tap.mk.gov.lv/lv/mk/tap/?pid=40499784&amp;mode=mk&amp;date=2021-03-18" TargetMode="External"/><Relationship Id="rId61" Type="http://schemas.openxmlformats.org/officeDocument/2006/relationships/hyperlink" Target="https://likumi.lv/ta/id/318052-par-finansu-lidzeklu-pieskirsanu-no-valsts-budzeta-programmas-lidzekli-neparedzetiem-gadijumiem" TargetMode="External"/><Relationship Id="rId82" Type="http://schemas.openxmlformats.org/officeDocument/2006/relationships/hyperlink" Target="https://likumi.lv/ta/id/320205-par-finansu-lidzeklu-pieskirsanu-no-valsts-budzeta-programmas-lidzekli-neparedzetiem-gadijumiem" TargetMode="External"/><Relationship Id="rId152" Type="http://schemas.openxmlformats.org/officeDocument/2006/relationships/hyperlink" Target="https://likumi.lv/ta/id/320464-par-finansu-lidzeklu-pieskirsanu-no-valsts-budzeta-programmas-lidzekli-neparedzetiem-gadijumiem" TargetMode="External"/><Relationship Id="rId173" Type="http://schemas.openxmlformats.org/officeDocument/2006/relationships/hyperlink" Target="https://likumi.lv/ta/id/320979-par-finansu-lidzeklu-pieskirsanu-no-valsts-budzeta-programmas-lidzekli-neparedzetiem-gadijumiem" TargetMode="External"/><Relationship Id="rId194" Type="http://schemas.openxmlformats.org/officeDocument/2006/relationships/hyperlink" Target="http://tap.mk.gov.lv/lv/mk/tap/?pid=40501806&amp;mode=mk&amp;date=2021-05-13" TargetMode="External"/><Relationship Id="rId19" Type="http://schemas.openxmlformats.org/officeDocument/2006/relationships/hyperlink" Target="https://likumi.lv/ta/id/314258-grozijumi-ministru-kabineta-2020-gada-31-marta-noteikumos-nr-179-noteikumi-par-dikstaves-pabalstu-pasnodarbinatam-personam" TargetMode="External"/><Relationship Id="rId14" Type="http://schemas.openxmlformats.org/officeDocument/2006/relationships/hyperlink" Target="https://likumi.lv/ta/id/314098-grozijums-bezdarbnieku-un-darba-mekletaju-atbalsta-likuma" TargetMode="External"/><Relationship Id="rId30" Type="http://schemas.openxmlformats.org/officeDocument/2006/relationships/hyperlink" Target="http://tap.mk.gov.lv/lv/mk/tap/?pid=40487446&amp;mode=mk&amp;date=2020-05-19" TargetMode="External"/><Relationship Id="rId35" Type="http://schemas.openxmlformats.org/officeDocument/2006/relationships/hyperlink" Target="http://tap.mk.gov.lv/lv/mk/tap/?pid=40488130&amp;mode=mk&amp;date=2020-06-02" TargetMode="External"/><Relationship Id="rId56" Type="http://schemas.openxmlformats.org/officeDocument/2006/relationships/hyperlink" Target="http://tap.mk.gov.lv/lv/mk/tap/?pid=40488130&amp;mode=mk&amp;date=2020-06-02" TargetMode="External"/><Relationship Id="rId77" Type="http://schemas.openxmlformats.org/officeDocument/2006/relationships/hyperlink" Target="https://likumi.lv/ta/id/318518-par-finansu-lidzeklu-pieskirsanu-no-valsts-budzeta-programmas-lidzekli-neparedzetiem-gadijumiem" TargetMode="External"/><Relationship Id="rId100" Type="http://schemas.openxmlformats.org/officeDocument/2006/relationships/hyperlink" Target="https://likumi.lv/ta/id/320203-par-finansu-lidzeklu-pieskirsanu-no-valsts-budzeta-programmas-lidzekli-neparedzetiem-gadijumiem" TargetMode="External"/><Relationship Id="rId105" Type="http://schemas.openxmlformats.org/officeDocument/2006/relationships/hyperlink" Target="https://likumi.lv/ta/id/314297-par-finansu-lidzeklu-pieskirsanu-no-valsts-budzeta-programmas-lidzekli-neparedzetiem-gadijumiem" TargetMode="External"/><Relationship Id="rId126" Type="http://schemas.openxmlformats.org/officeDocument/2006/relationships/hyperlink" Target="http://tap.mk.gov.lv/lv/mk/tap/?pid=40488130&amp;mode=mk&amp;date=2020-06-02" TargetMode="External"/><Relationship Id="rId147" Type="http://schemas.openxmlformats.org/officeDocument/2006/relationships/hyperlink" Target="https://likumi.lv/ta/id/320958-par-finansu-lidzeklu-pieskirsanu-no-valsts-budzeta-programmas-lidzekli-neparedzetiem-gadijumiem" TargetMode="External"/><Relationship Id="rId168" Type="http://schemas.openxmlformats.org/officeDocument/2006/relationships/hyperlink" Target="https://likumi.lv/ta/id/321498-par-finansu-lidzeklu-pieskirsanu-no-valsts-budzeta-programmas-lidzekli-neparedzetiem-gadijumiem" TargetMode="External"/><Relationship Id="rId8" Type="http://schemas.openxmlformats.org/officeDocument/2006/relationships/hyperlink" Target="https://likumi.lv/ta/id/313818-par-finansu-lidzeklu-pieskirsanu-no-valsts-budzeta-programmas-lidzekli-neparedzetiem-gadijumiem" TargetMode="External"/><Relationship Id="rId51" Type="http://schemas.openxmlformats.org/officeDocument/2006/relationships/hyperlink" Target="http://tap.mk.gov.lv/lv/mk/tap/?pid=40489549&amp;mode=mk&amp;date=2020-07-14" TargetMode="External"/><Relationship Id="rId72" Type="http://schemas.openxmlformats.org/officeDocument/2006/relationships/hyperlink" Target="https://likumi.lv/ta/id/319019-par-finansu-lidzeklu-pieskirsanu-no-valsts-budzeta-programmas-lidzekli-neparedzetiem-gadijumiem" TargetMode="External"/><Relationship Id="rId93" Type="http://schemas.openxmlformats.org/officeDocument/2006/relationships/hyperlink" Target="https://likumi.lv/ta/id/320206-par-finansu-lidzeklu-pieskirsanu-no-valsts-budzeta-programmas-lidzekli-neparedzetiem-gadijumiem" TargetMode="External"/><Relationship Id="rId98" Type="http://schemas.openxmlformats.org/officeDocument/2006/relationships/hyperlink" Target="https://likumi.lv/ta/id/320018-par-finansu-lidzeklu-pieskirsanu-no-valsts-budzeta-programmas-lidzekli-neparedzetiem-gadijumiem" TargetMode="External"/><Relationship Id="rId121" Type="http://schemas.openxmlformats.org/officeDocument/2006/relationships/hyperlink" Target="https://likumi.lv/ta/id/313614-par-finansu-lidzeklu-pieskirsanu-no-valsts-budzeta-programmas-lidzekli-neparedzetiem-gadijumiem" TargetMode="External"/><Relationship Id="rId142" Type="http://schemas.openxmlformats.org/officeDocument/2006/relationships/hyperlink" Target="https://likumi.lv/ta/id/320588-par-finansu-lidzeklu-pieskirsanu-no-valsts-budzeta-programmas-lidzekli-neparedzetiem-gadijumiem" TargetMode="External"/><Relationship Id="rId163" Type="http://schemas.openxmlformats.org/officeDocument/2006/relationships/hyperlink" Target="https://m.likumi.lv/ta/id/321377-par-finansu-lidzeklu-pieskirsanu-no-valsts-budzeta-programmas-lidzekli-neparedzetiem-gadijumiem" TargetMode="External"/><Relationship Id="rId184" Type="http://schemas.openxmlformats.org/officeDocument/2006/relationships/hyperlink" Target="http://tap.mk.gov.lv/lv/mk/tap/?pid=40501455&amp;mode=mk&amp;date=2021-04-27" TargetMode="External"/><Relationship Id="rId189" Type="http://schemas.openxmlformats.org/officeDocument/2006/relationships/hyperlink" Target="https://likumi.lv/ta/id/322348-noteikumi-par-nomas-apgrozijuma-krituma-kompensaciju-covid-19-krizes-skartajiem-komersantiem" TargetMode="External"/><Relationship Id="rId3" Type="http://schemas.openxmlformats.org/officeDocument/2006/relationships/hyperlink" Target="https://www.vestnesis.lv/op/2020/62B.6" TargetMode="External"/><Relationship Id="rId25" Type="http://schemas.openxmlformats.org/officeDocument/2006/relationships/hyperlink" Target="https://likumi.lv/ta/id/314717-par-finansu-lidzeklu-pieskirsanu-no-valsts-budzeta-programmas-02-00-00-lidzekli-neparedzetiem-gadijumiem" TargetMode="External"/><Relationship Id="rId46" Type="http://schemas.openxmlformats.org/officeDocument/2006/relationships/hyperlink" Target="http://tap.mk.gov.lv/lv/mk/tap/?pid=40488578&amp;mode=mk&amp;date=2020-07-14" TargetMode="External"/><Relationship Id="rId67" Type="http://schemas.openxmlformats.org/officeDocument/2006/relationships/hyperlink" Target="https://likumi.lv/ta/id/318406-par-finansu-lidzeklu-pieskirsanu-no-valsts-budzeta-programmas-lidzekli-neparedzetiem-gadijumiem" TargetMode="External"/><Relationship Id="rId116" Type="http://schemas.openxmlformats.org/officeDocument/2006/relationships/hyperlink" Target="https://likumi.lv/ta/id/320367-par-finansu-lidzeklu-pieskirsanu-no-valsts-budzeta-programmas-lidzekli-neparedzetiem-gadijumiem" TargetMode="External"/><Relationship Id="rId137" Type="http://schemas.openxmlformats.org/officeDocument/2006/relationships/hyperlink" Target="https://likumi.lv/ta/id/314836-par-finansu-lidzeklu-pieskirsanu-no-valsts-budzeta-programmas-lidzekli-neparedzetiem-gadijumiem" TargetMode="External"/><Relationship Id="rId158" Type="http://schemas.openxmlformats.org/officeDocument/2006/relationships/hyperlink" Target="http://tap.mk.gov.lv/lv/mk/tap/?pid=40498020&amp;mode=mk&amp;date=2021-02-18" TargetMode="External"/><Relationship Id="rId20" Type="http://schemas.openxmlformats.org/officeDocument/2006/relationships/hyperlink" Target="http://likumi.lv/ta/id/314061-par-finansu-lidzeklu-pieskirsanu-no-valsts-budzeta-programmas-lidzekli-neparedzetiem-gadijumiem-" TargetMode="External"/><Relationship Id="rId41" Type="http://schemas.openxmlformats.org/officeDocument/2006/relationships/hyperlink" Target="https://likumi.lv/ta/id/314259-par-valsts-akciju-sabiedribas-starptautiska-lidosta-riga-pamatkapitala-palielinasanu" TargetMode="External"/><Relationship Id="rId62" Type="http://schemas.openxmlformats.org/officeDocument/2006/relationships/hyperlink" Target="https://likumi.lv/ta/id/318053-par-finansu-lidzeklu-pieskirsanu-no-valsts-budzeta-programmas-lidzekli-neparedzetiem-gadijumiem" TargetMode="External"/><Relationship Id="rId83" Type="http://schemas.openxmlformats.org/officeDocument/2006/relationships/hyperlink" Target="https://likumi.lv/ta/id/318967-par-finansu-lidzeklu-pieskirsanu-no-valsts-budzeta-programmas-lidzekli-neparedzetiem-gadijumiem" TargetMode="External"/><Relationship Id="rId88" Type="http://schemas.openxmlformats.org/officeDocument/2006/relationships/hyperlink" Target="https://likumi.lv/ta/id/315560-noteikumi-par-garantijam-saimnieciskas-darbibas-veicejiem-konkuretspejas-uzlabosanai" TargetMode="External"/><Relationship Id="rId111" Type="http://schemas.openxmlformats.org/officeDocument/2006/relationships/hyperlink" Target="https://likumi.lv/ta/id/317235-par-finansu-lidzeklu-pieskirsanu-no-valsts-budzeta-programmas-lidzekli-neparedzetiem-gadijumiem" TargetMode="External"/><Relationship Id="rId132" Type="http://schemas.openxmlformats.org/officeDocument/2006/relationships/hyperlink" Target="https://titania.saeima.lv/LIVS13/saeimalivs13.nsf/0/D3145E3501CAE0EEC225861D00272C19?OpenDocument" TargetMode="External"/><Relationship Id="rId153" Type="http://schemas.openxmlformats.org/officeDocument/2006/relationships/hyperlink" Target="https://likumi.lv/ta/id/320278-par-finansu-lidzeklu-pieskirsanu-no-valsts-budzeta-programmas-lidzekli-neparedzetiem-gadijumiem" TargetMode="External"/><Relationship Id="rId174" Type="http://schemas.openxmlformats.org/officeDocument/2006/relationships/hyperlink" Target="http://tap.mk.gov.lv/lv/mk/tap/?pid=40500255&amp;mode=mk&amp;date=2021-04-01" TargetMode="External"/><Relationship Id="rId179" Type="http://schemas.openxmlformats.org/officeDocument/2006/relationships/hyperlink" Target="http://tap.mk.gov.lv/lv/mk/tap/?pid=40501306&amp;mode=mk&amp;date=2021-04-29" TargetMode="External"/><Relationship Id="rId195" Type="http://schemas.openxmlformats.org/officeDocument/2006/relationships/hyperlink" Target="http://tap.mk.gov.lv/lv/mk/tap/?pid=40501806&amp;mode=mk&amp;date=2021-05-13" TargetMode="External"/><Relationship Id="rId190" Type="http://schemas.openxmlformats.org/officeDocument/2006/relationships/hyperlink" Target="https://likumi.lv/ta/id/322354-par-finansu-lidzeklu-pieskirsanu-no-valsts-budzeta-programmas-lidzekli-neparedzetiem-gadijumiem" TargetMode="External"/><Relationship Id="rId15" Type="http://schemas.openxmlformats.org/officeDocument/2006/relationships/hyperlink" Target="http://tap.mk.gov.lv/lv/mk/tap/?pid=40486050&amp;mode=mk&amp;date=2020-04-14" TargetMode="External"/><Relationship Id="rId36" Type="http://schemas.openxmlformats.org/officeDocument/2006/relationships/hyperlink" Target="http://tap.mk.gov.lv/lv/mk/tap/?pid=40488130&amp;mode=mk&amp;date=2020-06-02" TargetMode="External"/><Relationship Id="rId57" Type="http://schemas.openxmlformats.org/officeDocument/2006/relationships/hyperlink" Target="https://likumi.lv/ta/id/316816-par-finansu-lidzeklu-pieskirsanu-no-valsts-budzeta-programmas-lidzekli-neparedzetiem-gadijumiem" TargetMode="External"/><Relationship Id="rId106" Type="http://schemas.openxmlformats.org/officeDocument/2006/relationships/hyperlink" Target="https://likumi.lv/ta/id/315312-grozijumi-ministru-kabineta-2018-gada-28-augusta-noteikumos-nr-555-veselibas-aprupes-pakalpojumu-organizesanas-un-samaksas" TargetMode="External"/><Relationship Id="rId127" Type="http://schemas.openxmlformats.org/officeDocument/2006/relationships/hyperlink" Target="http://tap.mk.gov.lv/lv/mk/tap/?pid=40488130&amp;mode=mk&amp;date=2020-06-02" TargetMode="External"/><Relationship Id="rId10" Type="http://schemas.openxmlformats.org/officeDocument/2006/relationships/hyperlink" Target="https://likumi.lv/ta/id/313340-grozijumi-ministru-kabineta-2020-gada-10-marta-rikojuma-nr-100-par-finansu-lidzeklu-pieskirsanu-no-valsts-budzeta-programmas" TargetMode="External"/><Relationship Id="rId31" Type="http://schemas.openxmlformats.org/officeDocument/2006/relationships/hyperlink" Target="http://tap.mk.gov.lv/lv/mk/tap/?pid=40488130&amp;mode=mk&amp;date=2020-06-02" TargetMode="External"/><Relationship Id="rId52" Type="http://schemas.openxmlformats.org/officeDocument/2006/relationships/hyperlink" Target="https://likumi.lv/ta/id/315243-par-finansu-lidzeklu-pieskirsanu-no-valsts-budzeta-programmas-lidzekli-neparedzetiem-gadijumiem" TargetMode="External"/><Relationship Id="rId73" Type="http://schemas.openxmlformats.org/officeDocument/2006/relationships/hyperlink" Target="https://likumi.lv/ta/id/313933-par-finansu-lidzeklu-pieskirsanu-no-valsts-budzeta-programmas-lidzekli-neparedzetiem-gadijumiem" TargetMode="External"/><Relationship Id="rId78" Type="http://schemas.openxmlformats.org/officeDocument/2006/relationships/hyperlink" Target="https://likumi.lv/ta/id/318971-par-finansejuma-sadalijumu-atbalsta-sniegsanai-attalinata-macibu-procesa-nodrosinasanai-visparejas-izglitibas-un-profesionalas" TargetMode="External"/><Relationship Id="rId94" Type="http://schemas.openxmlformats.org/officeDocument/2006/relationships/hyperlink" Target="https://likumi.lv/ta/id/319787-par-finansu-lidzeklu-pieskirsanu-no-valsts-budzeta-programmas-lidzekli-neparedzetiem-gadijumiem" TargetMode="External"/><Relationship Id="rId99" Type="http://schemas.openxmlformats.org/officeDocument/2006/relationships/hyperlink" Target="https://likumi.lv/ta/id/315287-covid-19-infekcijas-izplatibas-seku-parvaresanas-likums" TargetMode="External"/><Relationship Id="rId101" Type="http://schemas.openxmlformats.org/officeDocument/2006/relationships/hyperlink" Target="https://likumi.lv/ta/id/314476-par-finansu-lidzeklu-pieskirsanu-no-valsts-budzeta-programmas-lidzekli-neparedzetiem-gadijumiem" TargetMode="External"/><Relationship Id="rId122" Type="http://schemas.openxmlformats.org/officeDocument/2006/relationships/hyperlink" Target="https://likumi.lv/ta/id/316998-par-finansu-lidzeklu-pieskirsanu-no-valsts-budzeta-programmas-lidzekli-neparedzetiem-gadijumiem" TargetMode="External"/><Relationship Id="rId143" Type="http://schemas.openxmlformats.org/officeDocument/2006/relationships/hyperlink" Target="http://tap.mk.gov.lv/lv/mk/tap/?pid=40497627&amp;mode=mk&amp;date=2021-01-28" TargetMode="External"/><Relationship Id="rId148" Type="http://schemas.openxmlformats.org/officeDocument/2006/relationships/hyperlink" Target="https://likumi.lv/ta/id/320957-par-apropriacijas-palielinasanu-veselibas-ministrijai" TargetMode="External"/><Relationship Id="rId164" Type="http://schemas.openxmlformats.org/officeDocument/2006/relationships/hyperlink" Target="https://www.vestnesis.lv/op/2021/46.11" TargetMode="External"/><Relationship Id="rId169" Type="http://schemas.openxmlformats.org/officeDocument/2006/relationships/hyperlink" Target="https://likumi.lv/ta/id/321487-par-finansu-lidzeklu-pieskirsanu-no-valsts-budzeta-programmas-lidzekli-neparedzetiem-gadijumiem" TargetMode="External"/><Relationship Id="rId185" Type="http://schemas.openxmlformats.org/officeDocument/2006/relationships/hyperlink" Target="http://tap.mk.gov.lv/lv/mk/tap/?pid=40501396&amp;mode=mk&amp;date=2021-04-27" TargetMode="External"/><Relationship Id="rId4" Type="http://schemas.openxmlformats.org/officeDocument/2006/relationships/hyperlink" Target="https://likumi.lv/ta/id/313372-par-finansu-lidzeklu-pieskirsanu-no-valsts-budzeta-programmas-lidzekli-neparedzetiem-gadijumiem" TargetMode="External"/><Relationship Id="rId9" Type="http://schemas.openxmlformats.org/officeDocument/2006/relationships/hyperlink" Target="https://likumi.lv/ta/id/313681-noteikumi-par-publiskas-personas-un-publiskas-personas-kontroletas-kapitalsabiedribas-mantas-nomas-maksas-atbrivojuma-vai-samazinajuma" TargetMode="External"/><Relationship Id="rId180" Type="http://schemas.openxmlformats.org/officeDocument/2006/relationships/hyperlink" Target="https://likumi.lv/ta/id/317374-par-apropriacijas-palielinasanu-veselibas-ministrijai" TargetMode="External"/><Relationship Id="rId26" Type="http://schemas.openxmlformats.org/officeDocument/2006/relationships/hyperlink" Target="https://likumi.lv/ta/id/314718-par-finansu-lidzeklu-pieskirsanu-no-valsts-budzeta-programmas-lidzekli-neparedzetiem-gadijumiem" TargetMode="External"/><Relationship Id="rId47" Type="http://schemas.openxmlformats.org/officeDocument/2006/relationships/hyperlink" Target="http://tap.mk.gov.lv/lv/mk/tap/?pid=40489440&amp;mode=mk&amp;date=2020-07-14" TargetMode="External"/><Relationship Id="rId68" Type="http://schemas.openxmlformats.org/officeDocument/2006/relationships/hyperlink" Target="http://likumi.lv/ta/id/314567-grozijumi-likuma-par-valsts-apdraudejuma-un-ta-seku-noversanas-un-parvaresanas-pasakumiem-sakara-ar-covid-19-izplatibu-" TargetMode="External"/><Relationship Id="rId89" Type="http://schemas.openxmlformats.org/officeDocument/2006/relationships/hyperlink" Target="https://likumi.lv/ta/id/318589-par-apropriacijas-pardali-neatliekamu-pasakumu-istenosanai-labklajibas-nozare" TargetMode="External"/><Relationship Id="rId112" Type="http://schemas.openxmlformats.org/officeDocument/2006/relationships/hyperlink" Target="https://likumi.lv/ta/id/316831-par-finansu-lidzeklu-pieskirsanu-no-valsts-budzeta-programmas-lidzekli-neparedzetiem-gadijumiem" TargetMode="External"/><Relationship Id="rId133" Type="http://schemas.openxmlformats.org/officeDocument/2006/relationships/hyperlink" Target="http://tap.mk.gov.lv/lv/mk/tap/?pid=40499805&amp;mode=mk&amp;date=2021-03-18" TargetMode="External"/><Relationship Id="rId154" Type="http://schemas.openxmlformats.org/officeDocument/2006/relationships/hyperlink" Target="https://likumi.lv/ta/id/321138-par-finansu-lidzeklu-pieskirsanu-no-valsts-budzeta-programmas-lidzekli-neparedzetiem-gadijumiem" TargetMode="External"/><Relationship Id="rId175" Type="http://schemas.openxmlformats.org/officeDocument/2006/relationships/hyperlink" Target="http://tap.mk.gov.lv/lv/mk/tap/?pid=40500072&amp;mode=mk&amp;date=2021-03-24" TargetMode="External"/><Relationship Id="rId196" Type="http://schemas.openxmlformats.org/officeDocument/2006/relationships/printerSettings" Target="../printerSettings/printerSettings7.bin"/><Relationship Id="rId16" Type="http://schemas.openxmlformats.org/officeDocument/2006/relationships/hyperlink" Target="https://likumi.lv/ta/id/313818-par-finansu-lidzeklu-pieskirsanu-no-valsts-budzeta-programmas-lidzekli-neparedzetiem-gadijumiem" TargetMode="External"/><Relationship Id="rId37" Type="http://schemas.openxmlformats.org/officeDocument/2006/relationships/hyperlink" Target="https://m.likumi.lv/ta/id/315847-par-finansu-lidzeklu-pieskirsanu-no-valsts-budzeta-programmas-lidzekli-neparedzetiem-gadijumiem" TargetMode="External"/><Relationship Id="rId58" Type="http://schemas.openxmlformats.org/officeDocument/2006/relationships/hyperlink" Target="https://likumi.lv/ta/id/317696-par-finansu-lidzeklu-pieskirsanu-no-valsts-budzeta-programmas-lidzekli-neparedzetiem-gadijumiem" TargetMode="External"/><Relationship Id="rId79" Type="http://schemas.openxmlformats.org/officeDocument/2006/relationships/hyperlink" Target="http://tap.mk.gov.lv/lv/mk/tap/?pid=40488376&amp;mode=mk&amp;date=2020-06-09" TargetMode="External"/><Relationship Id="rId102" Type="http://schemas.openxmlformats.org/officeDocument/2006/relationships/hyperlink" Target="https://likumi.lv/ta/id/320207-par-finansu-lidzeklu-pieskirsanu-no-valsts-budzeta-programmas-lidzekli-neparedzetiem-gadijumiem" TargetMode="External"/><Relationship Id="rId123" Type="http://schemas.openxmlformats.org/officeDocument/2006/relationships/hyperlink" Target="https://likumi.lv/ta/id/316999-par-finansu-lidzeklu-pieskirsanu-no-valsts-budzeta-programmas-lidzekli-neparedzetiem-gadijumiem" TargetMode="External"/><Relationship Id="rId144" Type="http://schemas.openxmlformats.org/officeDocument/2006/relationships/hyperlink" Target="http://tap.mk.gov.lv/lv/mk/tap/?pid=40497627&amp;mode=mk&amp;date=2021-01-28" TargetMode="External"/><Relationship Id="rId90" Type="http://schemas.openxmlformats.org/officeDocument/2006/relationships/hyperlink" Target="https://likumi.lv/ta/id/320208-par-finansu-lidzeklu-pieskirsanu-no-valsts-budzeta-programmas-lidzekli-neparedzetiem-gadijumiem" TargetMode="External"/><Relationship Id="rId165" Type="http://schemas.openxmlformats.org/officeDocument/2006/relationships/hyperlink" Target="http://tap.mk.gov.lv/lv/mk/tap/?pid=40499283&amp;mode=mk&amp;date=2021-03-11" TargetMode="External"/><Relationship Id="rId186" Type="http://schemas.openxmlformats.org/officeDocument/2006/relationships/hyperlink" Target="https://likumi.lv/ta/id/320587-par-finansejuma-sadalijumu-pasvaldibam-covid-19-izraisitas-krizes-parvaresanas-un-seku-noversanas-pasakumu-istenosanai" TargetMode="External"/><Relationship Id="rId27" Type="http://schemas.openxmlformats.org/officeDocument/2006/relationships/hyperlink" Target="http://tap.mk.gov.lv/doc/2020_05/LMnot_290420_Aizbildni_groz.796.docx" TargetMode="External"/><Relationship Id="rId48" Type="http://schemas.openxmlformats.org/officeDocument/2006/relationships/hyperlink" Target="https://likumi.lv/ta/id/318958-par-finansu-lidzeklu-pieskirsanu-no-valsts-budzeta-programmas-020000-lidzekli-neparedzetiem-gadijumiem" TargetMode="External"/><Relationship Id="rId69" Type="http://schemas.openxmlformats.org/officeDocument/2006/relationships/hyperlink" Target="https://likumi.lv/ta/id/320274-grozijumi-ministru-kabineta-2020-gada-24-novembra-noteikumos-nr-709-noteikumi-par-atbalstu-par-dikstavi-nodoklu-maksatajiem-to-..." TargetMode="External"/><Relationship Id="rId113" Type="http://schemas.openxmlformats.org/officeDocument/2006/relationships/hyperlink" Target="http://tap.mk.gov.lv/lv/mk/tap/?pid=40496837&amp;mode=mk&amp;date=2021-01-08" TargetMode="External"/><Relationship Id="rId134" Type="http://schemas.openxmlformats.org/officeDocument/2006/relationships/hyperlink" Target="https://likumi.lv/ta/id/313612-par-finansu-lidzeklu-pieskirsanu-no-valsts-budzeta-programmas-lidzekli-neparedzetiem-gadijumiem" TargetMode="External"/><Relationship Id="rId80" Type="http://schemas.openxmlformats.org/officeDocument/2006/relationships/hyperlink" Target="https://likumi.lv/ta/id/318965-par-finansu-lidzeklu-pieskirsanu-no-valsts-budzeta-programmas-lidzekli-neparedzetiem-gadijumiem" TargetMode="External"/><Relationship Id="rId155" Type="http://schemas.openxmlformats.org/officeDocument/2006/relationships/hyperlink" Target="https://likumi.lv/ta/id/321139-par-finansu-lidzeklu-pieskirsanu-no-valsts-budzeta-programmas-lidzekli-neparedzetiem-gadijumiem" TargetMode="External"/><Relationship Id="rId176" Type="http://schemas.openxmlformats.org/officeDocument/2006/relationships/hyperlink" Target="http://tap.mk.gov.lv/lv/mk/tap/?pid=40498580&amp;mode=mk&amp;date=2021-03-18" TargetMode="External"/><Relationship Id="rId197" Type="http://schemas.openxmlformats.org/officeDocument/2006/relationships/vmlDrawing" Target="../drawings/vmlDrawing5.vml"/><Relationship Id="rId17" Type="http://schemas.openxmlformats.org/officeDocument/2006/relationships/hyperlink" Target="https://likumi.lv/ta/id/313935-grozijumi-ministru-kabineta-2020-gada-26-marta-noteikumos-nr-165-noteikumi-par-covid-19-izraisitas-krizes-skartiem-darba-devejiem" TargetMode="External"/><Relationship Id="rId38" Type="http://schemas.openxmlformats.org/officeDocument/2006/relationships/hyperlink" Target="http://tap.mk.gov.lv/lv/mk/tap/?pid=40488130&amp;mode=mk&amp;date=2020-06-02" TargetMode="External"/><Relationship Id="rId59" Type="http://schemas.openxmlformats.org/officeDocument/2006/relationships/hyperlink" Target="http://tap.mk.gov.lv/lv/mk/tap/?pid=40488130&amp;mode=mk&amp;date=2020-06-02" TargetMode="External"/><Relationship Id="rId103" Type="http://schemas.openxmlformats.org/officeDocument/2006/relationships/hyperlink" Target="https://likumi.lv/ta/id/314711-grozijums-ministru-kabineta-2009-gada-22-decembra-noteikumos-nr-1517-noteikumi-par-gimenes-valsts-pabalstu-un-piemaksam-pie" TargetMode="External"/><Relationship Id="rId124" Type="http://schemas.openxmlformats.org/officeDocument/2006/relationships/hyperlink" Target="https://likumi.lv/ta/id/317243-par-finansu-lidzeklu-pieskirsanu-no-valsts-budzeta-programmas-lidzekli-neparedzetiem-gadijumiem" TargetMode="External"/><Relationship Id="rId70" Type="http://schemas.openxmlformats.org/officeDocument/2006/relationships/hyperlink" Target="https://likumi.lv/ta/id/318434-grozijumi-ministru-kabineta-2020-gada-14-julija-noteikumos-nr-455-covid-19-skarto-turisma-nozares-saimnieciskas-darbibas-veicej..." TargetMode="External"/><Relationship Id="rId91" Type="http://schemas.openxmlformats.org/officeDocument/2006/relationships/hyperlink" Target="https://likumi.lv/ta/id/319437-par-finansu-lidzeklu-pieskirsanu-no-valsts-budzeta-programmas-lidzekli-neparedzetiem-gadijumiem" TargetMode="External"/><Relationship Id="rId145" Type="http://schemas.openxmlformats.org/officeDocument/2006/relationships/hyperlink" Target="https://likumi.lv/ta/id/320588-par-finansu-lidzeklu-pieskirsanu-no-valsts-budzeta-programmas-lidzekli-neparedzetiem-gadijumiem" TargetMode="External"/><Relationship Id="rId166" Type="http://schemas.openxmlformats.org/officeDocument/2006/relationships/hyperlink" Target="http://tap.mk.gov.lv/lv/mk/tap/?pid=40499682&amp;mode=mk&amp;date=2021-03-18" TargetMode="External"/><Relationship Id="rId187" Type="http://schemas.openxmlformats.org/officeDocument/2006/relationships/hyperlink" Target="http://tap.mk.gov.lv/lv/mk/tap/?pid=40499551&amp;mode=mk&amp;date=2021-03-18" TargetMode="External"/><Relationship Id="rId1" Type="http://schemas.openxmlformats.org/officeDocument/2006/relationships/hyperlink" Target="https://likumi.lv/ta/id/313430-grozijumi-ministru-kabineta-2020-gada-19-marta-noteikumos-nr-149-noteikumi-par-apgrozamo-lidzeklu-aizdevumiem-saimnieciskas-dar..." TargetMode="External"/><Relationship Id="rId28" Type="http://schemas.openxmlformats.org/officeDocument/2006/relationships/hyperlink" Target="https://likumi.lv/ta/id/314475-par-finansu-lidzeklu-pieskirsanu-no-valsts-budzeta-programmas-lidzekli-neparedzetiem-gadijumiem" TargetMode="External"/><Relationship Id="rId49" Type="http://schemas.openxmlformats.org/officeDocument/2006/relationships/hyperlink" Target="http://tap.mk.gov.lv/lv/mk/tap/?pid=40489541&amp;mode=mk&amp;date=2020-07-14" TargetMode="External"/><Relationship Id="rId114" Type="http://schemas.openxmlformats.org/officeDocument/2006/relationships/hyperlink" Target="http://tap.mk.gov.lv/mk/mksedes/saraksts/darbakartiba/?sede=1187" TargetMode="External"/><Relationship Id="rId60" Type="http://schemas.openxmlformats.org/officeDocument/2006/relationships/hyperlink" Target="https://likumi.lv/ta/id/317703-par-finansu-lidzeklu-pieskirsanu-no-valsts-budzeta-programmas-lidzekli-neparedzetiem-gadijumiem" TargetMode="External"/><Relationship Id="rId81" Type="http://schemas.openxmlformats.org/officeDocument/2006/relationships/hyperlink" Target="http://tap.mk.gov.lv/mk/mksedes/saraksts/protokols/?protokols=2020-12-01" TargetMode="External"/><Relationship Id="rId135" Type="http://schemas.openxmlformats.org/officeDocument/2006/relationships/hyperlink" Target="https://likumi.lv/ta/id/313377-grozijums-likuma-par-maternitates-un-slimibas-apdrosinasanu-" TargetMode="External"/><Relationship Id="rId156" Type="http://schemas.openxmlformats.org/officeDocument/2006/relationships/hyperlink" Target="https://likumi.lv/ta/id/321223-par-finansu-lidzeklu-pieskirsanu-no-valsts-budzeta-programmas-lidzekli-neparedzetiem-gadijumiem" TargetMode="External"/><Relationship Id="rId177" Type="http://schemas.openxmlformats.org/officeDocument/2006/relationships/hyperlink" Target="http://tap.mk.gov.lv/lv/mk/tap/?pid=40498580&amp;mode=mk&amp;date=2021-03-18" TargetMode="External"/><Relationship Id="rId198" Type="http://schemas.openxmlformats.org/officeDocument/2006/relationships/comments" Target="../comments5.xml"/><Relationship Id="rId18" Type="http://schemas.openxmlformats.org/officeDocument/2006/relationships/hyperlink" Target="https://likumi.lv/ta/id/313434-par-valsts-akciju-sabiedribas-latvijas-gaisa-satiksme-pamatkapitala-palielinasanu" TargetMode="External"/><Relationship Id="rId39" Type="http://schemas.openxmlformats.org/officeDocument/2006/relationships/hyperlink" Target="https://likumi.lv/ta/id/314435-par-finansu-lidzeklu-pieskirsanu-no-valsts-budzeta-programmas-lidzekli-neparedzetiem-gadijumiem" TargetMode="External"/><Relationship Id="rId50" Type="http://schemas.openxmlformats.org/officeDocument/2006/relationships/hyperlink" Target="https://likumi.lv/ta/id/316119-noteikumi-par-garantijam-lielajiem-komersantiem-kuru-darbibu-ietekmejusi-covid-19-izplatiba" TargetMode="External"/><Relationship Id="rId104" Type="http://schemas.openxmlformats.org/officeDocument/2006/relationships/hyperlink" Target="https://likumi.lv/ta/id/315852-par-finansu-lidzeklu-pieskirsanu-no-valsts-budzeta-programmas-lidzekli-neparedzetiem-gadijumiem" TargetMode="External"/><Relationship Id="rId125" Type="http://schemas.openxmlformats.org/officeDocument/2006/relationships/hyperlink" Target="https://likumi.lv/ta/id/317373-par-finansu-lidzeklu-pieskirsanu-no-valsts-budzeta-programmas-lidzekli-neparedzetiem-gadijumiem" TargetMode="External"/><Relationship Id="rId146" Type="http://schemas.openxmlformats.org/officeDocument/2006/relationships/hyperlink" Target="http://tap.mk.gov.lv/lv/mk/tap/?pid=40498001&amp;mode=mk&amp;date=2021-02-05" TargetMode="External"/><Relationship Id="rId167" Type="http://schemas.openxmlformats.org/officeDocument/2006/relationships/hyperlink" Target="https://likumi.lv/ta/id/320625-par-finansu-lidzeklu-pieskirsanu-no-valsts-budzeta-programmas-lidzekli-neparedzetiem-gadijumiem" TargetMode="External"/><Relationship Id="rId188" Type="http://schemas.openxmlformats.org/officeDocument/2006/relationships/hyperlink" Target="https://likumi.lv/ta/id/322460-par-finansu-lidzeklu-pieskirsanu-no-valsts-budzeta-programmas-lidzekli-neparedzetiem-gadijumie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CDB1-9874-418A-BA20-861D1347817C}">
  <sheetPr>
    <tabColor rgb="FF00B0F0"/>
  </sheetPr>
  <dimension ref="A1:P17"/>
  <sheetViews>
    <sheetView tabSelected="1" zoomScale="90" zoomScaleNormal="90" workbookViewId="0">
      <selection activeCell="J13" sqref="J13"/>
    </sheetView>
  </sheetViews>
  <sheetFormatPr defaultColWidth="8.7265625" defaultRowHeight="14.5" x14ac:dyDescent="0.35"/>
  <cols>
    <col min="1" max="1" width="2.26953125" style="813" customWidth="1"/>
    <col min="2" max="2" width="19.1796875" style="813" customWidth="1"/>
    <col min="3" max="6" width="8" style="813" customWidth="1"/>
    <col min="7" max="7" width="12.54296875" style="813" customWidth="1"/>
    <col min="8" max="8" width="11.453125" style="813" customWidth="1"/>
    <col min="9" max="9" width="8.7265625" style="813"/>
    <col min="10" max="10" width="23.26953125" style="813" customWidth="1"/>
    <col min="11" max="11" width="9" style="813" customWidth="1"/>
    <col min="12" max="12" width="7.453125" style="813" customWidth="1"/>
    <col min="13" max="13" width="7.54296875" style="813" customWidth="1"/>
    <col min="14" max="14" width="12.08984375" style="813" customWidth="1"/>
    <col min="15" max="16" width="12.453125" style="813" customWidth="1"/>
    <col min="17" max="16384" width="8.7265625" style="813"/>
  </cols>
  <sheetData>
    <row r="1" spans="1:16" x14ac:dyDescent="0.35">
      <c r="B1" s="814" t="s">
        <v>2388</v>
      </c>
    </row>
    <row r="3" spans="1:16" x14ac:dyDescent="0.35">
      <c r="B3" s="815" t="s">
        <v>2138</v>
      </c>
      <c r="J3" s="815" t="s">
        <v>2139</v>
      </c>
    </row>
    <row r="4" spans="1:16" ht="18.75" customHeight="1" x14ac:dyDescent="0.35">
      <c r="B4" s="796"/>
      <c r="C4" s="797">
        <v>2020</v>
      </c>
      <c r="D4" s="797">
        <v>2021</v>
      </c>
      <c r="E4" s="797">
        <v>2022</v>
      </c>
      <c r="F4" s="1007">
        <v>2023</v>
      </c>
      <c r="G4" s="1008"/>
      <c r="H4" s="974">
        <v>2024</v>
      </c>
      <c r="J4" s="796"/>
      <c r="K4" s="797">
        <v>2020</v>
      </c>
      <c r="L4" s="797">
        <v>2021</v>
      </c>
      <c r="M4" s="797">
        <v>2022</v>
      </c>
      <c r="N4" s="1007">
        <v>2023</v>
      </c>
      <c r="O4" s="1008"/>
      <c r="P4" s="974">
        <v>2024</v>
      </c>
    </row>
    <row r="5" spans="1:16" ht="43.5" x14ac:dyDescent="0.35">
      <c r="B5" s="798"/>
      <c r="C5" s="799" t="s">
        <v>1950</v>
      </c>
      <c r="D5" s="799" t="s">
        <v>1950</v>
      </c>
      <c r="E5" s="799" t="s">
        <v>1950</v>
      </c>
      <c r="F5" s="800" t="s">
        <v>523</v>
      </c>
      <c r="G5" s="944" t="s">
        <v>2375</v>
      </c>
      <c r="H5" s="973" t="s">
        <v>523</v>
      </c>
      <c r="J5" s="798"/>
      <c r="K5" s="799" t="s">
        <v>1950</v>
      </c>
      <c r="L5" s="799" t="s">
        <v>1950</v>
      </c>
      <c r="M5" s="799" t="s">
        <v>1950</v>
      </c>
      <c r="N5" s="1002" t="s">
        <v>2368</v>
      </c>
      <c r="O5" s="944" t="s">
        <v>2375</v>
      </c>
      <c r="P5" s="973" t="s">
        <v>523</v>
      </c>
    </row>
    <row r="6" spans="1:16" x14ac:dyDescent="0.35">
      <c r="B6" s="1009" t="s">
        <v>2215</v>
      </c>
      <c r="C6" s="801">
        <f>'Covid-19'!B7</f>
        <v>1281.6858186900001</v>
      </c>
      <c r="D6" s="801">
        <f>'Covid-19'!D7</f>
        <v>2315.1273903029</v>
      </c>
      <c r="E6" s="957">
        <f>'Covid-19'!F7</f>
        <v>965.88075563999985</v>
      </c>
      <c r="F6" s="957">
        <f>'Covid-19'!H7</f>
        <v>100.80846314999999</v>
      </c>
      <c r="G6" s="958">
        <f>'Covid-19'!J7</f>
        <v>76.778956999999991</v>
      </c>
      <c r="H6" s="975">
        <f>'Covid-19'!L7</f>
        <v>18.330508000000002</v>
      </c>
      <c r="J6" s="1009" t="s">
        <v>2215</v>
      </c>
      <c r="K6" s="801">
        <f>'Covid-19'!C7</f>
        <v>-960.77715680799997</v>
      </c>
      <c r="L6" s="801">
        <f>'Covid-19'!E7</f>
        <v>-2102.778497035446</v>
      </c>
      <c r="M6" s="957">
        <f>'Covid-19'!G7</f>
        <v>-796.40862290312305</v>
      </c>
      <c r="N6" s="957">
        <f>'Covid-19'!I7</f>
        <v>-132.69533600087681</v>
      </c>
      <c r="O6" s="958">
        <f>'Covid-19'!K7</f>
        <v>-95.31057365769999</v>
      </c>
      <c r="P6" s="975">
        <f>'Covid-19'!M7</f>
        <v>-18.664673999999998</v>
      </c>
    </row>
    <row r="7" spans="1:16" x14ac:dyDescent="0.35">
      <c r="B7" s="1010"/>
      <c r="C7" s="804">
        <f t="shared" ref="C7:H7" si="0">C6/C14</f>
        <v>4.2567543009901676E-2</v>
      </c>
      <c r="D7" s="804">
        <f t="shared" si="0"/>
        <v>6.9421335301019529E-2</v>
      </c>
      <c r="E7" s="804">
        <f t="shared" si="0"/>
        <v>2.4848985332349128E-2</v>
      </c>
      <c r="F7" s="804">
        <f t="shared" si="0"/>
        <v>2.4797023551726342E-3</v>
      </c>
      <c r="G7" s="805">
        <f t="shared" si="0"/>
        <v>1.8886208017803554E-3</v>
      </c>
      <c r="H7" s="972"/>
      <c r="J7" s="1010"/>
      <c r="K7" s="804">
        <f t="shared" ref="K7:P7" si="1">K6/K14</f>
        <v>-3.190947605799134E-2</v>
      </c>
      <c r="L7" s="804">
        <f t="shared" si="1"/>
        <v>-6.3053848232244622E-2</v>
      </c>
      <c r="M7" s="804">
        <f t="shared" si="1"/>
        <v>-2.0489015930297838E-2</v>
      </c>
      <c r="N7" s="804">
        <f t="shared" si="1"/>
        <v>-3.2640606445134392E-3</v>
      </c>
      <c r="O7" s="805">
        <f t="shared" si="1"/>
        <v>-2.3444644089076513E-3</v>
      </c>
      <c r="P7" s="972"/>
    </row>
    <row r="8" spans="1:16" x14ac:dyDescent="0.35">
      <c r="B8" s="1009" t="s">
        <v>2140</v>
      </c>
      <c r="C8" s="806"/>
      <c r="D8" s="807">
        <f>'Energo atbalsts'!C6</f>
        <v>1.8805700000000001</v>
      </c>
      <c r="E8" s="802">
        <f>'Energo atbalsts'!F6</f>
        <v>603.54405190000011</v>
      </c>
      <c r="F8" s="802">
        <f>'Energo atbalsts'!G6</f>
        <v>652.03893900000003</v>
      </c>
      <c r="G8" s="803">
        <f>'Energo atbalsts'!I6</f>
        <v>454.44529630999995</v>
      </c>
      <c r="H8" s="971">
        <f>'Energo atbalsts'!J6</f>
        <v>50</v>
      </c>
      <c r="J8" s="1009" t="s">
        <v>2140</v>
      </c>
      <c r="K8" s="806"/>
      <c r="L8" s="807">
        <f>-'Energo atbalsts'!C6</f>
        <v>-1.8805700000000001</v>
      </c>
      <c r="M8" s="802">
        <f>-'Energo atbalsts'!F6</f>
        <v>-603.54405190000011</v>
      </c>
      <c r="N8" s="957">
        <f>-'Energo atbalsts'!H7-'Energo atbalsts'!H31-'Energo atbalsts'!H45-12</f>
        <v>-465.7</v>
      </c>
      <c r="O8" s="803">
        <f>-'Energo atbalsts'!I6+18.5</f>
        <v>-435.94529630999995</v>
      </c>
      <c r="P8" s="975">
        <f>-'Energo atbalsts'!J6+'Energo atbalsts'!J45</f>
        <v>0</v>
      </c>
    </row>
    <row r="9" spans="1:16" x14ac:dyDescent="0.35">
      <c r="B9" s="1010"/>
      <c r="C9" s="808"/>
      <c r="D9" s="804">
        <f>D8/D14</f>
        <v>5.6390711402691998E-5</v>
      </c>
      <c r="E9" s="804">
        <f>E8/E14</f>
        <v>1.5527234811870991E-2</v>
      </c>
      <c r="F9" s="804">
        <f>F8/F14</f>
        <v>1.6038955879098388E-2</v>
      </c>
      <c r="G9" s="805">
        <f>G8/G14</f>
        <v>1.1178516528718973E-2</v>
      </c>
      <c r="H9" s="972"/>
      <c r="J9" s="1010"/>
      <c r="K9" s="808"/>
      <c r="L9" s="804">
        <f>L8/L14</f>
        <v>-5.6390711402691998E-5</v>
      </c>
      <c r="M9" s="804">
        <f>M8/M14</f>
        <v>-1.5527234811870991E-2</v>
      </c>
      <c r="N9" s="804">
        <f>N8/N14</f>
        <v>-1.1455361491679439E-2</v>
      </c>
      <c r="O9" s="805">
        <f>O8/O14</f>
        <v>-1.0723450633086442E-2</v>
      </c>
      <c r="P9" s="972"/>
    </row>
    <row r="10" spans="1:16" x14ac:dyDescent="0.35">
      <c r="B10" s="1009" t="s">
        <v>2141</v>
      </c>
      <c r="C10" s="809"/>
      <c r="D10" s="809"/>
      <c r="E10" s="802">
        <f>'Atbalsts Ukrainai'!C9</f>
        <v>81.010131999999984</v>
      </c>
      <c r="F10" s="802">
        <f>'Atbalsts Ukrainai'!D9</f>
        <v>102</v>
      </c>
      <c r="G10" s="803">
        <f>'Atbalsts Ukrainai'!E9</f>
        <v>67.867408999999995</v>
      </c>
      <c r="H10" s="971">
        <f>'Atbalsts Ukrainai'!F9</f>
        <v>70</v>
      </c>
      <c r="J10" s="1009" t="s">
        <v>2141</v>
      </c>
      <c r="K10" s="809"/>
      <c r="L10" s="809"/>
      <c r="M10" s="802">
        <f>-'Atbalsts Ukrainai'!C9</f>
        <v>-81.010131999999984</v>
      </c>
      <c r="N10" s="957">
        <f>-'Atbalsts Ukrainai'!D9+30</f>
        <v>-72</v>
      </c>
      <c r="O10" s="803">
        <f>-'Atbalsts Ukrainai'!E9</f>
        <v>-67.867408999999995</v>
      </c>
      <c r="P10" s="971">
        <f>-'Atbalsts Ukrainai'!F9</f>
        <v>-70</v>
      </c>
    </row>
    <row r="11" spans="1:16" x14ac:dyDescent="0.35">
      <c r="B11" s="1010"/>
      <c r="C11" s="808"/>
      <c r="D11" s="808"/>
      <c r="E11" s="804">
        <f>E10/E14</f>
        <v>2.0841284703988377E-3</v>
      </c>
      <c r="F11" s="804">
        <f>F10/F14</f>
        <v>2.5090119651090892E-3</v>
      </c>
      <c r="G11" s="804">
        <f>G10/G14</f>
        <v>1.6694131492348261E-3</v>
      </c>
      <c r="H11" s="970"/>
      <c r="J11" s="1010"/>
      <c r="K11" s="808"/>
      <c r="L11" s="808"/>
      <c r="M11" s="804">
        <f>M10/M14</f>
        <v>-2.0841284703988377E-3</v>
      </c>
      <c r="N11" s="804">
        <f>N10/N14</f>
        <v>-1.7710672694887688E-3</v>
      </c>
      <c r="O11" s="804">
        <f>O10/O14</f>
        <v>-1.6694131492348261E-3</v>
      </c>
      <c r="P11" s="970"/>
    </row>
    <row r="12" spans="1:16" ht="32.15" customHeight="1" x14ac:dyDescent="0.35">
      <c r="B12" s="945" t="s">
        <v>2142</v>
      </c>
      <c r="C12" s="946">
        <f t="shared" ref="C12:H12" si="2">C6+C8+C10</f>
        <v>1281.6858186900001</v>
      </c>
      <c r="D12" s="946">
        <f t="shared" si="2"/>
        <v>2317.0079603028998</v>
      </c>
      <c r="E12" s="947">
        <f t="shared" si="2"/>
        <v>1650.43493954</v>
      </c>
      <c r="F12" s="947">
        <f t="shared" si="2"/>
        <v>854.84740214999999</v>
      </c>
      <c r="G12" s="948">
        <f t="shared" si="2"/>
        <v>599.09166230999995</v>
      </c>
      <c r="H12" s="969">
        <f t="shared" si="2"/>
        <v>138.33050800000001</v>
      </c>
      <c r="J12" s="949" t="s">
        <v>2143</v>
      </c>
      <c r="K12" s="946">
        <f t="shared" ref="K12:P12" si="3">K6+K8+K10</f>
        <v>-960.77715680799997</v>
      </c>
      <c r="L12" s="946">
        <f t="shared" si="3"/>
        <v>-2104.6590670354458</v>
      </c>
      <c r="M12" s="947">
        <f t="shared" si="3"/>
        <v>-1480.9628068031229</v>
      </c>
      <c r="N12" s="947">
        <f>N6+N8+N10</f>
        <v>-670.3953360008768</v>
      </c>
      <c r="O12" s="948">
        <f>O6+O8+O10</f>
        <v>-599.12327896769989</v>
      </c>
      <c r="P12" s="969">
        <f t="shared" si="3"/>
        <v>-88.664673999999991</v>
      </c>
    </row>
    <row r="13" spans="1:16" ht="15.5" x14ac:dyDescent="0.35">
      <c r="B13" s="810" t="s">
        <v>2144</v>
      </c>
      <c r="C13" s="811">
        <f t="shared" ref="C13:H13" si="4">C12/C14</f>
        <v>4.2567543009901676E-2</v>
      </c>
      <c r="D13" s="811">
        <f t="shared" si="4"/>
        <v>6.947772601242222E-2</v>
      </c>
      <c r="E13" s="811">
        <f t="shared" si="4"/>
        <v>4.2460348614618955E-2</v>
      </c>
      <c r="F13" s="811">
        <f t="shared" si="4"/>
        <v>2.1027670199380111E-2</v>
      </c>
      <c r="G13" s="812">
        <f t="shared" si="4"/>
        <v>1.4736550479734154E-2</v>
      </c>
      <c r="H13" s="968"/>
      <c r="J13" s="810" t="s">
        <v>2144</v>
      </c>
      <c r="K13" s="811">
        <f t="shared" ref="K13:P13" si="5">K12/K14</f>
        <v>-3.190947605799134E-2</v>
      </c>
      <c r="L13" s="811">
        <f t="shared" si="5"/>
        <v>-6.3110238943647298E-2</v>
      </c>
      <c r="M13" s="811">
        <f t="shared" si="5"/>
        <v>-3.8100379212567662E-2</v>
      </c>
      <c r="N13" s="811">
        <f t="shared" si="5"/>
        <v>-1.6490489405681649E-2</v>
      </c>
      <c r="O13" s="812">
        <f t="shared" si="5"/>
        <v>-1.4737328191228919E-2</v>
      </c>
      <c r="P13" s="968"/>
    </row>
    <row r="14" spans="1:16" x14ac:dyDescent="0.35">
      <c r="A14" s="816"/>
      <c r="B14" s="817" t="s">
        <v>2389</v>
      </c>
      <c r="C14" s="818">
        <v>30109.462</v>
      </c>
      <c r="D14" s="818">
        <v>33348.932000000001</v>
      </c>
      <c r="E14" s="819">
        <v>38870.027999999998</v>
      </c>
      <c r="F14" s="1431">
        <v>40653.453000000001</v>
      </c>
      <c r="G14" s="1431">
        <v>40653.453000000001</v>
      </c>
      <c r="H14" s="1432"/>
      <c r="J14" s="817" t="str">
        <f>B14</f>
        <v>IKP (janvāris 2024)</v>
      </c>
      <c r="K14" s="962">
        <f t="shared" ref="K14:P14" si="6">C14</f>
        <v>30109.462</v>
      </c>
      <c r="L14" s="962">
        <f t="shared" si="6"/>
        <v>33348.932000000001</v>
      </c>
      <c r="M14" s="962">
        <f t="shared" si="6"/>
        <v>38870.027999999998</v>
      </c>
      <c r="N14" s="962">
        <f t="shared" si="6"/>
        <v>40653.453000000001</v>
      </c>
      <c r="O14" s="1433">
        <f t="shared" si="6"/>
        <v>40653.453000000001</v>
      </c>
      <c r="P14" s="1434"/>
    </row>
    <row r="16" spans="1:16" x14ac:dyDescent="0.35">
      <c r="B16" s="814" t="s">
        <v>2367</v>
      </c>
    </row>
    <row r="17" spans="2:2" ht="15.5" x14ac:dyDescent="0.35">
      <c r="B17" s="820"/>
    </row>
  </sheetData>
  <mergeCells count="8">
    <mergeCell ref="F4:G4"/>
    <mergeCell ref="N4:O4"/>
    <mergeCell ref="B6:B7"/>
    <mergeCell ref="B8:B9"/>
    <mergeCell ref="B10:B11"/>
    <mergeCell ref="J6:J7"/>
    <mergeCell ref="J8:J9"/>
    <mergeCell ref="J10:J11"/>
  </mergeCells>
  <pageMargins left="0.7" right="0.7" top="0.75" bottom="0.75" header="0.3" footer="0.3"/>
  <pageSetup paperSize="9" orientation="portrait" horizontalDpi="90" verticalDpi="9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511"/>
  <sheetViews>
    <sheetView view="pageBreakPreview" zoomScale="50" zoomScaleNormal="60" zoomScaleSheetLayoutView="50" workbookViewId="0">
      <selection activeCell="AM491" sqref="AM491"/>
    </sheetView>
  </sheetViews>
  <sheetFormatPr defaultColWidth="9.1796875" defaultRowHeight="14.5" outlineLevelRow="1" outlineLevelCol="2" x14ac:dyDescent="0.35"/>
  <cols>
    <col min="1" max="1" width="12.7265625" customWidth="1"/>
    <col min="2" max="2" width="85.54296875" customWidth="1"/>
    <col min="3" max="3" width="21.7265625" hidden="1" customWidth="1" outlineLevel="1"/>
    <col min="4" max="4" width="16.54296875" hidden="1" customWidth="1" outlineLevel="1"/>
    <col min="5" max="5" width="47" hidden="1" customWidth="1" outlineLevel="1"/>
    <col min="6" max="6" width="45.54296875" hidden="1" customWidth="1" outlineLevel="1"/>
    <col min="7" max="7" width="12" hidden="1" customWidth="1" outlineLevel="1"/>
    <col min="8" max="8" width="13.81640625" hidden="1" customWidth="1" outlineLevel="1"/>
    <col min="9" max="9" width="2.54296875" customWidth="1" collapsed="1"/>
    <col min="10" max="10" width="3.1796875" style="31" customWidth="1"/>
    <col min="11" max="11" width="15.1796875" style="2" hidden="1" customWidth="1" outlineLevel="2"/>
    <col min="12" max="12" width="13.54296875" style="2" hidden="1" customWidth="1" outlineLevel="2"/>
    <col min="13" max="13" width="14.81640625" style="2" customWidth="1" outlineLevel="1" collapsed="1"/>
    <col min="14" max="15" width="14.81640625" style="2" hidden="1" customWidth="1" outlineLevel="2"/>
    <col min="16" max="16" width="14.81640625" style="838" customWidth="1" outlineLevel="1" collapsed="1"/>
    <col min="17" max="17" width="14.81640625" style="838" hidden="1" customWidth="1" outlineLevel="2"/>
    <col min="18" max="18" width="14.81640625" style="2" hidden="1" customWidth="1" outlineLevel="2"/>
    <col min="19" max="19" width="14.81640625" style="2" customWidth="1" outlineLevel="1" collapsed="1"/>
    <col min="20" max="20" width="14.81640625" style="2" customWidth="1" outlineLevel="1"/>
    <col min="21" max="21" width="15.1796875" style="2" customWidth="1" outlineLevel="1"/>
    <col min="22" max="22" width="13.54296875" hidden="1" customWidth="1" outlineLevel="2"/>
    <col min="23" max="23" width="13.1796875" customWidth="1" outlineLevel="1" collapsed="1"/>
    <col min="24" max="24" width="12.1796875" hidden="1" customWidth="1" outlineLevel="2"/>
    <col min="25" max="26" width="16.1796875" hidden="1" customWidth="1" outlineLevel="2"/>
    <col min="27" max="27" width="14.453125" hidden="1" customWidth="1" outlineLevel="2"/>
    <col min="28" max="28" width="14.453125" style="842" customWidth="1" outlineLevel="1" collapsed="1"/>
    <col min="29" max="29" width="13.26953125" style="842" hidden="1" customWidth="1" outlineLevel="2"/>
    <col min="30" max="31" width="11.453125" hidden="1" customWidth="1" outlineLevel="2"/>
    <col min="32" max="34" width="14" hidden="1" customWidth="1" outlineLevel="2"/>
    <col min="35" max="35" width="14" customWidth="1" outlineLevel="1" collapsed="1"/>
    <col min="36" max="36" width="12.1796875" style="842" customWidth="1" outlineLevel="1"/>
    <col min="37" max="37" width="14.453125" style="842" hidden="1" customWidth="1" outlineLevel="2"/>
    <col min="38" max="38" width="14.453125" hidden="1" customWidth="1" outlineLevel="2"/>
    <col min="39" max="39" width="14.453125" customWidth="1" outlineLevel="1" collapsed="1"/>
    <col min="40" max="40" width="14.453125" customWidth="1" outlineLevel="1"/>
    <col min="41" max="43" width="9.1796875" customWidth="1" outlineLevel="1"/>
    <col min="44" max="44" width="13.81640625" style="4" customWidth="1"/>
    <col min="45" max="45" width="16.54296875" style="831" customWidth="1"/>
    <col min="46" max="46" width="89.1796875" hidden="1" customWidth="1" outlineLevel="1"/>
    <col min="47" max="47" width="9.1796875" collapsed="1"/>
    <col min="48" max="48" width="13" customWidth="1"/>
  </cols>
  <sheetData>
    <row r="1" spans="1:46" ht="18.5" x14ac:dyDescent="0.45">
      <c r="A1" s="30"/>
      <c r="B1" s="30"/>
      <c r="C1" s="30"/>
      <c r="D1" s="30"/>
      <c r="E1" s="30"/>
      <c r="F1" s="1213"/>
      <c r="G1" s="1213"/>
      <c r="H1" s="1213"/>
      <c r="I1" s="1213"/>
      <c r="J1" s="1213"/>
      <c r="K1" s="1213"/>
      <c r="L1" s="1213"/>
      <c r="M1" s="1213"/>
      <c r="N1" s="1213"/>
      <c r="O1" s="1213"/>
      <c r="P1" s="1213"/>
      <c r="Q1" s="1213"/>
      <c r="R1" s="1213"/>
      <c r="S1" s="1213"/>
      <c r="T1" s="1213"/>
      <c r="U1" s="1213"/>
      <c r="V1" s="1213"/>
      <c r="W1" s="1213"/>
      <c r="X1" s="1213"/>
      <c r="Y1" s="1213"/>
      <c r="Z1" s="1213"/>
      <c r="AA1" s="1213"/>
      <c r="AB1" s="1213"/>
      <c r="AC1" s="1213"/>
      <c r="AD1" s="1213"/>
      <c r="AE1" s="1213"/>
      <c r="AF1" s="1213"/>
      <c r="AG1" s="1213"/>
      <c r="AH1" s="1213"/>
      <c r="AI1" s="1213"/>
      <c r="AJ1" s="1213"/>
      <c r="AK1" s="1213"/>
      <c r="AL1" s="1213"/>
      <c r="AM1" s="1213"/>
      <c r="AN1" s="1213"/>
      <c r="AO1" s="1213"/>
      <c r="AP1" s="1213"/>
      <c r="AQ1" s="1213"/>
      <c r="AR1" s="1213"/>
      <c r="AS1" s="827"/>
      <c r="AT1" s="258"/>
    </row>
    <row r="2" spans="1:46" ht="21.5" thickBot="1" x14ac:dyDescent="0.4">
      <c r="A2" s="1214" t="s">
        <v>16</v>
      </c>
      <c r="B2" s="1214"/>
      <c r="C2" s="1214"/>
      <c r="D2" s="1214"/>
      <c r="E2" s="1214"/>
      <c r="F2" s="1214"/>
      <c r="G2" s="1214"/>
      <c r="H2" s="1214"/>
      <c r="I2" s="1214"/>
      <c r="J2" s="1214"/>
      <c r="K2" s="1214"/>
      <c r="L2" s="1214"/>
      <c r="M2" s="1214"/>
      <c r="N2" s="1214"/>
      <c r="O2" s="1214"/>
      <c r="P2" s="1214"/>
      <c r="Q2" s="1214"/>
      <c r="R2" s="1214"/>
      <c r="S2" s="1214"/>
      <c r="T2" s="1214"/>
      <c r="U2" s="1214"/>
      <c r="V2" s="1214"/>
      <c r="W2" s="1214"/>
      <c r="X2" s="1214"/>
      <c r="Y2" s="1214"/>
      <c r="Z2" s="1214"/>
      <c r="AA2" s="1214"/>
      <c r="AB2" s="1214"/>
      <c r="AC2" s="1214"/>
      <c r="AD2" s="1214"/>
      <c r="AE2" s="1214"/>
      <c r="AF2" s="1214"/>
      <c r="AG2" s="1214"/>
      <c r="AH2" s="1214"/>
      <c r="AI2" s="1214"/>
      <c r="AJ2" s="1214"/>
      <c r="AK2" s="1214"/>
      <c r="AL2" s="1214"/>
      <c r="AM2" s="1214"/>
      <c r="AN2" s="1214"/>
      <c r="AO2" s="1214"/>
      <c r="AP2" s="1214"/>
      <c r="AQ2" s="1214"/>
      <c r="AR2" s="1214"/>
      <c r="AS2" s="1214"/>
      <c r="AT2" s="1214"/>
    </row>
    <row r="3" spans="1:46" ht="15.65" customHeight="1" x14ac:dyDescent="0.35">
      <c r="A3" s="1215" t="s">
        <v>0</v>
      </c>
      <c r="B3" s="1111" t="s">
        <v>1698</v>
      </c>
      <c r="C3" s="1217" t="s">
        <v>6</v>
      </c>
      <c r="D3" s="1113" t="s">
        <v>3</v>
      </c>
      <c r="E3" s="1111" t="s">
        <v>17</v>
      </c>
      <c r="F3" s="1215" t="s">
        <v>1</v>
      </c>
      <c r="G3" s="1113" t="s">
        <v>20</v>
      </c>
      <c r="H3" s="1111" t="s">
        <v>18</v>
      </c>
      <c r="I3" s="1110"/>
      <c r="J3" s="279"/>
      <c r="K3" s="1220" t="s">
        <v>522</v>
      </c>
      <c r="L3" s="1221"/>
      <c r="M3" s="1221"/>
      <c r="N3" s="1221"/>
      <c r="O3" s="1221"/>
      <c r="P3" s="1221"/>
      <c r="Q3" s="1221"/>
      <c r="R3" s="1221"/>
      <c r="S3" s="1221"/>
      <c r="T3" s="1221"/>
      <c r="U3" s="1222"/>
      <c r="V3" s="1236" t="s">
        <v>1709</v>
      </c>
      <c r="W3" s="1237"/>
      <c r="X3" s="1237"/>
      <c r="Y3" s="1237"/>
      <c r="Z3" s="1237"/>
      <c r="AA3" s="1237"/>
      <c r="AB3" s="1237"/>
      <c r="AC3" s="1237"/>
      <c r="AD3" s="1237"/>
      <c r="AE3" s="1237"/>
      <c r="AF3" s="1237"/>
      <c r="AG3" s="1237"/>
      <c r="AH3" s="1237"/>
      <c r="AI3" s="1237"/>
      <c r="AJ3" s="1237"/>
      <c r="AK3" s="1237"/>
      <c r="AL3" s="1237"/>
      <c r="AM3" s="1237"/>
      <c r="AN3" s="1237"/>
      <c r="AO3" s="1237"/>
      <c r="AP3" s="1237"/>
      <c r="AQ3" s="1238"/>
      <c r="AR3" s="1246" t="s">
        <v>2374</v>
      </c>
      <c r="AS3" s="1247"/>
      <c r="AT3" s="1233" t="s">
        <v>19</v>
      </c>
    </row>
    <row r="4" spans="1:46" ht="22.5" customHeight="1" thickBot="1" x14ac:dyDescent="0.4">
      <c r="A4" s="1216"/>
      <c r="B4" s="1112"/>
      <c r="C4" s="1218"/>
      <c r="D4" s="1114"/>
      <c r="E4" s="1112"/>
      <c r="F4" s="1216"/>
      <c r="G4" s="1114"/>
      <c r="H4" s="1112"/>
      <c r="I4" s="1110"/>
      <c r="J4" s="280"/>
      <c r="K4" s="1223"/>
      <c r="L4" s="1224"/>
      <c r="M4" s="1224"/>
      <c r="N4" s="1224"/>
      <c r="O4" s="1224"/>
      <c r="P4" s="1224"/>
      <c r="Q4" s="1224"/>
      <c r="R4" s="1224"/>
      <c r="S4" s="1224"/>
      <c r="T4" s="1224"/>
      <c r="U4" s="1225"/>
      <c r="V4" s="1239"/>
      <c r="W4" s="1240"/>
      <c r="X4" s="1240"/>
      <c r="Y4" s="1240"/>
      <c r="Z4" s="1240"/>
      <c r="AA4" s="1240"/>
      <c r="AB4" s="1240"/>
      <c r="AC4" s="1240"/>
      <c r="AD4" s="1240"/>
      <c r="AE4" s="1240"/>
      <c r="AF4" s="1240"/>
      <c r="AG4" s="1240"/>
      <c r="AH4" s="1240"/>
      <c r="AI4" s="1240"/>
      <c r="AJ4" s="1240"/>
      <c r="AK4" s="1240"/>
      <c r="AL4" s="1240"/>
      <c r="AM4" s="1240"/>
      <c r="AN4" s="1240"/>
      <c r="AO4" s="1240"/>
      <c r="AP4" s="1240"/>
      <c r="AQ4" s="1241"/>
      <c r="AR4" s="1248"/>
      <c r="AS4" s="1249"/>
      <c r="AT4" s="1234"/>
    </row>
    <row r="5" spans="1:46" ht="15.5" x14ac:dyDescent="0.35">
      <c r="A5" s="1216"/>
      <c r="B5" s="1112"/>
      <c r="C5" s="1218"/>
      <c r="D5" s="1114"/>
      <c r="E5" s="1112"/>
      <c r="F5" s="1216"/>
      <c r="G5" s="1114"/>
      <c r="H5" s="1112"/>
      <c r="I5" s="1110"/>
      <c r="J5" s="280"/>
      <c r="K5" s="1227" t="s">
        <v>415</v>
      </c>
      <c r="L5" s="1229">
        <v>2020</v>
      </c>
      <c r="M5" s="1230"/>
      <c r="N5" s="1229">
        <v>2021</v>
      </c>
      <c r="O5" s="1254"/>
      <c r="P5" s="1230"/>
      <c r="Q5" s="1229">
        <v>2022</v>
      </c>
      <c r="R5" s="1254"/>
      <c r="S5" s="1230"/>
      <c r="T5" s="197">
        <v>2023</v>
      </c>
      <c r="U5" s="398">
        <v>2024</v>
      </c>
      <c r="V5" s="1231">
        <v>2020</v>
      </c>
      <c r="W5" s="1232"/>
      <c r="X5" s="1251">
        <v>2021</v>
      </c>
      <c r="Y5" s="1252"/>
      <c r="Z5" s="1252"/>
      <c r="AA5" s="1252"/>
      <c r="AB5" s="1253"/>
      <c r="AC5" s="1251">
        <v>2022</v>
      </c>
      <c r="AD5" s="1252"/>
      <c r="AE5" s="1252"/>
      <c r="AF5" s="1252"/>
      <c r="AG5" s="1252"/>
      <c r="AH5" s="1252"/>
      <c r="AI5" s="1253"/>
      <c r="AJ5" s="1251">
        <v>2023</v>
      </c>
      <c r="AK5" s="1252"/>
      <c r="AL5" s="1252"/>
      <c r="AM5" s="1252"/>
      <c r="AN5" s="1253"/>
      <c r="AO5" s="291">
        <v>2024</v>
      </c>
      <c r="AP5" s="291">
        <v>2025</v>
      </c>
      <c r="AQ5" s="291">
        <v>2026</v>
      </c>
      <c r="AR5" s="1242" t="s">
        <v>1710</v>
      </c>
      <c r="AS5" s="1244" t="s">
        <v>1711</v>
      </c>
      <c r="AT5" s="1234"/>
    </row>
    <row r="6" spans="1:46" ht="42.65" customHeight="1" thickBot="1" x14ac:dyDescent="0.4">
      <c r="A6" s="1216"/>
      <c r="B6" s="1112"/>
      <c r="C6" s="1218"/>
      <c r="D6" s="1114"/>
      <c r="E6" s="1112"/>
      <c r="F6" s="1219"/>
      <c r="G6" s="1115"/>
      <c r="H6" s="1250"/>
      <c r="I6" s="1110"/>
      <c r="J6" s="281"/>
      <c r="K6" s="1228"/>
      <c r="L6" s="32" t="s">
        <v>524</v>
      </c>
      <c r="M6" s="46" t="s">
        <v>1201</v>
      </c>
      <c r="N6" s="46" t="s">
        <v>1348</v>
      </c>
      <c r="O6" s="259" t="s">
        <v>1531</v>
      </c>
      <c r="P6" s="46" t="s">
        <v>1201</v>
      </c>
      <c r="Q6" s="46" t="s">
        <v>1348</v>
      </c>
      <c r="R6" s="46" t="s">
        <v>1531</v>
      </c>
      <c r="S6" s="46" t="s">
        <v>1201</v>
      </c>
      <c r="T6" s="46" t="s">
        <v>523</v>
      </c>
      <c r="U6" s="293" t="s">
        <v>523</v>
      </c>
      <c r="V6" s="292" t="s">
        <v>524</v>
      </c>
      <c r="W6" s="46" t="s">
        <v>1201</v>
      </c>
      <c r="X6" s="46" t="s">
        <v>523</v>
      </c>
      <c r="Y6" s="128" t="s">
        <v>1210</v>
      </c>
      <c r="Z6" s="128" t="s">
        <v>1532</v>
      </c>
      <c r="AA6" s="470" t="s">
        <v>1632</v>
      </c>
      <c r="AB6" s="46" t="s">
        <v>1201</v>
      </c>
      <c r="AC6" s="46" t="s">
        <v>523</v>
      </c>
      <c r="AD6" s="128" t="s">
        <v>1533</v>
      </c>
      <c r="AE6" s="470" t="s">
        <v>1633</v>
      </c>
      <c r="AF6" s="470" t="s">
        <v>2000</v>
      </c>
      <c r="AG6" s="470" t="s">
        <v>2326</v>
      </c>
      <c r="AH6" s="470" t="s">
        <v>2328</v>
      </c>
      <c r="AI6" s="46" t="s">
        <v>1201</v>
      </c>
      <c r="AJ6" s="868" t="s">
        <v>523</v>
      </c>
      <c r="AK6" s="821" t="s">
        <v>2326</v>
      </c>
      <c r="AL6" s="821" t="str">
        <f>AH6</f>
        <v>Prognoze uz Budget 15.12.2022</v>
      </c>
      <c r="AM6" s="470" t="s">
        <v>2351</v>
      </c>
      <c r="AN6" s="470" t="s">
        <v>2365</v>
      </c>
      <c r="AO6" s="824" t="s">
        <v>523</v>
      </c>
      <c r="AP6" s="824" t="s">
        <v>523</v>
      </c>
      <c r="AQ6" s="824" t="s">
        <v>523</v>
      </c>
      <c r="AR6" s="1243"/>
      <c r="AS6" s="1245"/>
      <c r="AT6" s="1235"/>
    </row>
    <row r="7" spans="1:46" ht="21" customHeight="1" thickBot="1" x14ac:dyDescent="0.4">
      <c r="A7" s="1262" t="s">
        <v>1728</v>
      </c>
      <c r="B7" s="1263"/>
      <c r="C7" s="592"/>
      <c r="D7" s="471"/>
      <c r="E7" s="472"/>
      <c r="F7" s="476"/>
      <c r="G7" s="451"/>
      <c r="H7" s="452"/>
      <c r="I7" s="453"/>
      <c r="J7" s="457"/>
      <c r="K7" s="458">
        <f t="shared" ref="K7:AS7" ca="1" si="0">K8+K28+K76+K106+K491</f>
        <v>5478.6981628928997</v>
      </c>
      <c r="L7" s="459">
        <f t="shared" si="0"/>
        <v>2679.3127039999999</v>
      </c>
      <c r="M7" s="591">
        <f t="shared" si="0"/>
        <v>1281.6858186900001</v>
      </c>
      <c r="N7" s="460">
        <f t="shared" si="0"/>
        <v>3638.3423350399999</v>
      </c>
      <c r="O7" s="460">
        <f t="shared" si="0"/>
        <v>3205.42021604</v>
      </c>
      <c r="P7" s="456">
        <f t="shared" si="0"/>
        <v>2315.1273903029</v>
      </c>
      <c r="Q7" s="591">
        <f t="shared" si="0"/>
        <v>1622.9546355700002</v>
      </c>
      <c r="R7" s="591">
        <f t="shared" si="0"/>
        <v>1501.95211657</v>
      </c>
      <c r="S7" s="591">
        <f t="shared" ref="S7" si="1">S8+S28+S76+S106+S491</f>
        <v>965.88075563999985</v>
      </c>
      <c r="T7" s="591">
        <f t="shared" si="0"/>
        <v>100.80846314999999</v>
      </c>
      <c r="U7" s="461">
        <f t="shared" si="0"/>
        <v>18.330508000000002</v>
      </c>
      <c r="V7" s="462">
        <f t="shared" si="0"/>
        <v>-1212.607702</v>
      </c>
      <c r="W7" s="454">
        <f t="shared" si="0"/>
        <v>-960.77715680799997</v>
      </c>
      <c r="X7" s="454">
        <f t="shared" si="0"/>
        <v>-2903.1438873119996</v>
      </c>
      <c r="Y7" s="455">
        <f t="shared" si="0"/>
        <v>-2069.2121343999997</v>
      </c>
      <c r="Z7" s="455">
        <f t="shared" si="0"/>
        <v>-2374.1347938099998</v>
      </c>
      <c r="AA7" s="469">
        <f t="shared" si="0"/>
        <v>-2260.0635989199995</v>
      </c>
      <c r="AB7" s="463">
        <f t="shared" si="0"/>
        <v>-2102.778497035446</v>
      </c>
      <c r="AC7" s="454">
        <f t="shared" si="0"/>
        <v>-1240.2838141100001</v>
      </c>
      <c r="AD7" s="455">
        <f t="shared" si="0"/>
        <v>-232.55453448999998</v>
      </c>
      <c r="AE7" s="469">
        <f t="shared" si="0"/>
        <v>-263.16304830000001</v>
      </c>
      <c r="AF7" s="469">
        <f t="shared" si="0"/>
        <v>-659.74797727999987</v>
      </c>
      <c r="AG7" s="469">
        <f t="shared" si="0"/>
        <v>-834.59758209112294</v>
      </c>
      <c r="AH7" s="823">
        <f t="shared" si="0"/>
        <v>-827.79301609112304</v>
      </c>
      <c r="AI7" s="463">
        <f>AI8+AI28+AI76+AI106+AI491</f>
        <v>-796.40862290312305</v>
      </c>
      <c r="AJ7" s="458">
        <f t="shared" si="0"/>
        <v>-102.6715680008768</v>
      </c>
      <c r="AK7" s="870">
        <f t="shared" si="0"/>
        <v>-92.578091600876803</v>
      </c>
      <c r="AL7" s="637">
        <f t="shared" si="0"/>
        <v>-89.480491600876803</v>
      </c>
      <c r="AM7" s="637">
        <f t="shared" ref="AM7:AP7" si="2">AM8+AM28+AM76+AM106+AM491</f>
        <v>-132.69533600087681</v>
      </c>
      <c r="AN7" s="637">
        <f t="shared" ref="AN7" si="3">AN8+AN28+AN76+AN106+AN491</f>
        <v>-132.69533600087681</v>
      </c>
      <c r="AO7" s="456">
        <f t="shared" si="2"/>
        <v>-18.664673999999998</v>
      </c>
      <c r="AP7" s="456">
        <f t="shared" si="2"/>
        <v>-14.030507999999999</v>
      </c>
      <c r="AQ7" s="456">
        <f t="shared" si="0"/>
        <v>-12.290507999999999</v>
      </c>
      <c r="AR7" s="463">
        <f>AR8+AR28+AR76+AR106+AR491</f>
        <v>-95.31057365769999</v>
      </c>
      <c r="AS7" s="456">
        <f t="shared" si="0"/>
        <v>76.778956999999991</v>
      </c>
      <c r="AT7" s="1006" t="s">
        <v>2358</v>
      </c>
    </row>
    <row r="8" spans="1:46" ht="18.5" x14ac:dyDescent="0.35">
      <c r="A8" s="304" t="s">
        <v>49</v>
      </c>
      <c r="B8" s="609"/>
      <c r="C8" s="6"/>
      <c r="D8" s="6"/>
      <c r="E8" s="427"/>
      <c r="F8" s="477"/>
      <c r="G8" s="368" t="s">
        <v>1727</v>
      </c>
      <c r="H8" s="369" t="s">
        <v>1727</v>
      </c>
      <c r="I8" s="329"/>
      <c r="J8" s="507"/>
      <c r="K8" s="319">
        <f t="shared" ref="K8:AQ8" si="4">K9+K20+K22+K24+K26</f>
        <v>387.54300000000001</v>
      </c>
      <c r="L8" s="519">
        <f>L9+L20+L22+L24+L26</f>
        <v>234.19</v>
      </c>
      <c r="M8" s="520">
        <f t="shared" si="4"/>
        <v>252.99299999999999</v>
      </c>
      <c r="N8" s="520">
        <f t="shared" si="4"/>
        <v>110</v>
      </c>
      <c r="O8" s="521">
        <f t="shared" si="4"/>
        <v>110</v>
      </c>
      <c r="P8" s="520">
        <f t="shared" ref="P8" si="5">P9+P20+P22+P24+P26</f>
        <v>93.55</v>
      </c>
      <c r="Q8" s="520">
        <f>Q9+Q20+Q22+Q24+Q26</f>
        <v>35.5</v>
      </c>
      <c r="R8" s="520">
        <f>R9+R20+R22+R24+R26</f>
        <v>35.5</v>
      </c>
      <c r="S8" s="520">
        <f>S9+S20+S22+S24+S26</f>
        <v>36.980000000000004</v>
      </c>
      <c r="T8" s="520">
        <f t="shared" si="4"/>
        <v>5.5</v>
      </c>
      <c r="U8" s="522">
        <f t="shared" si="4"/>
        <v>0</v>
      </c>
      <c r="V8" s="568">
        <f t="shared" si="4"/>
        <v>-139.93</v>
      </c>
      <c r="W8" s="576">
        <f t="shared" si="4"/>
        <v>-127.12445199999999</v>
      </c>
      <c r="X8" s="577">
        <f t="shared" si="4"/>
        <v>-22.684162239999996</v>
      </c>
      <c r="Y8" s="578">
        <f t="shared" si="4"/>
        <v>-24.031907999999998</v>
      </c>
      <c r="Z8" s="578">
        <f t="shared" si="4"/>
        <v>-30.031907999999998</v>
      </c>
      <c r="AA8" s="578">
        <f t="shared" si="4"/>
        <v>-28.684162239999996</v>
      </c>
      <c r="AB8" s="576">
        <f>AB9+AB20+AB22+AB24+AB26</f>
        <v>-12.759348012</v>
      </c>
      <c r="AC8" s="577">
        <f t="shared" si="4"/>
        <v>-3.86216464</v>
      </c>
      <c r="AD8" s="578">
        <f t="shared" si="4"/>
        <v>36.462440000000001</v>
      </c>
      <c r="AE8" s="578">
        <f t="shared" ref="AE8" si="6">AE9+AE20+AE22+AE24+AE26</f>
        <v>35.637835359999997</v>
      </c>
      <c r="AF8" s="578">
        <f t="shared" si="4"/>
        <v>0.13783536000000041</v>
      </c>
      <c r="AG8" s="578">
        <f>AG9+AG20+AG22+AG24+AG26</f>
        <v>-4.3249775511231867</v>
      </c>
      <c r="AH8" s="578">
        <f>AH9+AH20+AH22+AH24+AH26</f>
        <v>-4.3249775511231867</v>
      </c>
      <c r="AI8" s="319">
        <f>AI9+AI20+AI22+AI24+AI26</f>
        <v>-5.6758423631231869</v>
      </c>
      <c r="AJ8" s="520">
        <f t="shared" si="4"/>
        <v>25.075869099123185</v>
      </c>
      <c r="AK8" s="822">
        <f t="shared" ref="AK8:AL8" si="7">AK9+AK20+AK22+AK24+AK26</f>
        <v>25.052101099123188</v>
      </c>
      <c r="AL8" s="822">
        <f t="shared" si="7"/>
        <v>25.052101099123188</v>
      </c>
      <c r="AM8" s="822">
        <f t="shared" ref="AM8:AP8" si="8">AM9+AM20+AM22+AM24+AM26</f>
        <v>-4.9478989008768135</v>
      </c>
      <c r="AN8" s="822">
        <f t="shared" ref="AN8" si="9">AN9+AN20+AN22+AN24+AN26</f>
        <v>-4.9478989008768135</v>
      </c>
      <c r="AO8" s="522">
        <f t="shared" si="8"/>
        <v>6.3922999999999994E-2</v>
      </c>
      <c r="AP8" s="522">
        <f t="shared" si="8"/>
        <v>0</v>
      </c>
      <c r="AQ8" s="522">
        <f t="shared" si="4"/>
        <v>0</v>
      </c>
      <c r="AR8" s="319">
        <f>AR9+AR20+AR22+AR24+AR26</f>
        <v>-5.5</v>
      </c>
      <c r="AS8" s="522">
        <f>AS9+AS20+AS22+AS24+AS26</f>
        <v>5.5</v>
      </c>
      <c r="AT8" s="320"/>
    </row>
    <row r="9" spans="1:46" ht="18.5" x14ac:dyDescent="0.35">
      <c r="A9" s="428">
        <v>1</v>
      </c>
      <c r="B9" s="610" t="s">
        <v>536</v>
      </c>
      <c r="C9" s="593"/>
      <c r="D9" s="345"/>
      <c r="E9" s="429"/>
      <c r="F9" s="478"/>
      <c r="G9" s="370" t="s">
        <v>1727</v>
      </c>
      <c r="H9" s="371" t="s">
        <v>1727</v>
      </c>
      <c r="I9" s="335"/>
      <c r="J9" s="336"/>
      <c r="K9" s="399">
        <f t="shared" ref="K9:AQ9" si="10">SUM(K10:K19)</f>
        <v>224.54300000000001</v>
      </c>
      <c r="L9" s="350">
        <f t="shared" si="10"/>
        <v>139.19</v>
      </c>
      <c r="M9" s="350">
        <f t="shared" si="10"/>
        <v>161.99299999999999</v>
      </c>
      <c r="N9" s="350">
        <f t="shared" si="10"/>
        <v>75</v>
      </c>
      <c r="O9" s="350">
        <f t="shared" si="10"/>
        <v>75</v>
      </c>
      <c r="P9" s="350">
        <f t="shared" ref="P9:Q9" si="11">SUM(P10:P19)</f>
        <v>62.55</v>
      </c>
      <c r="Q9" s="350">
        <f t="shared" si="11"/>
        <v>0</v>
      </c>
      <c r="R9" s="350">
        <f t="shared" si="10"/>
        <v>0</v>
      </c>
      <c r="S9" s="350">
        <f t="shared" ref="S9" si="12">SUM(S10:S19)</f>
        <v>1.48</v>
      </c>
      <c r="T9" s="350">
        <f t="shared" si="10"/>
        <v>0</v>
      </c>
      <c r="U9" s="400">
        <f t="shared" si="10"/>
        <v>0</v>
      </c>
      <c r="V9" s="569">
        <f t="shared" si="10"/>
        <v>-44.930000000000007</v>
      </c>
      <c r="W9" s="405">
        <f t="shared" si="10"/>
        <v>-36.124451999999998</v>
      </c>
      <c r="X9" s="351">
        <f t="shared" si="10"/>
        <v>-22.684162239999996</v>
      </c>
      <c r="Y9" s="359">
        <f t="shared" si="10"/>
        <v>-24.031907999999998</v>
      </c>
      <c r="Z9" s="359">
        <f t="shared" si="10"/>
        <v>-24.031907999999998</v>
      </c>
      <c r="AA9" s="567">
        <f t="shared" si="10"/>
        <v>-22.684162239999996</v>
      </c>
      <c r="AB9" s="350">
        <f>SUM(AB10:AB19)</f>
        <v>-12.759348012</v>
      </c>
      <c r="AC9" s="351">
        <f t="shared" si="10"/>
        <v>0.63783535999999996</v>
      </c>
      <c r="AD9" s="586">
        <f t="shared" si="10"/>
        <v>1.46244</v>
      </c>
      <c r="AE9" s="464">
        <f t="shared" ref="AE9" si="13">SUM(AE10:AE19)</f>
        <v>0.63783535999999996</v>
      </c>
      <c r="AF9" s="464">
        <f t="shared" si="10"/>
        <v>0.63783535999999996</v>
      </c>
      <c r="AG9" s="464">
        <f t="shared" ref="AG9:AM9" si="14">SUM(AG10:AG19)</f>
        <v>0.17502244887681331</v>
      </c>
      <c r="AH9" s="464">
        <f t="shared" si="14"/>
        <v>0.17502244887681331</v>
      </c>
      <c r="AI9" s="337">
        <f t="shared" si="14"/>
        <v>-0.17584236312318702</v>
      </c>
      <c r="AJ9" s="351">
        <f t="shared" si="14"/>
        <v>0.57586909912318685</v>
      </c>
      <c r="AK9" s="586">
        <f t="shared" si="14"/>
        <v>0.55210109912318683</v>
      </c>
      <c r="AL9" s="586">
        <f t="shared" si="14"/>
        <v>0.55210109912318683</v>
      </c>
      <c r="AM9" s="586">
        <f t="shared" si="14"/>
        <v>0.55210109912318683</v>
      </c>
      <c r="AN9" s="586">
        <f t="shared" ref="AN9" si="15">SUM(AN10:AN19)</f>
        <v>0.55210109912318683</v>
      </c>
      <c r="AO9" s="352">
        <f t="shared" ref="AO9:AP9" si="16">SUM(AO10:AO19)</f>
        <v>6.3922999999999994E-2</v>
      </c>
      <c r="AP9" s="352">
        <f t="shared" si="16"/>
        <v>0</v>
      </c>
      <c r="AQ9" s="352">
        <f t="shared" si="10"/>
        <v>0</v>
      </c>
      <c r="AR9" s="337">
        <f>SUM(AR10:AR19)</f>
        <v>0</v>
      </c>
      <c r="AS9" s="871">
        <f>SUM(AS10:AS19)</f>
        <v>0</v>
      </c>
      <c r="AT9" s="338"/>
    </row>
    <row r="10" spans="1:46" ht="14.5" hidden="1" customHeight="1" outlineLevel="1" thickBot="1" x14ac:dyDescent="0.4">
      <c r="A10" s="1255">
        <v>1</v>
      </c>
      <c r="B10" s="611" t="s">
        <v>536</v>
      </c>
      <c r="C10" s="1256" t="s">
        <v>536</v>
      </c>
      <c r="D10" s="1257" t="s">
        <v>420</v>
      </c>
      <c r="E10" s="1259" t="s">
        <v>566</v>
      </c>
      <c r="F10" s="1260" t="s">
        <v>132</v>
      </c>
      <c r="G10" s="73" t="s">
        <v>427</v>
      </c>
      <c r="H10" s="305" t="s">
        <v>123</v>
      </c>
      <c r="I10" s="330"/>
      <c r="J10" s="282"/>
      <c r="K10" s="1207">
        <f>M10+P10+R10+T10+U10</f>
        <v>161.99299999999999</v>
      </c>
      <c r="L10" s="1208">
        <v>139.19</v>
      </c>
      <c r="M10" s="1096">
        <v>161.99299999999999</v>
      </c>
      <c r="N10" s="1096">
        <v>0</v>
      </c>
      <c r="O10" s="1096">
        <v>0</v>
      </c>
      <c r="P10" s="1096">
        <v>0</v>
      </c>
      <c r="Q10" s="1096">
        <v>0</v>
      </c>
      <c r="R10" s="1096">
        <v>0</v>
      </c>
      <c r="S10" s="1096">
        <v>0</v>
      </c>
      <c r="T10" s="1096">
        <v>0</v>
      </c>
      <c r="U10" s="1210">
        <v>0</v>
      </c>
      <c r="V10" s="874">
        <f>-16.45+11.51</f>
        <v>-4.9399999999999995</v>
      </c>
      <c r="W10" s="875">
        <f>-(24.23-4.26)*30%</f>
        <v>-5.9909999999999997</v>
      </c>
      <c r="X10" s="876">
        <f>1.64-1.64</f>
        <v>0</v>
      </c>
      <c r="Y10" s="877">
        <f>1.64-1.64</f>
        <v>0</v>
      </c>
      <c r="Z10" s="877">
        <f>1.64-1.64</f>
        <v>0</v>
      </c>
      <c r="AA10" s="878">
        <f>1.64-1.64</f>
        <v>0</v>
      </c>
      <c r="AB10" s="1094">
        <v>0.56233688000000004</v>
      </c>
      <c r="AC10" s="876">
        <f t="shared" ref="AC10:AH10" si="17">3.29-3.29</f>
        <v>0</v>
      </c>
      <c r="AD10" s="877">
        <f t="shared" si="17"/>
        <v>0</v>
      </c>
      <c r="AE10" s="878">
        <f t="shared" si="17"/>
        <v>0</v>
      </c>
      <c r="AF10" s="878">
        <f t="shared" si="17"/>
        <v>0</v>
      </c>
      <c r="AG10" s="878">
        <f t="shared" si="17"/>
        <v>0</v>
      </c>
      <c r="AH10" s="878">
        <f t="shared" si="17"/>
        <v>0</v>
      </c>
      <c r="AI10" s="1077">
        <v>0.26815763687681299</v>
      </c>
      <c r="AJ10" s="876">
        <f>6.58-6.58</f>
        <v>0</v>
      </c>
      <c r="AK10" s="879">
        <f>6.58-6.58</f>
        <v>0</v>
      </c>
      <c r="AL10" s="879">
        <f>6.58-6.58</f>
        <v>0</v>
      </c>
      <c r="AM10" s="879">
        <f>6.58-6.58</f>
        <v>0</v>
      </c>
      <c r="AN10" s="879">
        <f>6.58-6.58</f>
        <v>0</v>
      </c>
      <c r="AO10" s="880">
        <v>0</v>
      </c>
      <c r="AP10" s="880">
        <v>0</v>
      </c>
      <c r="AQ10" s="880">
        <v>0</v>
      </c>
      <c r="AR10" s="1077">
        <v>0</v>
      </c>
      <c r="AS10" s="1168">
        <f>-AR10</f>
        <v>0</v>
      </c>
      <c r="AT10" s="1173" t="s">
        <v>1361</v>
      </c>
    </row>
    <row r="11" spans="1:46" ht="14.5" hidden="1" customHeight="1" outlineLevel="1" x14ac:dyDescent="0.35">
      <c r="A11" s="1255"/>
      <c r="B11" s="611" t="s">
        <v>536</v>
      </c>
      <c r="C11" s="1256"/>
      <c r="D11" s="1258"/>
      <c r="E11" s="1259"/>
      <c r="F11" s="1260"/>
      <c r="G11" s="73" t="s">
        <v>427</v>
      </c>
      <c r="H11" s="305" t="s">
        <v>124</v>
      </c>
      <c r="I11" s="330"/>
      <c r="J11" s="282"/>
      <c r="K11" s="1209"/>
      <c r="L11" s="1208"/>
      <c r="M11" s="1212"/>
      <c r="N11" s="1096"/>
      <c r="O11" s="1096"/>
      <c r="P11" s="1096"/>
      <c r="Q11" s="1096"/>
      <c r="R11" s="1096"/>
      <c r="S11" s="1096"/>
      <c r="T11" s="1096"/>
      <c r="U11" s="1210"/>
      <c r="V11" s="874">
        <f>-55.32+38.73</f>
        <v>-16.590000000000003</v>
      </c>
      <c r="W11" s="875">
        <f>-(52.79-10.3)*30%</f>
        <v>-12.746999999999998</v>
      </c>
      <c r="X11" s="876">
        <f>5.53-5.53</f>
        <v>0</v>
      </c>
      <c r="Y11" s="877">
        <f>5.53-5.53</f>
        <v>0</v>
      </c>
      <c r="Z11" s="877">
        <f>5.53-5.53</f>
        <v>0</v>
      </c>
      <c r="AA11" s="878">
        <f>5.53-5.53</f>
        <v>0</v>
      </c>
      <c r="AB11" s="1094"/>
      <c r="AC11" s="876">
        <f t="shared" ref="AC11:AH11" si="18">11.07-11.07</f>
        <v>0</v>
      </c>
      <c r="AD11" s="877">
        <f t="shared" si="18"/>
        <v>0</v>
      </c>
      <c r="AE11" s="878">
        <f t="shared" si="18"/>
        <v>0</v>
      </c>
      <c r="AF11" s="878">
        <f t="shared" si="18"/>
        <v>0</v>
      </c>
      <c r="AG11" s="878">
        <f t="shared" si="18"/>
        <v>0</v>
      </c>
      <c r="AH11" s="878">
        <f t="shared" si="18"/>
        <v>0</v>
      </c>
      <c r="AI11" s="1078"/>
      <c r="AJ11" s="876">
        <f>22.13-22.13</f>
        <v>0</v>
      </c>
      <c r="AK11" s="879">
        <f>22.13-22.13</f>
        <v>0</v>
      </c>
      <c r="AL11" s="879">
        <f>22.13-22.13</f>
        <v>0</v>
      </c>
      <c r="AM11" s="879">
        <f>22.13-22.13</f>
        <v>0</v>
      </c>
      <c r="AN11" s="879">
        <f>22.13-22.13</f>
        <v>0</v>
      </c>
      <c r="AO11" s="880">
        <v>0</v>
      </c>
      <c r="AP11" s="880">
        <v>0</v>
      </c>
      <c r="AQ11" s="880">
        <v>0</v>
      </c>
      <c r="AR11" s="1078"/>
      <c r="AS11" s="1186"/>
      <c r="AT11" s="1211"/>
    </row>
    <row r="12" spans="1:46" ht="14.5" hidden="1" customHeight="1" outlineLevel="1" x14ac:dyDescent="0.35">
      <c r="A12" s="1255"/>
      <c r="B12" s="611" t="s">
        <v>536</v>
      </c>
      <c r="C12" s="1256"/>
      <c r="D12" s="1258"/>
      <c r="E12" s="1259"/>
      <c r="F12" s="1260"/>
      <c r="G12" s="73" t="s">
        <v>427</v>
      </c>
      <c r="H12" s="372" t="s">
        <v>125</v>
      </c>
      <c r="I12" s="331"/>
      <c r="J12" s="282"/>
      <c r="K12" s="1209"/>
      <c r="L12" s="1208"/>
      <c r="M12" s="1212"/>
      <c r="N12" s="1096"/>
      <c r="O12" s="1096"/>
      <c r="P12" s="1096"/>
      <c r="Q12" s="1096"/>
      <c r="R12" s="1096"/>
      <c r="S12" s="1096"/>
      <c r="T12" s="1096"/>
      <c r="U12" s="1210"/>
      <c r="V12" s="874">
        <f>-53.96+36.69</f>
        <v>-17.270000000000003</v>
      </c>
      <c r="W12" s="875">
        <f>-(73.4-11.36)*30%*0.811+-(73.4-11.36)*0.028</f>
        <v>-16.831452000000002</v>
      </c>
      <c r="X12" s="876">
        <f t="shared" ref="X12" si="19">(73.4-11.36)*0.028*70%*0.14</f>
        <v>0.17023776000000004</v>
      </c>
      <c r="Y12" s="877">
        <f>73.29*10%*0.028</f>
        <v>0.20521200000000003</v>
      </c>
      <c r="Z12" s="877">
        <f>73.29*10%*0.028</f>
        <v>0.20521200000000003</v>
      </c>
      <c r="AA12" s="878">
        <f>(73.4-11.36)*0.028*70%*0.14</f>
        <v>0.17023776000000004</v>
      </c>
      <c r="AB12" s="1094"/>
      <c r="AC12" s="876">
        <f>(73.4-11.36)*0.028*70%*0.29</f>
        <v>0.35263536000000001</v>
      </c>
      <c r="AD12" s="877">
        <f>73.4*20%*0.028</f>
        <v>0.41104000000000007</v>
      </c>
      <c r="AE12" s="878">
        <f>(73.4-11.36)*0.028*70%*0.29</f>
        <v>0.35263536000000001</v>
      </c>
      <c r="AF12" s="878">
        <f>(73.4-11.36)*0.028*70%*0.29</f>
        <v>0.35263536000000001</v>
      </c>
      <c r="AG12" s="878">
        <v>0.26815763687681332</v>
      </c>
      <c r="AH12" s="878">
        <v>0.26815763687681332</v>
      </c>
      <c r="AI12" s="1078"/>
      <c r="AJ12" s="876">
        <v>0.38546909912318683</v>
      </c>
      <c r="AK12" s="879">
        <v>0.38546909912318683</v>
      </c>
      <c r="AL12" s="879">
        <v>0.38546909912318683</v>
      </c>
      <c r="AM12" s="879">
        <v>0.38546909912318683</v>
      </c>
      <c r="AN12" s="879">
        <v>0.38546909912318683</v>
      </c>
      <c r="AO12" s="880">
        <v>0</v>
      </c>
      <c r="AP12" s="880">
        <v>0</v>
      </c>
      <c r="AQ12" s="880">
        <v>0</v>
      </c>
      <c r="AR12" s="1078"/>
      <c r="AS12" s="1186"/>
      <c r="AT12" s="1211"/>
    </row>
    <row r="13" spans="1:46" ht="14.5" hidden="1" customHeight="1" outlineLevel="1" x14ac:dyDescent="0.35">
      <c r="A13" s="1255"/>
      <c r="B13" s="611" t="s">
        <v>536</v>
      </c>
      <c r="C13" s="1256"/>
      <c r="D13" s="1258"/>
      <c r="E13" s="1259"/>
      <c r="F13" s="1260"/>
      <c r="G13" s="73" t="s">
        <v>427</v>
      </c>
      <c r="H13" s="372" t="s">
        <v>124</v>
      </c>
      <c r="I13" s="331"/>
      <c r="J13" s="282"/>
      <c r="K13" s="1209"/>
      <c r="L13" s="1208"/>
      <c r="M13" s="1212"/>
      <c r="N13" s="1096"/>
      <c r="O13" s="1096"/>
      <c r="P13" s="1096"/>
      <c r="Q13" s="1096"/>
      <c r="R13" s="1096"/>
      <c r="S13" s="1096"/>
      <c r="T13" s="1096"/>
      <c r="U13" s="1210"/>
      <c r="V13" s="874">
        <f>-2.99</f>
        <v>-2.99</v>
      </c>
      <c r="W13" s="875">
        <v>0</v>
      </c>
      <c r="X13" s="876">
        <v>0</v>
      </c>
      <c r="Y13" s="877">
        <f>3.74*10%</f>
        <v>0.37400000000000005</v>
      </c>
      <c r="Z13" s="877">
        <f>3.74*10%</f>
        <v>0.37400000000000005</v>
      </c>
      <c r="AA13" s="878">
        <v>0</v>
      </c>
      <c r="AB13" s="1094"/>
      <c r="AC13" s="876">
        <v>0</v>
      </c>
      <c r="AD13" s="877">
        <f>3.74*20%</f>
        <v>0.74800000000000011</v>
      </c>
      <c r="AE13" s="878">
        <v>0</v>
      </c>
      <c r="AF13" s="878">
        <v>0</v>
      </c>
      <c r="AG13" s="878">
        <v>0</v>
      </c>
      <c r="AH13" s="878">
        <v>0</v>
      </c>
      <c r="AI13" s="1078"/>
      <c r="AJ13" s="876">
        <v>0</v>
      </c>
      <c r="AK13" s="879">
        <v>0</v>
      </c>
      <c r="AL13" s="879">
        <v>0</v>
      </c>
      <c r="AM13" s="879">
        <v>0</v>
      </c>
      <c r="AN13" s="879">
        <v>0</v>
      </c>
      <c r="AO13" s="880">
        <v>0</v>
      </c>
      <c r="AP13" s="880">
        <v>0</v>
      </c>
      <c r="AQ13" s="880">
        <v>0</v>
      </c>
      <c r="AR13" s="1078"/>
      <c r="AS13" s="1186"/>
      <c r="AT13" s="1211"/>
    </row>
    <row r="14" spans="1:46" ht="14.5" hidden="1" customHeight="1" outlineLevel="1" x14ac:dyDescent="0.35">
      <c r="A14" s="1255"/>
      <c r="B14" s="611" t="s">
        <v>536</v>
      </c>
      <c r="C14" s="1256"/>
      <c r="D14" s="1258"/>
      <c r="E14" s="1259"/>
      <c r="F14" s="1260"/>
      <c r="G14" s="73" t="s">
        <v>427</v>
      </c>
      <c r="H14" s="305" t="s">
        <v>124</v>
      </c>
      <c r="I14" s="330"/>
      <c r="J14" s="282"/>
      <c r="K14" s="1209"/>
      <c r="L14" s="1208"/>
      <c r="M14" s="1212"/>
      <c r="N14" s="1096"/>
      <c r="O14" s="1096"/>
      <c r="P14" s="1096"/>
      <c r="Q14" s="1096"/>
      <c r="R14" s="1096"/>
      <c r="S14" s="1096"/>
      <c r="T14" s="1096"/>
      <c r="U14" s="1210"/>
      <c r="V14" s="874">
        <f>-10.47+7.33</f>
        <v>-3.1400000000000006</v>
      </c>
      <c r="W14" s="875">
        <f>-(6.48-4.63)*30%</f>
        <v>-0.55500000000000016</v>
      </c>
      <c r="X14" s="876">
        <f>1.05-1.05</f>
        <v>0</v>
      </c>
      <c r="Y14" s="877">
        <f>1.05-1.05</f>
        <v>0</v>
      </c>
      <c r="Z14" s="877">
        <f>1.05-1.05</f>
        <v>0</v>
      </c>
      <c r="AA14" s="878">
        <f>1.05-1.05</f>
        <v>0</v>
      </c>
      <c r="AB14" s="1094"/>
      <c r="AC14" s="876">
        <f t="shared" ref="AC14:AH14" si="20">2.09-2.09</f>
        <v>0</v>
      </c>
      <c r="AD14" s="877">
        <f t="shared" si="20"/>
        <v>0</v>
      </c>
      <c r="AE14" s="878">
        <f t="shared" si="20"/>
        <v>0</v>
      </c>
      <c r="AF14" s="878">
        <f t="shared" si="20"/>
        <v>0</v>
      </c>
      <c r="AG14" s="878">
        <f t="shared" si="20"/>
        <v>0</v>
      </c>
      <c r="AH14" s="878">
        <f t="shared" si="20"/>
        <v>0</v>
      </c>
      <c r="AI14" s="1078"/>
      <c r="AJ14" s="876">
        <f>4.19-4.19</f>
        <v>0</v>
      </c>
      <c r="AK14" s="879">
        <f>4.19-4.19</f>
        <v>0</v>
      </c>
      <c r="AL14" s="879">
        <f>4.19-4.19</f>
        <v>0</v>
      </c>
      <c r="AM14" s="879">
        <f>4.19-4.19</f>
        <v>0</v>
      </c>
      <c r="AN14" s="879">
        <f>4.19-4.19</f>
        <v>0</v>
      </c>
      <c r="AO14" s="880">
        <v>0</v>
      </c>
      <c r="AP14" s="880">
        <v>0</v>
      </c>
      <c r="AQ14" s="880">
        <v>0</v>
      </c>
      <c r="AR14" s="1078"/>
      <c r="AS14" s="1186"/>
      <c r="AT14" s="1211"/>
    </row>
    <row r="15" spans="1:46" ht="14.5" hidden="1" customHeight="1" outlineLevel="1" x14ac:dyDescent="0.35">
      <c r="A15" s="1255"/>
      <c r="B15" s="611" t="s">
        <v>536</v>
      </c>
      <c r="C15" s="1256"/>
      <c r="D15" s="1258"/>
      <c r="E15" s="1259"/>
      <c r="F15" s="1260"/>
      <c r="G15" s="73" t="s">
        <v>427</v>
      </c>
      <c r="H15" s="305" t="s">
        <v>123</v>
      </c>
      <c r="I15" s="330"/>
      <c r="J15" s="282"/>
      <c r="K15" s="1207">
        <f>M15+P15+U15+R15+T15</f>
        <v>62.55</v>
      </c>
      <c r="L15" s="1208">
        <v>0</v>
      </c>
      <c r="M15" s="1096">
        <v>0</v>
      </c>
      <c r="N15" s="1096">
        <v>75</v>
      </c>
      <c r="O15" s="1096">
        <v>75</v>
      </c>
      <c r="P15" s="1096">
        <v>62.55</v>
      </c>
      <c r="Q15" s="1097">
        <v>0</v>
      </c>
      <c r="R15" s="1097">
        <v>0</v>
      </c>
      <c r="S15" s="1097">
        <v>1.48</v>
      </c>
      <c r="T15" s="1096">
        <v>0</v>
      </c>
      <c r="U15" s="1210">
        <v>0</v>
      </c>
      <c r="V15" s="874">
        <v>0</v>
      </c>
      <c r="W15" s="875">
        <v>0</v>
      </c>
      <c r="X15" s="876">
        <f>-11.76+8.23</f>
        <v>-3.5299999999999994</v>
      </c>
      <c r="Y15" s="877">
        <f>-11.76+8.23</f>
        <v>-3.5299999999999994</v>
      </c>
      <c r="Z15" s="877">
        <f>-11.76+8.23</f>
        <v>-3.5299999999999994</v>
      </c>
      <c r="AA15" s="878">
        <f>-11.76+8.23</f>
        <v>-3.5299999999999994</v>
      </c>
      <c r="AB15" s="1094">
        <f>-13.267510952-0.05417394</f>
        <v>-13.321684892</v>
      </c>
      <c r="AC15" s="876">
        <f>1.18-1.18</f>
        <v>0</v>
      </c>
      <c r="AD15" s="877">
        <f>1.18-1.18</f>
        <v>0</v>
      </c>
      <c r="AE15" s="878">
        <f>1.18-1.18</f>
        <v>0</v>
      </c>
      <c r="AF15" s="878">
        <f>1.18-1.18</f>
        <v>0</v>
      </c>
      <c r="AG15" s="881">
        <f>-0.075038</f>
        <v>-7.5037999999999994E-2</v>
      </c>
      <c r="AH15" s="881">
        <f>-0.075038</f>
        <v>-7.5037999999999994E-2</v>
      </c>
      <c r="AI15" s="1084">
        <v>-0.44400000000000001</v>
      </c>
      <c r="AJ15" s="876">
        <f>2.35-2.35</f>
        <v>0</v>
      </c>
      <c r="AK15" s="882">
        <v>0</v>
      </c>
      <c r="AL15" s="882">
        <v>0</v>
      </c>
      <c r="AM15" s="882">
        <v>0</v>
      </c>
      <c r="AN15" s="882">
        <v>0</v>
      </c>
      <c r="AO15" s="880">
        <v>0</v>
      </c>
      <c r="AP15" s="880">
        <v>0</v>
      </c>
      <c r="AQ15" s="880">
        <v>0</v>
      </c>
      <c r="AR15" s="1084">
        <v>0</v>
      </c>
      <c r="AS15" s="1206">
        <v>0</v>
      </c>
      <c r="AT15" s="1178" t="s">
        <v>1639</v>
      </c>
    </row>
    <row r="16" spans="1:46" ht="14.5" hidden="1" customHeight="1" outlineLevel="1" x14ac:dyDescent="0.35">
      <c r="A16" s="1255"/>
      <c r="B16" s="611" t="s">
        <v>536</v>
      </c>
      <c r="C16" s="1256"/>
      <c r="D16" s="1258"/>
      <c r="E16" s="1259"/>
      <c r="F16" s="1260"/>
      <c r="G16" s="73" t="s">
        <v>427</v>
      </c>
      <c r="H16" s="305" t="s">
        <v>124</v>
      </c>
      <c r="I16" s="330"/>
      <c r="J16" s="282"/>
      <c r="K16" s="1207"/>
      <c r="L16" s="1208"/>
      <c r="M16" s="1096"/>
      <c r="N16" s="1096"/>
      <c r="O16" s="1096"/>
      <c r="P16" s="1096"/>
      <c r="Q16" s="1097"/>
      <c r="R16" s="1097"/>
      <c r="S16" s="1097"/>
      <c r="T16" s="1096"/>
      <c r="U16" s="1210"/>
      <c r="V16" s="874">
        <v>0</v>
      </c>
      <c r="W16" s="875">
        <v>0</v>
      </c>
      <c r="X16" s="876">
        <f>-24.38+17.07</f>
        <v>-7.3099999999999987</v>
      </c>
      <c r="Y16" s="877">
        <f>-24.38+17.07</f>
        <v>-7.3099999999999987</v>
      </c>
      <c r="Z16" s="877">
        <f>-24.38+17.07</f>
        <v>-7.3099999999999987</v>
      </c>
      <c r="AA16" s="878">
        <f>-24.38+17.07</f>
        <v>-7.3099999999999987</v>
      </c>
      <c r="AB16" s="1094"/>
      <c r="AC16" s="876">
        <f>2.44-2.44</f>
        <v>0</v>
      </c>
      <c r="AD16" s="877">
        <f>2.44-2.44</f>
        <v>0</v>
      </c>
      <c r="AE16" s="878">
        <f>2.44-2.44</f>
        <v>0</v>
      </c>
      <c r="AF16" s="878">
        <f>2.44-2.44</f>
        <v>0</v>
      </c>
      <c r="AG16" s="881">
        <f>-0.0175</f>
        <v>-1.7500000000000002E-2</v>
      </c>
      <c r="AH16" s="881">
        <f>-0.0175</f>
        <v>-1.7500000000000002E-2</v>
      </c>
      <c r="AI16" s="1084"/>
      <c r="AJ16" s="876">
        <f>4.88-4.88</f>
        <v>0</v>
      </c>
      <c r="AK16" s="882">
        <v>0</v>
      </c>
      <c r="AL16" s="882">
        <v>0</v>
      </c>
      <c r="AM16" s="882">
        <v>0</v>
      </c>
      <c r="AN16" s="882">
        <v>0</v>
      </c>
      <c r="AO16" s="880">
        <v>0</v>
      </c>
      <c r="AP16" s="880">
        <v>0</v>
      </c>
      <c r="AQ16" s="880">
        <v>0</v>
      </c>
      <c r="AR16" s="1084"/>
      <c r="AS16" s="1206"/>
      <c r="AT16" s="1178"/>
    </row>
    <row r="17" spans="1:46" ht="14.5" hidden="1" customHeight="1" outlineLevel="1" x14ac:dyDescent="0.35">
      <c r="A17" s="1255"/>
      <c r="B17" s="611" t="s">
        <v>536</v>
      </c>
      <c r="C17" s="1256"/>
      <c r="D17" s="1258"/>
      <c r="E17" s="1259"/>
      <c r="F17" s="1260"/>
      <c r="G17" s="73" t="s">
        <v>427</v>
      </c>
      <c r="H17" s="372" t="s">
        <v>125</v>
      </c>
      <c r="I17" s="331"/>
      <c r="J17" s="282"/>
      <c r="K17" s="1207"/>
      <c r="L17" s="1208"/>
      <c r="M17" s="1096"/>
      <c r="N17" s="1096"/>
      <c r="O17" s="1096"/>
      <c r="P17" s="1096"/>
      <c r="Q17" s="1097"/>
      <c r="R17" s="1097"/>
      <c r="S17" s="1097"/>
      <c r="T17" s="1096"/>
      <c r="U17" s="1210"/>
      <c r="V17" s="874">
        <v>0</v>
      </c>
      <c r="W17" s="875">
        <v>0</v>
      </c>
      <c r="X17" s="876">
        <f t="shared" ref="X17" si="21">-28.56+19.3256</f>
        <v>-9.2343999999999973</v>
      </c>
      <c r="Y17" s="877">
        <f>-34.0032+23.01208</f>
        <v>-10.991119999999999</v>
      </c>
      <c r="Z17" s="877">
        <f>-34.0032+23.01208</f>
        <v>-10.991119999999999</v>
      </c>
      <c r="AA17" s="878">
        <f t="shared" ref="AA17" si="22">-28.56+19.3256</f>
        <v>-9.2343999999999973</v>
      </c>
      <c r="AB17" s="1094"/>
      <c r="AC17" s="876">
        <v>9.5199999999999993E-2</v>
      </c>
      <c r="AD17" s="877">
        <v>0.1134</v>
      </c>
      <c r="AE17" s="878">
        <v>9.5199999999999993E-2</v>
      </c>
      <c r="AF17" s="878">
        <v>9.5199999999999993E-2</v>
      </c>
      <c r="AG17" s="881">
        <f>0.108899-0.109496188</f>
        <v>-5.971879999999985E-4</v>
      </c>
      <c r="AH17" s="881">
        <f>0.108899-0.109496188</f>
        <v>-5.971879999999985E-4</v>
      </c>
      <c r="AI17" s="1084"/>
      <c r="AJ17" s="876">
        <v>0.19039999999999999</v>
      </c>
      <c r="AK17" s="882">
        <f>0.160166+0.006466</f>
        <v>0.166632</v>
      </c>
      <c r="AL17" s="882">
        <f>0.160166+0.006466</f>
        <v>0.166632</v>
      </c>
      <c r="AM17" s="882">
        <f>0.160166+0.006466</f>
        <v>0.166632</v>
      </c>
      <c r="AN17" s="882">
        <f>0.160166+0.006466</f>
        <v>0.166632</v>
      </c>
      <c r="AO17" s="880">
        <v>6.3922999999999994E-2</v>
      </c>
      <c r="AP17" s="880">
        <v>0</v>
      </c>
      <c r="AQ17" s="880">
        <v>0</v>
      </c>
      <c r="AR17" s="1084"/>
      <c r="AS17" s="1206"/>
      <c r="AT17" s="1178"/>
    </row>
    <row r="18" spans="1:46" ht="14.5" hidden="1" customHeight="1" outlineLevel="1" x14ac:dyDescent="0.35">
      <c r="A18" s="1255"/>
      <c r="B18" s="611" t="s">
        <v>536</v>
      </c>
      <c r="C18" s="1256"/>
      <c r="D18" s="1258"/>
      <c r="E18" s="1259"/>
      <c r="F18" s="1260"/>
      <c r="G18" s="73" t="s">
        <v>427</v>
      </c>
      <c r="H18" s="372" t="s">
        <v>124</v>
      </c>
      <c r="I18" s="331"/>
      <c r="J18" s="282"/>
      <c r="K18" s="1207"/>
      <c r="L18" s="1208"/>
      <c r="M18" s="1096"/>
      <c r="N18" s="1096"/>
      <c r="O18" s="1096"/>
      <c r="P18" s="1096"/>
      <c r="Q18" s="1097"/>
      <c r="R18" s="1097"/>
      <c r="S18" s="1097"/>
      <c r="T18" s="1096"/>
      <c r="U18" s="1210"/>
      <c r="V18" s="874">
        <v>0</v>
      </c>
      <c r="W18" s="875">
        <v>0</v>
      </c>
      <c r="X18" s="876">
        <v>-1.89</v>
      </c>
      <c r="Y18" s="877">
        <v>-1.89</v>
      </c>
      <c r="Z18" s="877">
        <v>-1.89</v>
      </c>
      <c r="AA18" s="878">
        <v>-1.89</v>
      </c>
      <c r="AB18" s="1094"/>
      <c r="AC18" s="876">
        <v>0.19</v>
      </c>
      <c r="AD18" s="877">
        <v>0.19</v>
      </c>
      <c r="AE18" s="878">
        <v>0.19</v>
      </c>
      <c r="AF18" s="878">
        <v>0.19</v>
      </c>
      <c r="AG18" s="878"/>
      <c r="AH18" s="878"/>
      <c r="AI18" s="1084"/>
      <c r="AJ18" s="876">
        <v>0</v>
      </c>
      <c r="AK18" s="879">
        <v>0</v>
      </c>
      <c r="AL18" s="879">
        <v>0</v>
      </c>
      <c r="AM18" s="879">
        <v>0</v>
      </c>
      <c r="AN18" s="879">
        <v>0</v>
      </c>
      <c r="AO18" s="880">
        <v>0</v>
      </c>
      <c r="AP18" s="880">
        <v>0</v>
      </c>
      <c r="AQ18" s="880">
        <v>0</v>
      </c>
      <c r="AR18" s="1084"/>
      <c r="AS18" s="1206"/>
      <c r="AT18" s="1178"/>
    </row>
    <row r="19" spans="1:46" ht="14.5" hidden="1" customHeight="1" outlineLevel="1" x14ac:dyDescent="0.35">
      <c r="A19" s="1255"/>
      <c r="B19" s="611" t="s">
        <v>536</v>
      </c>
      <c r="C19" s="1256"/>
      <c r="D19" s="1258"/>
      <c r="E19" s="1259"/>
      <c r="F19" s="1260"/>
      <c r="G19" s="73" t="s">
        <v>427</v>
      </c>
      <c r="H19" s="305" t="s">
        <v>124</v>
      </c>
      <c r="I19" s="330"/>
      <c r="J19" s="282"/>
      <c r="K19" s="1207"/>
      <c r="L19" s="1208"/>
      <c r="M19" s="1096"/>
      <c r="N19" s="1096"/>
      <c r="O19" s="1096"/>
      <c r="P19" s="1096"/>
      <c r="Q19" s="1097"/>
      <c r="R19" s="1097"/>
      <c r="S19" s="1097"/>
      <c r="T19" s="1096"/>
      <c r="U19" s="1210"/>
      <c r="V19" s="883">
        <v>0</v>
      </c>
      <c r="W19" s="321">
        <v>0</v>
      </c>
      <c r="X19" s="876">
        <f>-2.97+2.08</f>
        <v>-0.89000000000000012</v>
      </c>
      <c r="Y19" s="877">
        <f>-2.97+2.08</f>
        <v>-0.89000000000000012</v>
      </c>
      <c r="Z19" s="877">
        <f>-2.97+2.08</f>
        <v>-0.89000000000000012</v>
      </c>
      <c r="AA19" s="878">
        <f>-2.97+2.08</f>
        <v>-0.89000000000000012</v>
      </c>
      <c r="AB19" s="1094"/>
      <c r="AC19" s="876">
        <f>0.3-0.3</f>
        <v>0</v>
      </c>
      <c r="AD19" s="877">
        <f>0.3-0.3</f>
        <v>0</v>
      </c>
      <c r="AE19" s="878">
        <f>0.3-0.3</f>
        <v>0</v>
      </c>
      <c r="AF19" s="878">
        <f>0.3-0.3</f>
        <v>0</v>
      </c>
      <c r="AG19" s="881">
        <v>0</v>
      </c>
      <c r="AH19" s="881">
        <v>0</v>
      </c>
      <c r="AI19" s="1084"/>
      <c r="AJ19" s="876">
        <f>0.59-0.59</f>
        <v>0</v>
      </c>
      <c r="AK19" s="882">
        <v>0</v>
      </c>
      <c r="AL19" s="882">
        <v>0</v>
      </c>
      <c r="AM19" s="882">
        <v>0</v>
      </c>
      <c r="AN19" s="882">
        <v>0</v>
      </c>
      <c r="AO19" s="880">
        <v>0</v>
      </c>
      <c r="AP19" s="880">
        <v>0</v>
      </c>
      <c r="AQ19" s="880">
        <v>0</v>
      </c>
      <c r="AR19" s="1084"/>
      <c r="AS19" s="1206"/>
      <c r="AT19" s="1178"/>
    </row>
    <row r="20" spans="1:46" ht="18.5" collapsed="1" x14ac:dyDescent="0.35">
      <c r="A20" s="430">
        <v>2</v>
      </c>
      <c r="B20" s="610" t="s">
        <v>535</v>
      </c>
      <c r="C20" s="594"/>
      <c r="D20" s="343"/>
      <c r="E20" s="431"/>
      <c r="F20" s="479"/>
      <c r="G20" s="373" t="s">
        <v>1727</v>
      </c>
      <c r="H20" s="374" t="s">
        <v>1727</v>
      </c>
      <c r="I20" s="339"/>
      <c r="J20" s="340"/>
      <c r="K20" s="356">
        <f t="shared" ref="K20:AQ20" si="23">K21</f>
        <v>92</v>
      </c>
      <c r="L20" s="353">
        <f t="shared" si="23"/>
        <v>35</v>
      </c>
      <c r="M20" s="353">
        <f t="shared" si="23"/>
        <v>31</v>
      </c>
      <c r="N20" s="353">
        <f t="shared" si="23"/>
        <v>35</v>
      </c>
      <c r="O20" s="353">
        <f t="shared" si="23"/>
        <v>35</v>
      </c>
      <c r="P20" s="353">
        <f t="shared" si="23"/>
        <v>31</v>
      </c>
      <c r="Q20" s="353">
        <f t="shared" si="23"/>
        <v>30</v>
      </c>
      <c r="R20" s="353">
        <f t="shared" si="23"/>
        <v>30</v>
      </c>
      <c r="S20" s="353">
        <f t="shared" si="23"/>
        <v>30</v>
      </c>
      <c r="T20" s="353">
        <f t="shared" si="23"/>
        <v>0</v>
      </c>
      <c r="U20" s="357">
        <f t="shared" si="23"/>
        <v>0</v>
      </c>
      <c r="V20" s="570">
        <f t="shared" si="23"/>
        <v>-35</v>
      </c>
      <c r="W20" s="355">
        <f t="shared" si="23"/>
        <v>-31</v>
      </c>
      <c r="X20" s="354">
        <f t="shared" si="23"/>
        <v>0</v>
      </c>
      <c r="Y20" s="360">
        <f t="shared" si="23"/>
        <v>0</v>
      </c>
      <c r="Z20" s="360">
        <f t="shared" si="23"/>
        <v>-6</v>
      </c>
      <c r="AA20" s="465">
        <f t="shared" si="23"/>
        <v>-6</v>
      </c>
      <c r="AB20" s="354">
        <f>AB21</f>
        <v>0</v>
      </c>
      <c r="AC20" s="354">
        <f t="shared" si="23"/>
        <v>1</v>
      </c>
      <c r="AD20" s="587">
        <f t="shared" si="23"/>
        <v>35</v>
      </c>
      <c r="AE20" s="465">
        <f t="shared" si="23"/>
        <v>35</v>
      </c>
      <c r="AF20" s="465">
        <f t="shared" si="23"/>
        <v>5</v>
      </c>
      <c r="AG20" s="465">
        <f t="shared" si="23"/>
        <v>1</v>
      </c>
      <c r="AH20" s="465">
        <f t="shared" si="23"/>
        <v>1</v>
      </c>
      <c r="AI20" s="355">
        <f>AI21</f>
        <v>0</v>
      </c>
      <c r="AJ20" s="354">
        <f t="shared" si="23"/>
        <v>30</v>
      </c>
      <c r="AK20" s="587">
        <f t="shared" si="23"/>
        <v>30</v>
      </c>
      <c r="AL20" s="587">
        <f t="shared" si="23"/>
        <v>30</v>
      </c>
      <c r="AM20" s="587">
        <f t="shared" si="23"/>
        <v>0</v>
      </c>
      <c r="AN20" s="587">
        <f t="shared" si="23"/>
        <v>0</v>
      </c>
      <c r="AO20" s="358">
        <f t="shared" si="23"/>
        <v>0</v>
      </c>
      <c r="AP20" s="358">
        <f t="shared" si="23"/>
        <v>0</v>
      </c>
      <c r="AQ20" s="358">
        <f t="shared" si="23"/>
        <v>0</v>
      </c>
      <c r="AR20" s="355">
        <f>AR21</f>
        <v>0</v>
      </c>
      <c r="AS20" s="358">
        <f>AS21</f>
        <v>0</v>
      </c>
      <c r="AT20" s="406"/>
    </row>
    <row r="21" spans="1:46" ht="87" hidden="1" customHeight="1" outlineLevel="1" x14ac:dyDescent="0.35">
      <c r="A21" s="590">
        <v>1</v>
      </c>
      <c r="B21" s="612" t="s">
        <v>535</v>
      </c>
      <c r="C21" s="595" t="s">
        <v>535</v>
      </c>
      <c r="D21" s="277" t="s">
        <v>1707</v>
      </c>
      <c r="E21" s="432" t="s">
        <v>566</v>
      </c>
      <c r="F21" s="480" t="s">
        <v>421</v>
      </c>
      <c r="G21" s="73" t="s">
        <v>271</v>
      </c>
      <c r="H21" s="305" t="s">
        <v>123</v>
      </c>
      <c r="I21" s="330"/>
      <c r="J21" s="282"/>
      <c r="K21" s="294">
        <f>M21+P21+U21+R21+T21</f>
        <v>92</v>
      </c>
      <c r="L21" s="386">
        <v>35</v>
      </c>
      <c r="M21" s="872">
        <v>31</v>
      </c>
      <c r="N21" s="872">
        <v>35</v>
      </c>
      <c r="O21" s="872">
        <v>35</v>
      </c>
      <c r="P21" s="872">
        <v>31</v>
      </c>
      <c r="Q21" s="872">
        <v>30</v>
      </c>
      <c r="R21" s="872">
        <v>30</v>
      </c>
      <c r="S21" s="872">
        <v>30</v>
      </c>
      <c r="T21" s="872">
        <v>0</v>
      </c>
      <c r="U21" s="873">
        <v>0</v>
      </c>
      <c r="V21" s="884">
        <v>-35</v>
      </c>
      <c r="W21" s="885">
        <v>-31</v>
      </c>
      <c r="X21" s="886">
        <v>0</v>
      </c>
      <c r="Y21" s="887">
        <v>0</v>
      </c>
      <c r="Z21" s="887">
        <v>-6</v>
      </c>
      <c r="AA21" s="888">
        <v>-6</v>
      </c>
      <c r="AB21" s="60">
        <v>0</v>
      </c>
      <c r="AC21" s="886">
        <f>31-30</f>
        <v>1</v>
      </c>
      <c r="AD21" s="887">
        <v>35</v>
      </c>
      <c r="AE21" s="888">
        <v>35</v>
      </c>
      <c r="AF21" s="888">
        <v>5</v>
      </c>
      <c r="AG21" s="888">
        <v>1</v>
      </c>
      <c r="AH21" s="888">
        <v>1</v>
      </c>
      <c r="AI21" s="321">
        <v>0</v>
      </c>
      <c r="AJ21" s="886">
        <v>30</v>
      </c>
      <c r="AK21" s="889">
        <v>30</v>
      </c>
      <c r="AL21" s="889">
        <v>30</v>
      </c>
      <c r="AM21" s="889">
        <v>0</v>
      </c>
      <c r="AN21" s="889">
        <v>0</v>
      </c>
      <c r="AO21" s="890">
        <v>0</v>
      </c>
      <c r="AP21" s="890">
        <v>0</v>
      </c>
      <c r="AQ21" s="890">
        <v>0</v>
      </c>
      <c r="AR21" s="321">
        <v>0</v>
      </c>
      <c r="AS21" s="891">
        <v>0</v>
      </c>
      <c r="AT21" s="407" t="s">
        <v>1708</v>
      </c>
    </row>
    <row r="22" spans="1:46" ht="18.5" collapsed="1" x14ac:dyDescent="0.35">
      <c r="A22" s="433">
        <v>3</v>
      </c>
      <c r="B22" s="610" t="s">
        <v>533</v>
      </c>
      <c r="C22" s="594"/>
      <c r="D22" s="341"/>
      <c r="E22" s="434"/>
      <c r="F22" s="481"/>
      <c r="G22" s="375" t="s">
        <v>1727</v>
      </c>
      <c r="H22" s="374" t="s">
        <v>1727</v>
      </c>
      <c r="I22" s="339"/>
      <c r="J22" s="340"/>
      <c r="K22" s="356">
        <f t="shared" ref="K22:AQ22" si="24">K23</f>
        <v>60</v>
      </c>
      <c r="L22" s="353">
        <f t="shared" si="24"/>
        <v>60</v>
      </c>
      <c r="M22" s="353">
        <f t="shared" si="24"/>
        <v>60</v>
      </c>
      <c r="N22" s="353">
        <f t="shared" si="24"/>
        <v>0</v>
      </c>
      <c r="O22" s="353">
        <f t="shared" si="24"/>
        <v>0</v>
      </c>
      <c r="P22" s="353">
        <f t="shared" si="24"/>
        <v>0</v>
      </c>
      <c r="Q22" s="353">
        <f t="shared" si="24"/>
        <v>0</v>
      </c>
      <c r="R22" s="353">
        <f t="shared" si="24"/>
        <v>0</v>
      </c>
      <c r="S22" s="353">
        <f t="shared" si="24"/>
        <v>0</v>
      </c>
      <c r="T22" s="353">
        <f t="shared" si="24"/>
        <v>0</v>
      </c>
      <c r="U22" s="357">
        <f t="shared" si="24"/>
        <v>0</v>
      </c>
      <c r="V22" s="571">
        <f t="shared" si="24"/>
        <v>-60</v>
      </c>
      <c r="W22" s="356">
        <f t="shared" si="24"/>
        <v>-60</v>
      </c>
      <c r="X22" s="353">
        <f t="shared" si="24"/>
        <v>0</v>
      </c>
      <c r="Y22" s="361">
        <f t="shared" si="24"/>
        <v>0</v>
      </c>
      <c r="Z22" s="361">
        <f t="shared" si="24"/>
        <v>0</v>
      </c>
      <c r="AA22" s="466">
        <f t="shared" si="24"/>
        <v>0</v>
      </c>
      <c r="AB22" s="354">
        <f>AB23</f>
        <v>0</v>
      </c>
      <c r="AC22" s="353">
        <f t="shared" si="24"/>
        <v>0</v>
      </c>
      <c r="AD22" s="588">
        <f t="shared" si="24"/>
        <v>0</v>
      </c>
      <c r="AE22" s="466">
        <f t="shared" si="24"/>
        <v>0</v>
      </c>
      <c r="AF22" s="466">
        <f t="shared" si="24"/>
        <v>0</v>
      </c>
      <c r="AG22" s="466">
        <f>AG23</f>
        <v>0</v>
      </c>
      <c r="AH22" s="466">
        <f>AH23</f>
        <v>0</v>
      </c>
      <c r="AI22" s="355">
        <f>AI23</f>
        <v>0</v>
      </c>
      <c r="AJ22" s="353">
        <f t="shared" si="24"/>
        <v>0</v>
      </c>
      <c r="AK22" s="588">
        <f t="shared" si="24"/>
        <v>0</v>
      </c>
      <c r="AL22" s="588">
        <f t="shared" si="24"/>
        <v>0</v>
      </c>
      <c r="AM22" s="588">
        <f t="shared" si="24"/>
        <v>0</v>
      </c>
      <c r="AN22" s="588">
        <f t="shared" si="24"/>
        <v>0</v>
      </c>
      <c r="AO22" s="357">
        <f t="shared" si="24"/>
        <v>0</v>
      </c>
      <c r="AP22" s="357">
        <f t="shared" si="24"/>
        <v>0</v>
      </c>
      <c r="AQ22" s="357">
        <f t="shared" si="24"/>
        <v>0</v>
      </c>
      <c r="AR22" s="355">
        <f>AR23</f>
        <v>0</v>
      </c>
      <c r="AS22" s="358">
        <f>AS23</f>
        <v>0</v>
      </c>
      <c r="AT22" s="406"/>
    </row>
    <row r="23" spans="1:46" ht="58" hidden="1" customHeight="1" outlineLevel="1" x14ac:dyDescent="0.35">
      <c r="A23" s="590">
        <v>1</v>
      </c>
      <c r="B23" s="612" t="s">
        <v>533</v>
      </c>
      <c r="C23" s="595" t="s">
        <v>533</v>
      </c>
      <c r="D23" s="50" t="s">
        <v>324</v>
      </c>
      <c r="E23" s="432" t="s">
        <v>566</v>
      </c>
      <c r="F23" s="480" t="s">
        <v>2</v>
      </c>
      <c r="G23" s="73" t="s">
        <v>271</v>
      </c>
      <c r="H23" s="305" t="s">
        <v>124</v>
      </c>
      <c r="I23" s="330"/>
      <c r="J23" s="282"/>
      <c r="K23" s="294">
        <f>M23+P23+U23+R23+T23</f>
        <v>60</v>
      </c>
      <c r="L23" s="386">
        <v>60</v>
      </c>
      <c r="M23" s="872">
        <v>60</v>
      </c>
      <c r="N23" s="872">
        <v>0</v>
      </c>
      <c r="O23" s="872">
        <v>0</v>
      </c>
      <c r="P23" s="872">
        <v>0</v>
      </c>
      <c r="Q23" s="872">
        <v>0</v>
      </c>
      <c r="R23" s="872">
        <v>0</v>
      </c>
      <c r="S23" s="872">
        <v>0</v>
      </c>
      <c r="T23" s="872">
        <v>0</v>
      </c>
      <c r="U23" s="873">
        <v>0</v>
      </c>
      <c r="V23" s="884">
        <v>-60</v>
      </c>
      <c r="W23" s="885">
        <v>-60</v>
      </c>
      <c r="X23" s="886">
        <v>0</v>
      </c>
      <c r="Y23" s="887">
        <v>0</v>
      </c>
      <c r="Z23" s="887">
        <v>0</v>
      </c>
      <c r="AA23" s="888">
        <v>0</v>
      </c>
      <c r="AB23" s="207">
        <v>0</v>
      </c>
      <c r="AC23" s="886">
        <v>0</v>
      </c>
      <c r="AD23" s="887">
        <v>0</v>
      </c>
      <c r="AE23" s="888">
        <v>0</v>
      </c>
      <c r="AF23" s="888">
        <v>0</v>
      </c>
      <c r="AG23" s="888">
        <v>0</v>
      </c>
      <c r="AH23" s="888">
        <v>0</v>
      </c>
      <c r="AI23" s="387">
        <v>0</v>
      </c>
      <c r="AJ23" s="886">
        <v>0</v>
      </c>
      <c r="AK23" s="889">
        <v>0</v>
      </c>
      <c r="AL23" s="889">
        <v>0</v>
      </c>
      <c r="AM23" s="889">
        <v>0</v>
      </c>
      <c r="AN23" s="889">
        <v>0</v>
      </c>
      <c r="AO23" s="890">
        <v>0</v>
      </c>
      <c r="AP23" s="890">
        <v>0</v>
      </c>
      <c r="AQ23" s="890">
        <v>0</v>
      </c>
      <c r="AR23" s="387">
        <v>0</v>
      </c>
      <c r="AS23" s="295">
        <v>0</v>
      </c>
      <c r="AT23" s="408" t="s">
        <v>593</v>
      </c>
    </row>
    <row r="24" spans="1:46" ht="18.5" collapsed="1" x14ac:dyDescent="0.35">
      <c r="A24" s="433">
        <v>4</v>
      </c>
      <c r="B24" s="610" t="s">
        <v>534</v>
      </c>
      <c r="C24" s="594"/>
      <c r="D24" s="342"/>
      <c r="E24" s="434"/>
      <c r="F24" s="481"/>
      <c r="G24" s="375" t="s">
        <v>1727</v>
      </c>
      <c r="H24" s="374" t="s">
        <v>1727</v>
      </c>
      <c r="I24" s="339"/>
      <c r="J24" s="340"/>
      <c r="K24" s="356">
        <f t="shared" ref="K24:AQ24" si="25">K25</f>
        <v>0</v>
      </c>
      <c r="L24" s="353">
        <f t="shared" si="25"/>
        <v>0</v>
      </c>
      <c r="M24" s="353">
        <f t="shared" si="25"/>
        <v>0</v>
      </c>
      <c r="N24" s="353">
        <f t="shared" si="25"/>
        <v>0</v>
      </c>
      <c r="O24" s="353">
        <f t="shared" si="25"/>
        <v>0</v>
      </c>
      <c r="P24" s="353">
        <f t="shared" si="25"/>
        <v>0</v>
      </c>
      <c r="Q24" s="353">
        <f t="shared" si="25"/>
        <v>0</v>
      </c>
      <c r="R24" s="353">
        <f t="shared" si="25"/>
        <v>0</v>
      </c>
      <c r="S24" s="353">
        <f t="shared" si="25"/>
        <v>0</v>
      </c>
      <c r="T24" s="353">
        <f t="shared" si="25"/>
        <v>0</v>
      </c>
      <c r="U24" s="357">
        <f t="shared" si="25"/>
        <v>0</v>
      </c>
      <c r="V24" s="571">
        <f t="shared" si="25"/>
        <v>0</v>
      </c>
      <c r="W24" s="356">
        <f t="shared" si="25"/>
        <v>0</v>
      </c>
      <c r="X24" s="353">
        <f t="shared" si="25"/>
        <v>0</v>
      </c>
      <c r="Y24" s="361">
        <f t="shared" si="25"/>
        <v>0</v>
      </c>
      <c r="Z24" s="361">
        <f t="shared" si="25"/>
        <v>0</v>
      </c>
      <c r="AA24" s="466">
        <f t="shared" si="25"/>
        <v>0</v>
      </c>
      <c r="AB24" s="354">
        <f>AB25</f>
        <v>0</v>
      </c>
      <c r="AC24" s="353">
        <f t="shared" si="25"/>
        <v>0</v>
      </c>
      <c r="AD24" s="588">
        <f t="shared" si="25"/>
        <v>0</v>
      </c>
      <c r="AE24" s="466">
        <f t="shared" si="25"/>
        <v>0</v>
      </c>
      <c r="AF24" s="466">
        <f t="shared" si="25"/>
        <v>0</v>
      </c>
      <c r="AG24" s="466">
        <f t="shared" si="25"/>
        <v>0</v>
      </c>
      <c r="AH24" s="466">
        <f t="shared" si="25"/>
        <v>0</v>
      </c>
      <c r="AI24" s="355">
        <f>AI25</f>
        <v>0</v>
      </c>
      <c r="AJ24" s="353">
        <f t="shared" si="25"/>
        <v>0</v>
      </c>
      <c r="AK24" s="588">
        <f t="shared" si="25"/>
        <v>0</v>
      </c>
      <c r="AL24" s="588">
        <f t="shared" si="25"/>
        <v>0</v>
      </c>
      <c r="AM24" s="588">
        <f t="shared" si="25"/>
        <v>0</v>
      </c>
      <c r="AN24" s="588">
        <f t="shared" si="25"/>
        <v>0</v>
      </c>
      <c r="AO24" s="357">
        <f t="shared" si="25"/>
        <v>0</v>
      </c>
      <c r="AP24" s="357">
        <f t="shared" si="25"/>
        <v>0</v>
      </c>
      <c r="AQ24" s="357">
        <f t="shared" si="25"/>
        <v>0</v>
      </c>
      <c r="AR24" s="355">
        <f>AR25</f>
        <v>0</v>
      </c>
      <c r="AS24" s="358">
        <f>AS25</f>
        <v>0</v>
      </c>
      <c r="AT24" s="409"/>
    </row>
    <row r="25" spans="1:46" ht="58" hidden="1" customHeight="1" outlineLevel="1" x14ac:dyDescent="0.35">
      <c r="A25" s="590">
        <v>1</v>
      </c>
      <c r="B25" s="612" t="s">
        <v>534</v>
      </c>
      <c r="C25" s="596" t="s">
        <v>534</v>
      </c>
      <c r="D25" s="385" t="s">
        <v>420</v>
      </c>
      <c r="E25" s="432" t="s">
        <v>566</v>
      </c>
      <c r="F25" s="482" t="s">
        <v>444</v>
      </c>
      <c r="G25" s="73" t="s">
        <v>53</v>
      </c>
      <c r="H25" s="305" t="s">
        <v>123</v>
      </c>
      <c r="I25" s="330"/>
      <c r="J25" s="282"/>
      <c r="K25" s="294">
        <f>M25+P25+U25+R25+T25</f>
        <v>0</v>
      </c>
      <c r="L25" s="386">
        <v>0</v>
      </c>
      <c r="M25" s="872">
        <v>0</v>
      </c>
      <c r="N25" s="872">
        <v>0</v>
      </c>
      <c r="O25" s="872">
        <v>0</v>
      </c>
      <c r="P25" s="872">
        <v>0</v>
      </c>
      <c r="Q25" s="872">
        <v>0</v>
      </c>
      <c r="R25" s="872">
        <v>0</v>
      </c>
      <c r="S25" s="872">
        <v>0</v>
      </c>
      <c r="T25" s="872">
        <v>0</v>
      </c>
      <c r="U25" s="873">
        <v>0</v>
      </c>
      <c r="V25" s="884">
        <v>0</v>
      </c>
      <c r="W25" s="885">
        <v>0</v>
      </c>
      <c r="X25" s="886">
        <v>0</v>
      </c>
      <c r="Y25" s="887">
        <v>0</v>
      </c>
      <c r="Z25" s="887">
        <v>0</v>
      </c>
      <c r="AA25" s="888">
        <v>0</v>
      </c>
      <c r="AB25" s="60">
        <v>0</v>
      </c>
      <c r="AC25" s="886">
        <v>0</v>
      </c>
      <c r="AD25" s="887">
        <v>0</v>
      </c>
      <c r="AE25" s="888">
        <v>0</v>
      </c>
      <c r="AF25" s="888">
        <v>0</v>
      </c>
      <c r="AG25" s="888">
        <v>0</v>
      </c>
      <c r="AH25" s="888">
        <v>0</v>
      </c>
      <c r="AI25" s="321">
        <v>0</v>
      </c>
      <c r="AJ25" s="886">
        <v>0</v>
      </c>
      <c r="AK25" s="889">
        <v>0</v>
      </c>
      <c r="AL25" s="889">
        <v>0</v>
      </c>
      <c r="AM25" s="889">
        <v>0</v>
      </c>
      <c r="AN25" s="889">
        <v>0</v>
      </c>
      <c r="AO25" s="890">
        <v>0</v>
      </c>
      <c r="AP25" s="890">
        <v>0</v>
      </c>
      <c r="AQ25" s="890">
        <v>0</v>
      </c>
      <c r="AR25" s="321">
        <v>0</v>
      </c>
      <c r="AS25" s="891">
        <v>0</v>
      </c>
      <c r="AT25" s="408" t="s">
        <v>136</v>
      </c>
    </row>
    <row r="26" spans="1:46" ht="18.5" collapsed="1" x14ac:dyDescent="0.35">
      <c r="A26" s="433">
        <v>5</v>
      </c>
      <c r="B26" s="610" t="s">
        <v>1703</v>
      </c>
      <c r="C26" s="597"/>
      <c r="D26" s="343"/>
      <c r="E26" s="434"/>
      <c r="F26" s="483"/>
      <c r="G26" s="375" t="s">
        <v>1727</v>
      </c>
      <c r="H26" s="374" t="s">
        <v>1727</v>
      </c>
      <c r="I26" s="339"/>
      <c r="J26" s="340"/>
      <c r="K26" s="356">
        <f t="shared" ref="K26:AQ26" si="26">K27</f>
        <v>11</v>
      </c>
      <c r="L26" s="353">
        <f t="shared" si="26"/>
        <v>0</v>
      </c>
      <c r="M26" s="353">
        <f t="shared" si="26"/>
        <v>0</v>
      </c>
      <c r="N26" s="353">
        <f t="shared" si="26"/>
        <v>0</v>
      </c>
      <c r="O26" s="353">
        <f t="shared" si="26"/>
        <v>0</v>
      </c>
      <c r="P26" s="353">
        <f t="shared" si="26"/>
        <v>0</v>
      </c>
      <c r="Q26" s="353">
        <f t="shared" si="26"/>
        <v>5.5</v>
      </c>
      <c r="R26" s="353">
        <f t="shared" si="26"/>
        <v>5.5</v>
      </c>
      <c r="S26" s="353">
        <f t="shared" si="26"/>
        <v>5.5</v>
      </c>
      <c r="T26" s="353">
        <f>T27</f>
        <v>5.5</v>
      </c>
      <c r="U26" s="357">
        <f t="shared" si="26"/>
        <v>0</v>
      </c>
      <c r="V26" s="571">
        <f t="shared" si="26"/>
        <v>0</v>
      </c>
      <c r="W26" s="356">
        <f t="shared" si="26"/>
        <v>0</v>
      </c>
      <c r="X26" s="353">
        <f t="shared" si="26"/>
        <v>0</v>
      </c>
      <c r="Y26" s="361">
        <f t="shared" si="26"/>
        <v>0</v>
      </c>
      <c r="Z26" s="361">
        <f t="shared" si="26"/>
        <v>0</v>
      </c>
      <c r="AA26" s="466">
        <f t="shared" si="26"/>
        <v>0</v>
      </c>
      <c r="AB26" s="354">
        <f>AB27</f>
        <v>0</v>
      </c>
      <c r="AC26" s="353">
        <f t="shared" si="26"/>
        <v>-5.5</v>
      </c>
      <c r="AD26" s="588">
        <f t="shared" si="26"/>
        <v>0</v>
      </c>
      <c r="AE26" s="466">
        <f t="shared" si="26"/>
        <v>0</v>
      </c>
      <c r="AF26" s="466">
        <f t="shared" si="26"/>
        <v>-5.5</v>
      </c>
      <c r="AG26" s="466">
        <f t="shared" si="26"/>
        <v>-5.5</v>
      </c>
      <c r="AH26" s="466">
        <f t="shared" si="26"/>
        <v>-5.5</v>
      </c>
      <c r="AI26" s="355">
        <f>AI27</f>
        <v>-5.5</v>
      </c>
      <c r="AJ26" s="353">
        <f t="shared" si="26"/>
        <v>-5.5</v>
      </c>
      <c r="AK26" s="588">
        <f t="shared" si="26"/>
        <v>-5.5</v>
      </c>
      <c r="AL26" s="588">
        <f t="shared" si="26"/>
        <v>-5.5</v>
      </c>
      <c r="AM26" s="588">
        <f t="shared" si="26"/>
        <v>-5.5</v>
      </c>
      <c r="AN26" s="588">
        <f t="shared" si="26"/>
        <v>-5.5</v>
      </c>
      <c r="AO26" s="357">
        <f t="shared" si="26"/>
        <v>0</v>
      </c>
      <c r="AP26" s="357">
        <f t="shared" si="26"/>
        <v>0</v>
      </c>
      <c r="AQ26" s="357">
        <f t="shared" si="26"/>
        <v>0</v>
      </c>
      <c r="AR26" s="355">
        <f>AR27</f>
        <v>-5.5</v>
      </c>
      <c r="AS26" s="358">
        <f>AS27</f>
        <v>5.5</v>
      </c>
      <c r="AT26" s="409"/>
    </row>
    <row r="27" spans="1:46" ht="104.15" hidden="1" customHeight="1" outlineLevel="1" x14ac:dyDescent="0.35">
      <c r="A27" s="394">
        <v>1</v>
      </c>
      <c r="B27" s="613" t="s">
        <v>1703</v>
      </c>
      <c r="C27" s="598" t="s">
        <v>1703</v>
      </c>
      <c r="D27" s="278">
        <v>44502</v>
      </c>
      <c r="E27" s="435" t="s">
        <v>1704</v>
      </c>
      <c r="F27" s="484" t="s">
        <v>1705</v>
      </c>
      <c r="G27" s="73" t="s">
        <v>271</v>
      </c>
      <c r="H27" s="305" t="s">
        <v>123</v>
      </c>
      <c r="I27" s="330"/>
      <c r="J27" s="282"/>
      <c r="K27" s="294">
        <f>M27+P27+U27+R27+T27</f>
        <v>11</v>
      </c>
      <c r="L27" s="386">
        <v>0</v>
      </c>
      <c r="M27" s="872">
        <v>0</v>
      </c>
      <c r="N27" s="872">
        <v>0</v>
      </c>
      <c r="O27" s="872">
        <v>0</v>
      </c>
      <c r="P27" s="872">
        <v>0</v>
      </c>
      <c r="Q27" s="872">
        <v>5.5</v>
      </c>
      <c r="R27" s="872">
        <v>5.5</v>
      </c>
      <c r="S27" s="872">
        <v>5.5</v>
      </c>
      <c r="T27" s="872">
        <v>5.5</v>
      </c>
      <c r="U27" s="873">
        <v>0</v>
      </c>
      <c r="V27" s="884">
        <v>0</v>
      </c>
      <c r="W27" s="885">
        <v>0</v>
      </c>
      <c r="X27" s="886">
        <v>0</v>
      </c>
      <c r="Y27" s="887">
        <v>0</v>
      </c>
      <c r="Z27" s="887">
        <v>0</v>
      </c>
      <c r="AA27" s="887">
        <v>0</v>
      </c>
      <c r="AB27" s="60">
        <v>0</v>
      </c>
      <c r="AC27" s="886">
        <v>-5.5</v>
      </c>
      <c r="AD27" s="887">
        <v>0</v>
      </c>
      <c r="AE27" s="887">
        <v>0</v>
      </c>
      <c r="AF27" s="887">
        <v>-5.5</v>
      </c>
      <c r="AG27" s="887">
        <v>-5.5</v>
      </c>
      <c r="AH27" s="887">
        <v>-5.5</v>
      </c>
      <c r="AI27" s="321">
        <v>-5.5</v>
      </c>
      <c r="AJ27" s="886">
        <v>-5.5</v>
      </c>
      <c r="AK27" s="889">
        <v>-5.5</v>
      </c>
      <c r="AL27" s="889">
        <v>-5.5</v>
      </c>
      <c r="AM27" s="889">
        <v>-5.5</v>
      </c>
      <c r="AN27" s="889">
        <v>-5.5</v>
      </c>
      <c r="AO27" s="890">
        <v>0</v>
      </c>
      <c r="AP27" s="890">
        <v>0</v>
      </c>
      <c r="AQ27" s="890">
        <v>0</v>
      </c>
      <c r="AR27" s="321">
        <v>-5.5</v>
      </c>
      <c r="AS27" s="321">
        <v>5.5</v>
      </c>
      <c r="AT27" s="408" t="s">
        <v>1706</v>
      </c>
    </row>
    <row r="28" spans="1:46" ht="18.5" collapsed="1" x14ac:dyDescent="0.35">
      <c r="A28" s="304" t="s">
        <v>50</v>
      </c>
      <c r="B28" s="609"/>
      <c r="C28" s="6"/>
      <c r="D28" s="6"/>
      <c r="E28" s="427"/>
      <c r="F28" s="477"/>
      <c r="G28" s="376" t="s">
        <v>1727</v>
      </c>
      <c r="H28" s="377" t="s">
        <v>1727</v>
      </c>
      <c r="I28" s="332"/>
      <c r="J28" s="516"/>
      <c r="K28" s="517">
        <f t="shared" ref="K28:AS28" si="27">K29+K37+K42+K44+K46+K49+K51+K55+K58</f>
        <v>806.22945399999992</v>
      </c>
      <c r="L28" s="518">
        <f t="shared" si="27"/>
        <v>204.52267500000002</v>
      </c>
      <c r="M28" s="511">
        <f t="shared" si="27"/>
        <v>129.587782</v>
      </c>
      <c r="N28" s="511">
        <f t="shared" si="27"/>
        <v>588.72748699999988</v>
      </c>
      <c r="O28" s="512">
        <f t="shared" si="27"/>
        <v>588.72748699999988</v>
      </c>
      <c r="P28" s="511">
        <f t="shared" ref="P28:Q28" si="28">P29+P37+P42+P44+P46+P49+P51+P55+P58</f>
        <v>533.45613600000001</v>
      </c>
      <c r="Q28" s="511">
        <f t="shared" si="28"/>
        <v>143.18553600000004</v>
      </c>
      <c r="R28" s="511">
        <f t="shared" si="27"/>
        <v>143.18553600000004</v>
      </c>
      <c r="S28" s="511">
        <f t="shared" ref="S28" si="29">S29+S37+S42+S44+S46+S49+S51+S55+S58</f>
        <v>87.069663000000006</v>
      </c>
      <c r="T28" s="511">
        <f t="shared" si="27"/>
        <v>0</v>
      </c>
      <c r="U28" s="513">
        <f t="shared" si="27"/>
        <v>0</v>
      </c>
      <c r="V28" s="574">
        <f t="shared" si="27"/>
        <v>-204.52267500000002</v>
      </c>
      <c r="W28" s="323">
        <f t="shared" si="27"/>
        <v>-129.587782</v>
      </c>
      <c r="X28" s="511">
        <f t="shared" si="27"/>
        <v>-588.72748699999988</v>
      </c>
      <c r="Y28" s="514">
        <f t="shared" si="27"/>
        <v>-455.94351499999999</v>
      </c>
      <c r="Z28" s="514">
        <f t="shared" si="27"/>
        <v>-535.75883299999987</v>
      </c>
      <c r="AA28" s="514">
        <f t="shared" si="27"/>
        <v>-506.45666800000004</v>
      </c>
      <c r="AB28" s="511">
        <f t="shared" ref="AB28" si="30">AB29+AB37+AB42+AB44+AB46+AB49+AB51+AB55+AB58</f>
        <v>-533.45613600000001</v>
      </c>
      <c r="AC28" s="511">
        <f t="shared" si="27"/>
        <v>-143.18553600000004</v>
      </c>
      <c r="AD28" s="892">
        <f t="shared" si="27"/>
        <v>0</v>
      </c>
      <c r="AE28" s="514">
        <f t="shared" ref="AE28" si="31">AE29+AE37+AE42+AE44+AE46+AE49+AE51+AE55+AE58</f>
        <v>-2.2969E-2</v>
      </c>
      <c r="AF28" s="514">
        <f t="shared" si="27"/>
        <v>-67.447001</v>
      </c>
      <c r="AG28" s="514">
        <f t="shared" ref="AG28:AI28" si="32">AG29+AG37+AG42+AG44+AG46+AG49+AG51+AG55+AG58</f>
        <v>-77.982163999999983</v>
      </c>
      <c r="AH28" s="514">
        <f t="shared" si="32"/>
        <v>-86.577597999999995</v>
      </c>
      <c r="AI28" s="323">
        <f t="shared" si="32"/>
        <v>-87.069663000000006</v>
      </c>
      <c r="AJ28" s="511">
        <f t="shared" si="27"/>
        <v>0</v>
      </c>
      <c r="AK28" s="638">
        <f t="shared" ref="AK28:AL28" si="33">AK29+AK37+AK42+AK44+AK46+AK49+AK51+AK55+AK58</f>
        <v>0</v>
      </c>
      <c r="AL28" s="638">
        <f t="shared" si="33"/>
        <v>0</v>
      </c>
      <c r="AM28" s="638">
        <f t="shared" ref="AM28:AP28" si="34">AM29+AM37+AM42+AM44+AM46+AM49+AM51+AM55+AM58</f>
        <v>0</v>
      </c>
      <c r="AN28" s="638">
        <f t="shared" ref="AN28" si="35">AN29+AN37+AN42+AN44+AN46+AN49+AN51+AN55+AN58</f>
        <v>0</v>
      </c>
      <c r="AO28" s="513">
        <f t="shared" si="34"/>
        <v>0</v>
      </c>
      <c r="AP28" s="513">
        <f t="shared" si="34"/>
        <v>0</v>
      </c>
      <c r="AQ28" s="513">
        <f t="shared" si="27"/>
        <v>0</v>
      </c>
      <c r="AR28" s="323">
        <f t="shared" si="27"/>
        <v>-2.2918999999999998E-2</v>
      </c>
      <c r="AS28" s="513">
        <f t="shared" si="27"/>
        <v>2.2918999999999998E-2</v>
      </c>
      <c r="AT28" s="320"/>
    </row>
    <row r="29" spans="1:46" ht="18.5" x14ac:dyDescent="0.35">
      <c r="A29" s="436">
        <v>1</v>
      </c>
      <c r="B29" s="614" t="s">
        <v>1712</v>
      </c>
      <c r="C29" s="599"/>
      <c r="D29" s="345"/>
      <c r="E29" s="429"/>
      <c r="F29" s="478"/>
      <c r="G29" s="378" t="s">
        <v>1727</v>
      </c>
      <c r="H29" s="379" t="s">
        <v>1727</v>
      </c>
      <c r="I29" s="346"/>
      <c r="J29" s="336"/>
      <c r="K29" s="347">
        <f t="shared" ref="K29:AS29" si="36">SUM(K30:K36)</f>
        <v>196.385256</v>
      </c>
      <c r="L29" s="363">
        <f t="shared" si="36"/>
        <v>73.857883999999999</v>
      </c>
      <c r="M29" s="363">
        <f t="shared" si="36"/>
        <v>60.502936000000005</v>
      </c>
      <c r="N29" s="363">
        <f t="shared" si="36"/>
        <v>97.559623000000002</v>
      </c>
      <c r="O29" s="363">
        <f t="shared" si="36"/>
        <v>97.559623000000002</v>
      </c>
      <c r="P29" s="363">
        <f t="shared" ref="P29:Q29" si="37">SUM(P30:P36)</f>
        <v>135.88231999999999</v>
      </c>
      <c r="Q29" s="363">
        <f t="shared" si="37"/>
        <v>0</v>
      </c>
      <c r="R29" s="363">
        <f t="shared" si="36"/>
        <v>0</v>
      </c>
      <c r="S29" s="363">
        <f t="shared" ref="S29" si="38">SUM(S30:S36)</f>
        <v>0</v>
      </c>
      <c r="T29" s="363">
        <f t="shared" si="36"/>
        <v>0</v>
      </c>
      <c r="U29" s="364">
        <f t="shared" si="36"/>
        <v>0</v>
      </c>
      <c r="V29" s="572">
        <f t="shared" si="36"/>
        <v>-73.857883999999999</v>
      </c>
      <c r="W29" s="347">
        <f t="shared" si="36"/>
        <v>-60.502936000000005</v>
      </c>
      <c r="X29" s="363">
        <f t="shared" si="36"/>
        <v>-97.559623000000002</v>
      </c>
      <c r="Y29" s="365">
        <f t="shared" si="36"/>
        <v>-97.559623000000002</v>
      </c>
      <c r="Z29" s="365">
        <f t="shared" si="36"/>
        <v>-142.55962299999999</v>
      </c>
      <c r="AA29" s="567">
        <f t="shared" si="36"/>
        <v>-135.91999999999999</v>
      </c>
      <c r="AB29" s="350">
        <f t="shared" ref="AB29" si="39">SUM(AB30:AB36)</f>
        <v>-135.88231999999999</v>
      </c>
      <c r="AC29" s="363">
        <f t="shared" si="36"/>
        <v>0</v>
      </c>
      <c r="AD29" s="365">
        <f t="shared" si="36"/>
        <v>0</v>
      </c>
      <c r="AE29" s="467">
        <f t="shared" ref="AE29" si="40">SUM(AE30:AE36)</f>
        <v>0</v>
      </c>
      <c r="AF29" s="467">
        <f t="shared" si="36"/>
        <v>0</v>
      </c>
      <c r="AG29" s="467">
        <f t="shared" ref="AG29:AI29" si="41">SUM(AG30:AG36)</f>
        <v>0</v>
      </c>
      <c r="AH29" s="467">
        <f t="shared" si="41"/>
        <v>0</v>
      </c>
      <c r="AI29" s="347">
        <f t="shared" si="41"/>
        <v>0</v>
      </c>
      <c r="AJ29" s="363">
        <f t="shared" si="36"/>
        <v>0</v>
      </c>
      <c r="AK29" s="365">
        <f t="shared" ref="AK29:AL29" si="42">SUM(AK30:AK36)</f>
        <v>0</v>
      </c>
      <c r="AL29" s="365">
        <f t="shared" si="42"/>
        <v>0</v>
      </c>
      <c r="AM29" s="365">
        <f t="shared" ref="AM29:AP29" si="43">SUM(AM30:AM36)</f>
        <v>0</v>
      </c>
      <c r="AN29" s="365">
        <f t="shared" ref="AN29" si="44">SUM(AN30:AN36)</f>
        <v>0</v>
      </c>
      <c r="AO29" s="364">
        <f t="shared" si="43"/>
        <v>0</v>
      </c>
      <c r="AP29" s="364">
        <f t="shared" si="43"/>
        <v>0</v>
      </c>
      <c r="AQ29" s="364">
        <f t="shared" si="36"/>
        <v>0</v>
      </c>
      <c r="AR29" s="347">
        <f t="shared" si="36"/>
        <v>0</v>
      </c>
      <c r="AS29" s="364">
        <f t="shared" si="36"/>
        <v>0</v>
      </c>
      <c r="AT29" s="348"/>
    </row>
    <row r="30" spans="1:46" ht="87" hidden="1" customHeight="1" outlineLevel="1" x14ac:dyDescent="0.35">
      <c r="A30" s="589">
        <v>1</v>
      </c>
      <c r="B30" s="611" t="s">
        <v>1712</v>
      </c>
      <c r="C30" s="600" t="s">
        <v>539</v>
      </c>
      <c r="D30" s="64">
        <v>43916</v>
      </c>
      <c r="E30" s="432" t="s">
        <v>570</v>
      </c>
      <c r="F30" s="482" t="s">
        <v>54</v>
      </c>
      <c r="G30" s="73" t="s">
        <v>38</v>
      </c>
      <c r="H30" s="312" t="s">
        <v>127</v>
      </c>
      <c r="I30" s="1120"/>
      <c r="J30" s="283"/>
      <c r="K30" s="1075">
        <f>M30+P30+U30+R30+T30</f>
        <v>53.517231000000002</v>
      </c>
      <c r="L30" s="1085">
        <f>-V30</f>
        <v>53.553614000000003</v>
      </c>
      <c r="M30" s="1088">
        <f>-W30</f>
        <v>53.517231000000002</v>
      </c>
      <c r="N30" s="1088">
        <f>-X30</f>
        <v>0</v>
      </c>
      <c r="O30" s="1088">
        <f>-X30</f>
        <v>0</v>
      </c>
      <c r="P30" s="1088">
        <f>-AB30</f>
        <v>0</v>
      </c>
      <c r="Q30" s="1088">
        <f>-AC30</f>
        <v>0</v>
      </c>
      <c r="R30" s="1088">
        <f>-AC30</f>
        <v>0</v>
      </c>
      <c r="S30" s="1088">
        <f>-AD30</f>
        <v>0</v>
      </c>
      <c r="T30" s="1088">
        <f>-AJ30</f>
        <v>0</v>
      </c>
      <c r="U30" s="1128">
        <f>-AQ30</f>
        <v>0</v>
      </c>
      <c r="V30" s="1098">
        <v>-53.553614000000003</v>
      </c>
      <c r="W30" s="1077">
        <v>-53.517231000000002</v>
      </c>
      <c r="X30" s="1092">
        <v>0</v>
      </c>
      <c r="Y30" s="1146">
        <v>0</v>
      </c>
      <c r="Z30" s="1146">
        <v>0</v>
      </c>
      <c r="AA30" s="1095">
        <v>0</v>
      </c>
      <c r="AB30" s="1094">
        <v>0</v>
      </c>
      <c r="AC30" s="1092">
        <v>0</v>
      </c>
      <c r="AD30" s="1146">
        <v>0</v>
      </c>
      <c r="AE30" s="1082">
        <v>0</v>
      </c>
      <c r="AF30" s="1082">
        <v>0</v>
      </c>
      <c r="AG30" s="1082">
        <v>0</v>
      </c>
      <c r="AH30" s="1082">
        <v>0</v>
      </c>
      <c r="AI30" s="1077">
        <v>0</v>
      </c>
      <c r="AJ30" s="1092">
        <v>0</v>
      </c>
      <c r="AK30" s="1146">
        <v>0</v>
      </c>
      <c r="AL30" s="1146">
        <v>0</v>
      </c>
      <c r="AM30" s="1146">
        <v>0</v>
      </c>
      <c r="AN30" s="1146">
        <v>0</v>
      </c>
      <c r="AO30" s="1168">
        <v>0</v>
      </c>
      <c r="AP30" s="1168">
        <v>0</v>
      </c>
      <c r="AQ30" s="1168">
        <v>0</v>
      </c>
      <c r="AR30" s="1077">
        <v>0</v>
      </c>
      <c r="AS30" s="1168">
        <f>-AR30</f>
        <v>0</v>
      </c>
      <c r="AT30" s="408" t="s">
        <v>343</v>
      </c>
    </row>
    <row r="31" spans="1:46" ht="72.650000000000006" hidden="1" customHeight="1" outlineLevel="1" x14ac:dyDescent="0.35">
      <c r="A31" s="589">
        <v>2</v>
      </c>
      <c r="B31" s="611" t="s">
        <v>1712</v>
      </c>
      <c r="C31" s="600" t="s">
        <v>539</v>
      </c>
      <c r="D31" s="64">
        <v>43921</v>
      </c>
      <c r="E31" s="432" t="s">
        <v>57</v>
      </c>
      <c r="F31" s="482" t="s">
        <v>55</v>
      </c>
      <c r="G31" s="73" t="s">
        <v>38</v>
      </c>
      <c r="H31" s="312" t="s">
        <v>127</v>
      </c>
      <c r="I31" s="1120"/>
      <c r="J31" s="283"/>
      <c r="K31" s="1076"/>
      <c r="L31" s="1086"/>
      <c r="M31" s="1167"/>
      <c r="N31" s="1167"/>
      <c r="O31" s="1167"/>
      <c r="P31" s="1167"/>
      <c r="Q31" s="1167"/>
      <c r="R31" s="1167"/>
      <c r="S31" s="1167"/>
      <c r="T31" s="1167"/>
      <c r="U31" s="1266"/>
      <c r="V31" s="1203"/>
      <c r="W31" s="1078"/>
      <c r="X31" s="1105"/>
      <c r="Y31" s="1185"/>
      <c r="Z31" s="1185"/>
      <c r="AA31" s="1095"/>
      <c r="AB31" s="1094"/>
      <c r="AC31" s="1105"/>
      <c r="AD31" s="1185"/>
      <c r="AE31" s="1083"/>
      <c r="AF31" s="1083"/>
      <c r="AG31" s="1083"/>
      <c r="AH31" s="1083"/>
      <c r="AI31" s="1078"/>
      <c r="AJ31" s="1105"/>
      <c r="AK31" s="1185"/>
      <c r="AL31" s="1185"/>
      <c r="AM31" s="1185"/>
      <c r="AN31" s="1185"/>
      <c r="AO31" s="1186"/>
      <c r="AP31" s="1186"/>
      <c r="AQ31" s="1186"/>
      <c r="AR31" s="1078"/>
      <c r="AS31" s="1186"/>
      <c r="AT31" s="408" t="s">
        <v>236</v>
      </c>
    </row>
    <row r="32" spans="1:46" ht="101.5" hidden="1" customHeight="1" outlineLevel="1" x14ac:dyDescent="0.35">
      <c r="A32" s="589">
        <v>3</v>
      </c>
      <c r="B32" s="611" t="s">
        <v>1712</v>
      </c>
      <c r="C32" s="600" t="s">
        <v>539</v>
      </c>
      <c r="D32" s="64">
        <v>43923</v>
      </c>
      <c r="E32" s="432" t="s">
        <v>58</v>
      </c>
      <c r="F32" s="482" t="s">
        <v>48</v>
      </c>
      <c r="G32" s="73" t="s">
        <v>38</v>
      </c>
      <c r="H32" s="312" t="s">
        <v>127</v>
      </c>
      <c r="I32" s="1120"/>
      <c r="J32" s="283"/>
      <c r="K32" s="1076"/>
      <c r="L32" s="1086"/>
      <c r="M32" s="1167"/>
      <c r="N32" s="1167"/>
      <c r="O32" s="1167"/>
      <c r="P32" s="1167"/>
      <c r="Q32" s="1167"/>
      <c r="R32" s="1167"/>
      <c r="S32" s="1167"/>
      <c r="T32" s="1167"/>
      <c r="U32" s="1266"/>
      <c r="V32" s="1203"/>
      <c r="W32" s="1078"/>
      <c r="X32" s="1105"/>
      <c r="Y32" s="1185"/>
      <c r="Z32" s="1185"/>
      <c r="AA32" s="1095"/>
      <c r="AB32" s="1094"/>
      <c r="AC32" s="1105"/>
      <c r="AD32" s="1185"/>
      <c r="AE32" s="1083"/>
      <c r="AF32" s="1083"/>
      <c r="AG32" s="1083"/>
      <c r="AH32" s="1083"/>
      <c r="AI32" s="1078"/>
      <c r="AJ32" s="1105"/>
      <c r="AK32" s="1185"/>
      <c r="AL32" s="1185"/>
      <c r="AM32" s="1185"/>
      <c r="AN32" s="1185"/>
      <c r="AO32" s="1186"/>
      <c r="AP32" s="1186"/>
      <c r="AQ32" s="1186"/>
      <c r="AR32" s="1078"/>
      <c r="AS32" s="1186"/>
      <c r="AT32" s="408" t="s">
        <v>47</v>
      </c>
    </row>
    <row r="33" spans="1:46" ht="87" hidden="1" customHeight="1" outlineLevel="1" x14ac:dyDescent="0.35">
      <c r="A33" s="589">
        <v>4</v>
      </c>
      <c r="B33" s="611" t="s">
        <v>1712</v>
      </c>
      <c r="C33" s="600" t="s">
        <v>539</v>
      </c>
      <c r="D33" s="64">
        <v>43930</v>
      </c>
      <c r="E33" s="432" t="s">
        <v>59</v>
      </c>
      <c r="F33" s="482" t="s">
        <v>137</v>
      </c>
      <c r="G33" s="73" t="s">
        <v>38</v>
      </c>
      <c r="H33" s="312" t="s">
        <v>127</v>
      </c>
      <c r="I33" s="1120"/>
      <c r="J33" s="283"/>
      <c r="K33" s="1076"/>
      <c r="L33" s="1086"/>
      <c r="M33" s="1167"/>
      <c r="N33" s="1167"/>
      <c r="O33" s="1167"/>
      <c r="P33" s="1167"/>
      <c r="Q33" s="1167"/>
      <c r="R33" s="1167"/>
      <c r="S33" s="1167"/>
      <c r="T33" s="1167"/>
      <c r="U33" s="1266"/>
      <c r="V33" s="1203"/>
      <c r="W33" s="1078"/>
      <c r="X33" s="1105"/>
      <c r="Y33" s="1185"/>
      <c r="Z33" s="1185"/>
      <c r="AA33" s="1095"/>
      <c r="AB33" s="1094"/>
      <c r="AC33" s="1105"/>
      <c r="AD33" s="1185"/>
      <c r="AE33" s="1083"/>
      <c r="AF33" s="1083"/>
      <c r="AG33" s="1083"/>
      <c r="AH33" s="1083"/>
      <c r="AI33" s="1078"/>
      <c r="AJ33" s="1105"/>
      <c r="AK33" s="1185"/>
      <c r="AL33" s="1185"/>
      <c r="AM33" s="1185"/>
      <c r="AN33" s="1185"/>
      <c r="AO33" s="1186"/>
      <c r="AP33" s="1186"/>
      <c r="AQ33" s="1186"/>
      <c r="AR33" s="1078"/>
      <c r="AS33" s="1186"/>
      <c r="AT33" s="408" t="s">
        <v>136</v>
      </c>
    </row>
    <row r="34" spans="1:46" ht="87" hidden="1" customHeight="1" outlineLevel="1" x14ac:dyDescent="0.35">
      <c r="A34" s="589">
        <v>5</v>
      </c>
      <c r="B34" s="611" t="s">
        <v>1712</v>
      </c>
      <c r="C34" s="600" t="s">
        <v>539</v>
      </c>
      <c r="D34" s="64">
        <v>43944</v>
      </c>
      <c r="E34" s="432" t="s">
        <v>243</v>
      </c>
      <c r="F34" s="482" t="s">
        <v>153</v>
      </c>
      <c r="G34" s="73" t="s">
        <v>38</v>
      </c>
      <c r="H34" s="312" t="s">
        <v>127</v>
      </c>
      <c r="I34" s="1120"/>
      <c r="J34" s="283"/>
      <c r="K34" s="1076"/>
      <c r="L34" s="1086"/>
      <c r="M34" s="1167"/>
      <c r="N34" s="1167"/>
      <c r="O34" s="1167"/>
      <c r="P34" s="1167"/>
      <c r="Q34" s="1167"/>
      <c r="R34" s="1167"/>
      <c r="S34" s="1167"/>
      <c r="T34" s="1167"/>
      <c r="U34" s="1266"/>
      <c r="V34" s="1203"/>
      <c r="W34" s="1078"/>
      <c r="X34" s="1105"/>
      <c r="Y34" s="1185"/>
      <c r="Z34" s="1185"/>
      <c r="AA34" s="1095"/>
      <c r="AB34" s="1094"/>
      <c r="AC34" s="1105"/>
      <c r="AD34" s="1185"/>
      <c r="AE34" s="1083"/>
      <c r="AF34" s="1083"/>
      <c r="AG34" s="1083"/>
      <c r="AH34" s="1083"/>
      <c r="AI34" s="1078"/>
      <c r="AJ34" s="1105"/>
      <c r="AK34" s="1185"/>
      <c r="AL34" s="1185"/>
      <c r="AM34" s="1185"/>
      <c r="AN34" s="1185"/>
      <c r="AO34" s="1186"/>
      <c r="AP34" s="1186"/>
      <c r="AQ34" s="1186"/>
      <c r="AR34" s="1078"/>
      <c r="AS34" s="1186"/>
      <c r="AT34" s="408" t="s">
        <v>154</v>
      </c>
    </row>
    <row r="35" spans="1:46" ht="101.5" hidden="1" customHeight="1" outlineLevel="1" x14ac:dyDescent="0.35">
      <c r="A35" s="589">
        <v>6</v>
      </c>
      <c r="B35" s="611" t="s">
        <v>1712</v>
      </c>
      <c r="C35" s="600" t="s">
        <v>539</v>
      </c>
      <c r="D35" s="64">
        <v>43949</v>
      </c>
      <c r="E35" s="432" t="s">
        <v>266</v>
      </c>
      <c r="F35" s="482" t="s">
        <v>156</v>
      </c>
      <c r="G35" s="73" t="s">
        <v>38</v>
      </c>
      <c r="H35" s="312" t="s">
        <v>127</v>
      </c>
      <c r="I35" s="1120"/>
      <c r="J35" s="283"/>
      <c r="K35" s="1076"/>
      <c r="L35" s="1087"/>
      <c r="M35" s="1167"/>
      <c r="N35" s="1167"/>
      <c r="O35" s="1167"/>
      <c r="P35" s="1167"/>
      <c r="Q35" s="1167"/>
      <c r="R35" s="1167"/>
      <c r="S35" s="1167"/>
      <c r="T35" s="1167"/>
      <c r="U35" s="1266"/>
      <c r="V35" s="1203"/>
      <c r="W35" s="1078"/>
      <c r="X35" s="1105"/>
      <c r="Y35" s="1185"/>
      <c r="Z35" s="1185"/>
      <c r="AA35" s="1095"/>
      <c r="AB35" s="1094"/>
      <c r="AC35" s="1105"/>
      <c r="AD35" s="1185"/>
      <c r="AE35" s="1083"/>
      <c r="AF35" s="1083"/>
      <c r="AG35" s="1083"/>
      <c r="AH35" s="1083"/>
      <c r="AI35" s="1078"/>
      <c r="AJ35" s="1105"/>
      <c r="AK35" s="1185"/>
      <c r="AL35" s="1185"/>
      <c r="AM35" s="1185"/>
      <c r="AN35" s="1185"/>
      <c r="AO35" s="1186"/>
      <c r="AP35" s="1186"/>
      <c r="AQ35" s="1186"/>
      <c r="AR35" s="1078"/>
      <c r="AS35" s="1186"/>
      <c r="AT35" s="408" t="s">
        <v>136</v>
      </c>
    </row>
    <row r="36" spans="1:46" ht="145" hidden="1" customHeight="1" outlineLevel="1" x14ac:dyDescent="0.35">
      <c r="A36" s="589">
        <v>7</v>
      </c>
      <c r="B36" s="611" t="s">
        <v>1712</v>
      </c>
      <c r="C36" s="600" t="s">
        <v>539</v>
      </c>
      <c r="D36" s="64" t="s">
        <v>531</v>
      </c>
      <c r="E36" s="432" t="s">
        <v>643</v>
      </c>
      <c r="F36" s="482" t="s">
        <v>528</v>
      </c>
      <c r="G36" s="73" t="s">
        <v>38</v>
      </c>
      <c r="H36" s="312" t="s">
        <v>127</v>
      </c>
      <c r="I36" s="1120"/>
      <c r="J36" s="283"/>
      <c r="K36" s="294">
        <f>M36+P36+U36+R36+T36</f>
        <v>142.86802499999999</v>
      </c>
      <c r="L36" s="180">
        <f>-V36</f>
        <v>20.304269999999999</v>
      </c>
      <c r="M36" s="80">
        <f>-W36</f>
        <v>6.9857050000000003</v>
      </c>
      <c r="N36" s="80">
        <f>-X36</f>
        <v>97.559623000000002</v>
      </c>
      <c r="O36" s="80">
        <f>-X36</f>
        <v>97.559623000000002</v>
      </c>
      <c r="P36" s="80">
        <f>-AB36</f>
        <v>135.88231999999999</v>
      </c>
      <c r="Q36" s="80">
        <f>-AC36</f>
        <v>0</v>
      </c>
      <c r="R36" s="80">
        <f>-AC36</f>
        <v>0</v>
      </c>
      <c r="S36" s="80">
        <f>-AI36</f>
        <v>0</v>
      </c>
      <c r="T36" s="80">
        <f>-AJ36</f>
        <v>0</v>
      </c>
      <c r="U36" s="401">
        <f>-AQ36</f>
        <v>0</v>
      </c>
      <c r="V36" s="893">
        <f>-20.30427</f>
        <v>-20.304269999999999</v>
      </c>
      <c r="W36" s="387">
        <v>-6.9857050000000003</v>
      </c>
      <c r="X36" s="207">
        <f>-97.559623</f>
        <v>-97.559623000000002</v>
      </c>
      <c r="Y36" s="367">
        <f>-97.559623</f>
        <v>-97.559623000000002</v>
      </c>
      <c r="Z36" s="367">
        <f>-97.559623-45</f>
        <v>-142.55962299999999</v>
      </c>
      <c r="AA36" s="468">
        <v>-135.91999999999999</v>
      </c>
      <c r="AB36" s="894">
        <v>-135.88231999999999</v>
      </c>
      <c r="AC36" s="207">
        <v>0</v>
      </c>
      <c r="AD36" s="367">
        <v>0</v>
      </c>
      <c r="AE36" s="468">
        <v>0</v>
      </c>
      <c r="AF36" s="468">
        <v>0</v>
      </c>
      <c r="AG36" s="468">
        <v>0</v>
      </c>
      <c r="AH36" s="468">
        <v>0</v>
      </c>
      <c r="AI36" s="917">
        <v>0</v>
      </c>
      <c r="AJ36" s="207">
        <v>0</v>
      </c>
      <c r="AK36" s="367">
        <v>0</v>
      </c>
      <c r="AL36" s="367">
        <v>0</v>
      </c>
      <c r="AM36" s="367">
        <v>0</v>
      </c>
      <c r="AN36" s="367">
        <v>0</v>
      </c>
      <c r="AO36" s="295">
        <v>0</v>
      </c>
      <c r="AP36" s="295">
        <v>0</v>
      </c>
      <c r="AQ36" s="295">
        <v>0</v>
      </c>
      <c r="AR36" s="917">
        <v>0</v>
      </c>
      <c r="AS36" s="295">
        <f>-AR36</f>
        <v>0</v>
      </c>
      <c r="AT36" s="408" t="s">
        <v>529</v>
      </c>
    </row>
    <row r="37" spans="1:46" ht="18.5" collapsed="1" x14ac:dyDescent="0.35">
      <c r="A37" s="436">
        <v>2</v>
      </c>
      <c r="B37" s="614" t="s">
        <v>1713</v>
      </c>
      <c r="C37" s="599"/>
      <c r="D37" s="345"/>
      <c r="E37" s="429"/>
      <c r="F37" s="478"/>
      <c r="G37" s="378" t="s">
        <v>1727</v>
      </c>
      <c r="H37" s="379" t="s">
        <v>1727</v>
      </c>
      <c r="I37" s="346"/>
      <c r="J37" s="336"/>
      <c r="K37" s="347">
        <f t="shared" ref="K37:AS37" si="45">SUM(K38:K41)</f>
        <v>137.03783900000002</v>
      </c>
      <c r="L37" s="363">
        <f t="shared" si="45"/>
        <v>98.36</v>
      </c>
      <c r="M37" s="363">
        <f t="shared" si="45"/>
        <v>47.324961000000002</v>
      </c>
      <c r="N37" s="363">
        <f t="shared" si="45"/>
        <v>115.664185</v>
      </c>
      <c r="O37" s="363">
        <f t="shared" si="45"/>
        <v>115.664185</v>
      </c>
      <c r="P37" s="363">
        <f t="shared" ref="P37:Q37" si="46">SUM(P38:P41)</f>
        <v>32.712878000000003</v>
      </c>
      <c r="Q37" s="363">
        <f t="shared" si="46"/>
        <v>57</v>
      </c>
      <c r="R37" s="363">
        <f t="shared" si="45"/>
        <v>57</v>
      </c>
      <c r="S37" s="363">
        <f t="shared" ref="S37" si="47">SUM(S38:S41)</f>
        <v>7.6351550000000001</v>
      </c>
      <c r="T37" s="363">
        <f t="shared" si="45"/>
        <v>0</v>
      </c>
      <c r="U37" s="364">
        <f t="shared" si="45"/>
        <v>0</v>
      </c>
      <c r="V37" s="572">
        <f t="shared" si="45"/>
        <v>-98.36</v>
      </c>
      <c r="W37" s="347">
        <f t="shared" si="45"/>
        <v>-47.324961000000002</v>
      </c>
      <c r="X37" s="363">
        <f t="shared" si="45"/>
        <v>-115.664185</v>
      </c>
      <c r="Y37" s="365">
        <f t="shared" si="45"/>
        <v>-25</v>
      </c>
      <c r="Z37" s="365">
        <f t="shared" si="45"/>
        <v>-26.040377000000003</v>
      </c>
      <c r="AA37" s="567">
        <f t="shared" si="45"/>
        <v>-21.01</v>
      </c>
      <c r="AB37" s="350">
        <f t="shared" ref="AB37" si="48">SUM(AB38:AB41)</f>
        <v>-32.712878000000003</v>
      </c>
      <c r="AC37" s="363">
        <f t="shared" si="45"/>
        <v>-57</v>
      </c>
      <c r="AD37" s="365">
        <f t="shared" si="45"/>
        <v>0</v>
      </c>
      <c r="AE37" s="467">
        <f t="shared" ref="AE37" si="49">SUM(AE38:AE41)</f>
        <v>0</v>
      </c>
      <c r="AF37" s="467">
        <f t="shared" si="45"/>
        <v>-7</v>
      </c>
      <c r="AG37" s="467">
        <f t="shared" ref="AG37:AI37" si="50">SUM(AG38:AG41)</f>
        <v>-7</v>
      </c>
      <c r="AH37" s="467">
        <f t="shared" si="50"/>
        <v>-7</v>
      </c>
      <c r="AI37" s="347">
        <f t="shared" si="50"/>
        <v>-7.6351550000000001</v>
      </c>
      <c r="AJ37" s="363">
        <f t="shared" si="45"/>
        <v>0</v>
      </c>
      <c r="AK37" s="365">
        <f t="shared" ref="AK37:AL37" si="51">SUM(AK38:AK41)</f>
        <v>0</v>
      </c>
      <c r="AL37" s="365">
        <f t="shared" si="51"/>
        <v>0</v>
      </c>
      <c r="AM37" s="365">
        <f t="shared" ref="AM37:AP37" si="52">SUM(AM38:AM41)</f>
        <v>0</v>
      </c>
      <c r="AN37" s="365">
        <f t="shared" ref="AN37" si="53">SUM(AN38:AN41)</f>
        <v>0</v>
      </c>
      <c r="AO37" s="364">
        <f t="shared" si="52"/>
        <v>0</v>
      </c>
      <c r="AP37" s="364">
        <f t="shared" si="52"/>
        <v>0</v>
      </c>
      <c r="AQ37" s="364">
        <f t="shared" si="45"/>
        <v>0</v>
      </c>
      <c r="AR37" s="347">
        <f t="shared" si="45"/>
        <v>0</v>
      </c>
      <c r="AS37" s="364">
        <f t="shared" si="45"/>
        <v>0</v>
      </c>
      <c r="AT37" s="348"/>
    </row>
    <row r="38" spans="1:46" ht="72.650000000000006" hidden="1" customHeight="1" outlineLevel="1" x14ac:dyDescent="0.35">
      <c r="A38" s="589">
        <v>1</v>
      </c>
      <c r="B38" s="611" t="s">
        <v>1713</v>
      </c>
      <c r="C38" s="600" t="s">
        <v>538</v>
      </c>
      <c r="D38" s="349" t="s">
        <v>670</v>
      </c>
      <c r="E38" s="432" t="s">
        <v>360</v>
      </c>
      <c r="F38" s="485" t="s">
        <v>552</v>
      </c>
      <c r="G38" s="212" t="s">
        <v>216</v>
      </c>
      <c r="H38" s="362" t="s">
        <v>127</v>
      </c>
      <c r="I38" s="333"/>
      <c r="J38" s="283"/>
      <c r="K38" s="294">
        <f>M38+P38+U38+R38+T38</f>
        <v>14.6</v>
      </c>
      <c r="L38" s="1085">
        <f>-V38</f>
        <v>59.36</v>
      </c>
      <c r="M38" s="80">
        <f>-W38</f>
        <v>14.6</v>
      </c>
      <c r="N38" s="867">
        <f>-X38</f>
        <v>0</v>
      </c>
      <c r="O38" s="867">
        <f>-X38</f>
        <v>0</v>
      </c>
      <c r="P38" s="867">
        <f t="shared" ref="P38:Q41" si="54">-AB38</f>
        <v>0</v>
      </c>
      <c r="Q38" s="867">
        <f t="shared" si="54"/>
        <v>0</v>
      </c>
      <c r="R38" s="867">
        <f t="shared" ref="R38:R41" si="55">-AC38</f>
        <v>0</v>
      </c>
      <c r="S38" s="80">
        <f>-AI38</f>
        <v>0</v>
      </c>
      <c r="T38" s="867">
        <f t="shared" ref="T38:T41" si="56">-AJ38</f>
        <v>0</v>
      </c>
      <c r="U38" s="865">
        <f>-AQ38</f>
        <v>0</v>
      </c>
      <c r="V38" s="1098">
        <f>-59.2-0.16</f>
        <v>-59.36</v>
      </c>
      <c r="W38" s="321">
        <f>-14.6</f>
        <v>-14.6</v>
      </c>
      <c r="X38" s="211">
        <v>0</v>
      </c>
      <c r="Y38" s="863">
        <v>0</v>
      </c>
      <c r="Z38" s="863">
        <v>0</v>
      </c>
      <c r="AA38" s="468">
        <v>0</v>
      </c>
      <c r="AB38" s="207">
        <v>0</v>
      </c>
      <c r="AC38" s="211">
        <v>0</v>
      </c>
      <c r="AD38" s="863">
        <v>0</v>
      </c>
      <c r="AE38" s="864">
        <v>0</v>
      </c>
      <c r="AF38" s="864">
        <v>0</v>
      </c>
      <c r="AG38" s="864">
        <v>0</v>
      </c>
      <c r="AH38" s="864">
        <v>0</v>
      </c>
      <c r="AI38" s="388">
        <v>0</v>
      </c>
      <c r="AJ38" s="211">
        <v>0</v>
      </c>
      <c r="AK38" s="863">
        <v>0</v>
      </c>
      <c r="AL38" s="863">
        <v>0</v>
      </c>
      <c r="AM38" s="863">
        <v>0</v>
      </c>
      <c r="AN38" s="863">
        <v>0</v>
      </c>
      <c r="AO38" s="866">
        <v>0</v>
      </c>
      <c r="AP38" s="866">
        <v>0</v>
      </c>
      <c r="AQ38" s="866">
        <v>0</v>
      </c>
      <c r="AR38" s="388">
        <v>0</v>
      </c>
      <c r="AS38" s="866">
        <f>-AR38</f>
        <v>0</v>
      </c>
      <c r="AT38" s="410" t="s">
        <v>507</v>
      </c>
    </row>
    <row r="39" spans="1:46" ht="116.15" hidden="1" customHeight="1" outlineLevel="1" x14ac:dyDescent="0.35">
      <c r="A39" s="589">
        <v>2</v>
      </c>
      <c r="B39" s="611" t="s">
        <v>1713</v>
      </c>
      <c r="C39" s="600" t="s">
        <v>538</v>
      </c>
      <c r="D39" s="62" t="s">
        <v>664</v>
      </c>
      <c r="E39" s="432" t="s">
        <v>360</v>
      </c>
      <c r="F39" s="482" t="s">
        <v>270</v>
      </c>
      <c r="G39" s="69" t="s">
        <v>216</v>
      </c>
      <c r="H39" s="305" t="s">
        <v>127</v>
      </c>
      <c r="I39" s="333"/>
      <c r="J39" s="283"/>
      <c r="K39" s="294">
        <f>M39+P39+U39+R39+T39</f>
        <v>30.39</v>
      </c>
      <c r="L39" s="1087"/>
      <c r="M39" s="80">
        <f t="shared" ref="M39:N41" si="57">-W39</f>
        <v>30.39</v>
      </c>
      <c r="N39" s="80">
        <f t="shared" si="57"/>
        <v>0</v>
      </c>
      <c r="O39" s="80">
        <f>-X39</f>
        <v>0</v>
      </c>
      <c r="P39" s="80">
        <f t="shared" si="54"/>
        <v>0</v>
      </c>
      <c r="Q39" s="80">
        <f t="shared" si="54"/>
        <v>0</v>
      </c>
      <c r="R39" s="80">
        <f t="shared" si="55"/>
        <v>0</v>
      </c>
      <c r="S39" s="80">
        <f>-AI39</f>
        <v>0</v>
      </c>
      <c r="T39" s="80">
        <f t="shared" si="56"/>
        <v>0</v>
      </c>
      <c r="U39" s="401">
        <f>-AQ39</f>
        <v>0</v>
      </c>
      <c r="V39" s="1099"/>
      <c r="W39" s="321">
        <v>-30.39</v>
      </c>
      <c r="X39" s="207">
        <v>0</v>
      </c>
      <c r="Y39" s="367">
        <v>0</v>
      </c>
      <c r="Z39" s="367">
        <v>0</v>
      </c>
      <c r="AA39" s="468">
        <v>0</v>
      </c>
      <c r="AB39" s="207">
        <v>0</v>
      </c>
      <c r="AC39" s="207">
        <v>0</v>
      </c>
      <c r="AD39" s="367">
        <v>0</v>
      </c>
      <c r="AE39" s="468">
        <v>0</v>
      </c>
      <c r="AF39" s="468">
        <v>0</v>
      </c>
      <c r="AG39" s="468">
        <v>0</v>
      </c>
      <c r="AH39" s="468">
        <v>0</v>
      </c>
      <c r="AI39" s="387">
        <v>0</v>
      </c>
      <c r="AJ39" s="207">
        <v>0</v>
      </c>
      <c r="AK39" s="367">
        <v>0</v>
      </c>
      <c r="AL39" s="367">
        <v>0</v>
      </c>
      <c r="AM39" s="367">
        <v>0</v>
      </c>
      <c r="AN39" s="367">
        <v>0</v>
      </c>
      <c r="AO39" s="295">
        <v>0</v>
      </c>
      <c r="AP39" s="295">
        <v>0</v>
      </c>
      <c r="AQ39" s="295">
        <v>0</v>
      </c>
      <c r="AR39" s="387">
        <v>0</v>
      </c>
      <c r="AS39" s="295">
        <f>-AR39</f>
        <v>0</v>
      </c>
      <c r="AT39" s="408" t="s">
        <v>334</v>
      </c>
    </row>
    <row r="40" spans="1:46" ht="174" hidden="1" customHeight="1" outlineLevel="1" x14ac:dyDescent="0.35">
      <c r="A40" s="589">
        <v>3</v>
      </c>
      <c r="B40" s="611" t="s">
        <v>1713</v>
      </c>
      <c r="C40" s="600" t="s">
        <v>538</v>
      </c>
      <c r="D40" s="62" t="s">
        <v>531</v>
      </c>
      <c r="E40" s="432" t="s">
        <v>643</v>
      </c>
      <c r="F40" s="482" t="s">
        <v>405</v>
      </c>
      <c r="G40" s="69" t="s">
        <v>427</v>
      </c>
      <c r="H40" s="305" t="s">
        <v>127</v>
      </c>
      <c r="I40" s="333"/>
      <c r="J40" s="283"/>
      <c r="K40" s="294">
        <f>M40+P40+U40+R40+T40</f>
        <v>23.344961000000001</v>
      </c>
      <c r="L40" s="180">
        <f>-V40</f>
        <v>39</v>
      </c>
      <c r="M40" s="80">
        <f t="shared" si="57"/>
        <v>2.3349609999999998</v>
      </c>
      <c r="N40" s="80">
        <f t="shared" si="57"/>
        <v>75.664185000000003</v>
      </c>
      <c r="O40" s="80">
        <f>-X40</f>
        <v>75.664185000000003</v>
      </c>
      <c r="P40" s="80">
        <f t="shared" si="54"/>
        <v>21.01</v>
      </c>
      <c r="Q40" s="80">
        <f t="shared" si="54"/>
        <v>0</v>
      </c>
      <c r="R40" s="80">
        <f t="shared" si="55"/>
        <v>0</v>
      </c>
      <c r="S40" s="80">
        <f>-AI40</f>
        <v>0</v>
      </c>
      <c r="T40" s="80">
        <f t="shared" si="56"/>
        <v>0</v>
      </c>
      <c r="U40" s="401">
        <f>-AQ40</f>
        <v>0</v>
      </c>
      <c r="V40" s="893">
        <v>-39</v>
      </c>
      <c r="W40" s="387">
        <v>-2.3349609999999998</v>
      </c>
      <c r="X40" s="207">
        <v>-75.664185000000003</v>
      </c>
      <c r="Y40" s="367">
        <v>-25</v>
      </c>
      <c r="Z40" s="367">
        <f>-75.664185+45+4.623808</f>
        <v>-26.040377000000003</v>
      </c>
      <c r="AA40" s="468">
        <v>-21.01</v>
      </c>
      <c r="AB40" s="894">
        <v>-21.01</v>
      </c>
      <c r="AC40" s="207">
        <v>0</v>
      </c>
      <c r="AD40" s="367">
        <v>0</v>
      </c>
      <c r="AE40" s="468">
        <v>0</v>
      </c>
      <c r="AF40" s="468">
        <v>0</v>
      </c>
      <c r="AG40" s="468">
        <v>0</v>
      </c>
      <c r="AH40" s="468">
        <v>0</v>
      </c>
      <c r="AI40" s="917">
        <v>0</v>
      </c>
      <c r="AJ40" s="207">
        <v>0</v>
      </c>
      <c r="AK40" s="367">
        <v>0</v>
      </c>
      <c r="AL40" s="367">
        <v>0</v>
      </c>
      <c r="AM40" s="367">
        <v>0</v>
      </c>
      <c r="AN40" s="367">
        <v>0</v>
      </c>
      <c r="AO40" s="295">
        <v>0</v>
      </c>
      <c r="AP40" s="295">
        <v>0</v>
      </c>
      <c r="AQ40" s="295">
        <v>0</v>
      </c>
      <c r="AR40" s="917">
        <v>0</v>
      </c>
      <c r="AS40" s="295">
        <f>-AR40</f>
        <v>0</v>
      </c>
      <c r="AT40" s="408" t="s">
        <v>530</v>
      </c>
    </row>
    <row r="41" spans="1:46" ht="119.15" hidden="1" customHeight="1" outlineLevel="1" x14ac:dyDescent="0.35">
      <c r="A41" s="589">
        <v>4</v>
      </c>
      <c r="B41" s="611" t="s">
        <v>1713</v>
      </c>
      <c r="C41" s="600" t="s">
        <v>538</v>
      </c>
      <c r="D41" s="62" t="s">
        <v>1862</v>
      </c>
      <c r="E41" s="432" t="s">
        <v>1683</v>
      </c>
      <c r="F41" s="482" t="s">
        <v>1858</v>
      </c>
      <c r="G41" s="69" t="s">
        <v>427</v>
      </c>
      <c r="H41" s="305" t="s">
        <v>127</v>
      </c>
      <c r="I41" s="333"/>
      <c r="J41" s="283"/>
      <c r="K41" s="294">
        <f>M41+P41+U41+R41+T41</f>
        <v>68.702877999999998</v>
      </c>
      <c r="L41" s="180">
        <f>-V41</f>
        <v>0</v>
      </c>
      <c r="M41" s="80">
        <f t="shared" si="57"/>
        <v>0</v>
      </c>
      <c r="N41" s="80">
        <f t="shared" si="57"/>
        <v>40</v>
      </c>
      <c r="O41" s="80">
        <f>-X41</f>
        <v>40</v>
      </c>
      <c r="P41" s="80">
        <f t="shared" si="54"/>
        <v>11.702878</v>
      </c>
      <c r="Q41" s="80">
        <f t="shared" si="54"/>
        <v>57</v>
      </c>
      <c r="R41" s="80">
        <f t="shared" si="55"/>
        <v>57</v>
      </c>
      <c r="S41" s="80">
        <f>-AI41</f>
        <v>7.6351550000000001</v>
      </c>
      <c r="T41" s="80">
        <f t="shared" si="56"/>
        <v>0</v>
      </c>
      <c r="U41" s="401">
        <f>-AQ41</f>
        <v>0</v>
      </c>
      <c r="V41" s="893">
        <v>0</v>
      </c>
      <c r="W41" s="387">
        <v>0</v>
      </c>
      <c r="X41" s="207">
        <f>-20-20</f>
        <v>-40</v>
      </c>
      <c r="Y41" s="367">
        <v>0</v>
      </c>
      <c r="Z41" s="367">
        <v>0</v>
      </c>
      <c r="AA41" s="468">
        <v>0</v>
      </c>
      <c r="AB41" s="895">
        <v>-11.702878</v>
      </c>
      <c r="AC41" s="895">
        <f>-44-9-4</f>
        <v>-57</v>
      </c>
      <c r="AD41" s="367">
        <v>0</v>
      </c>
      <c r="AE41" s="468">
        <v>0</v>
      </c>
      <c r="AF41" s="468">
        <v>-7</v>
      </c>
      <c r="AG41" s="468">
        <v>-7</v>
      </c>
      <c r="AH41" s="468">
        <v>-7</v>
      </c>
      <c r="AI41" s="623">
        <v>-7.6351550000000001</v>
      </c>
      <c r="AJ41" s="207">
        <v>0</v>
      </c>
      <c r="AK41" s="367">
        <v>0</v>
      </c>
      <c r="AL41" s="367">
        <v>0</v>
      </c>
      <c r="AM41" s="367">
        <v>0</v>
      </c>
      <c r="AN41" s="367">
        <v>0</v>
      </c>
      <c r="AO41" s="295">
        <v>0</v>
      </c>
      <c r="AP41" s="295">
        <v>0</v>
      </c>
      <c r="AQ41" s="295">
        <v>0</v>
      </c>
      <c r="AR41" s="623">
        <v>0</v>
      </c>
      <c r="AS41" s="295">
        <f>-AR41</f>
        <v>0</v>
      </c>
      <c r="AT41" s="411" t="s">
        <v>1863</v>
      </c>
    </row>
    <row r="42" spans="1:46" ht="18.5" collapsed="1" x14ac:dyDescent="0.35">
      <c r="A42" s="436">
        <v>3</v>
      </c>
      <c r="B42" s="614" t="s">
        <v>1114</v>
      </c>
      <c r="C42" s="599"/>
      <c r="D42" s="345"/>
      <c r="E42" s="429"/>
      <c r="F42" s="478"/>
      <c r="G42" s="378" t="s">
        <v>1727</v>
      </c>
      <c r="H42" s="379" t="s">
        <v>1727</v>
      </c>
      <c r="I42" s="346"/>
      <c r="J42" s="336"/>
      <c r="K42" s="347">
        <f t="shared" ref="K42:AS42" si="58">K43</f>
        <v>188.118526</v>
      </c>
      <c r="L42" s="363">
        <f t="shared" si="58"/>
        <v>0</v>
      </c>
      <c r="M42" s="363">
        <f t="shared" si="58"/>
        <v>0</v>
      </c>
      <c r="N42" s="363">
        <f t="shared" si="58"/>
        <v>187.873626</v>
      </c>
      <c r="O42" s="363">
        <f t="shared" si="58"/>
        <v>187.873626</v>
      </c>
      <c r="P42" s="363">
        <f t="shared" si="58"/>
        <v>187.92102600000001</v>
      </c>
      <c r="Q42" s="363">
        <f t="shared" si="58"/>
        <v>0.19750000000000001</v>
      </c>
      <c r="R42" s="363">
        <f t="shared" si="58"/>
        <v>0.19750000000000001</v>
      </c>
      <c r="S42" s="363">
        <f t="shared" si="58"/>
        <v>0.218886</v>
      </c>
      <c r="T42" s="363">
        <f t="shared" si="58"/>
        <v>0</v>
      </c>
      <c r="U42" s="364">
        <f t="shared" si="58"/>
        <v>0</v>
      </c>
      <c r="V42" s="572">
        <f t="shared" si="58"/>
        <v>0</v>
      </c>
      <c r="W42" s="347">
        <f t="shared" si="58"/>
        <v>0</v>
      </c>
      <c r="X42" s="363">
        <f t="shared" si="58"/>
        <v>-187.873626</v>
      </c>
      <c r="Y42" s="365">
        <f t="shared" si="58"/>
        <v>-182.08389299999999</v>
      </c>
      <c r="Z42" s="365">
        <f t="shared" si="58"/>
        <v>-187.78852599999999</v>
      </c>
      <c r="AA42" s="567">
        <f t="shared" si="58"/>
        <v>-187.870926</v>
      </c>
      <c r="AB42" s="350">
        <f t="shared" si="58"/>
        <v>-187.92102600000001</v>
      </c>
      <c r="AC42" s="363">
        <f t="shared" si="58"/>
        <v>-0.19750000000000001</v>
      </c>
      <c r="AD42" s="365">
        <f t="shared" si="58"/>
        <v>0</v>
      </c>
      <c r="AE42" s="467">
        <f t="shared" si="58"/>
        <v>0</v>
      </c>
      <c r="AF42" s="467">
        <f t="shared" si="58"/>
        <v>0</v>
      </c>
      <c r="AG42" s="467">
        <f t="shared" si="58"/>
        <v>-0.186</v>
      </c>
      <c r="AH42" s="467">
        <f t="shared" si="58"/>
        <v>-0.186</v>
      </c>
      <c r="AI42" s="347">
        <f t="shared" si="58"/>
        <v>-0.218886</v>
      </c>
      <c r="AJ42" s="363">
        <f t="shared" si="58"/>
        <v>0</v>
      </c>
      <c r="AK42" s="365">
        <f t="shared" si="58"/>
        <v>0</v>
      </c>
      <c r="AL42" s="365">
        <f t="shared" si="58"/>
        <v>0</v>
      </c>
      <c r="AM42" s="365">
        <f t="shared" si="58"/>
        <v>0</v>
      </c>
      <c r="AN42" s="365">
        <f t="shared" si="58"/>
        <v>0</v>
      </c>
      <c r="AO42" s="364">
        <f t="shared" si="58"/>
        <v>0</v>
      </c>
      <c r="AP42" s="364">
        <f t="shared" si="58"/>
        <v>0</v>
      </c>
      <c r="AQ42" s="364">
        <f t="shared" si="58"/>
        <v>0</v>
      </c>
      <c r="AR42" s="347">
        <f t="shared" si="58"/>
        <v>-2.2918999999999998E-2</v>
      </c>
      <c r="AS42" s="364">
        <f t="shared" si="58"/>
        <v>2.2918999999999998E-2</v>
      </c>
      <c r="AT42" s="348"/>
    </row>
    <row r="43" spans="1:46" ht="136.5" hidden="1" customHeight="1" outlineLevel="1" x14ac:dyDescent="0.35">
      <c r="A43" s="589">
        <v>1</v>
      </c>
      <c r="B43" s="611" t="s">
        <v>1114</v>
      </c>
      <c r="C43" s="601" t="s">
        <v>1114</v>
      </c>
      <c r="D43" s="62" t="s">
        <v>1661</v>
      </c>
      <c r="E43" s="432" t="s">
        <v>1432</v>
      </c>
      <c r="F43" s="482" t="s">
        <v>1448</v>
      </c>
      <c r="G43" s="69" t="s">
        <v>7</v>
      </c>
      <c r="H43" s="305" t="s">
        <v>126</v>
      </c>
      <c r="I43" s="333"/>
      <c r="J43" s="283"/>
      <c r="K43" s="294">
        <f>M43+P43+U43+R43+T43</f>
        <v>188.118526</v>
      </c>
      <c r="L43" s="180">
        <f>-V43</f>
        <v>0</v>
      </c>
      <c r="M43" s="80">
        <f t="shared" ref="M43" si="59">-W43</f>
        <v>0</v>
      </c>
      <c r="N43" s="80">
        <f>-X43</f>
        <v>187.873626</v>
      </c>
      <c r="O43" s="80">
        <f>-X43</f>
        <v>187.873626</v>
      </c>
      <c r="P43" s="80">
        <f>-AB43</f>
        <v>187.92102600000001</v>
      </c>
      <c r="Q43" s="80">
        <f>-AC43</f>
        <v>0.19750000000000001</v>
      </c>
      <c r="R43" s="80">
        <f>-AC43</f>
        <v>0.19750000000000001</v>
      </c>
      <c r="S43" s="80">
        <f>-AI43</f>
        <v>0.218886</v>
      </c>
      <c r="T43" s="80">
        <f>-AJ43</f>
        <v>0</v>
      </c>
      <c r="U43" s="401">
        <f>-AQ43</f>
        <v>0</v>
      </c>
      <c r="V43" s="893">
        <v>0</v>
      </c>
      <c r="W43" s="387">
        <v>0</v>
      </c>
      <c r="X43" s="207">
        <f>-187.583893-0.289733</f>
        <v>-187.873626</v>
      </c>
      <c r="Y43" s="367">
        <v>-182.08389299999999</v>
      </c>
      <c r="Z43" s="367">
        <v>-187.78852599999999</v>
      </c>
      <c r="AA43" s="468">
        <v>-187.870926</v>
      </c>
      <c r="AB43" s="207">
        <v>-187.92102600000001</v>
      </c>
      <c r="AC43" s="207">
        <v>-0.19750000000000001</v>
      </c>
      <c r="AD43" s="367">
        <v>0</v>
      </c>
      <c r="AE43" s="468">
        <v>0</v>
      </c>
      <c r="AF43" s="468">
        <v>0</v>
      </c>
      <c r="AG43" s="468">
        <v>-0.186</v>
      </c>
      <c r="AH43" s="468">
        <v>-0.186</v>
      </c>
      <c r="AI43" s="623">
        <f>-0.218886</f>
        <v>-0.218886</v>
      </c>
      <c r="AJ43" s="207">
        <v>0</v>
      </c>
      <c r="AK43" s="367">
        <v>0</v>
      </c>
      <c r="AL43" s="367">
        <v>0</v>
      </c>
      <c r="AM43" s="367">
        <v>0</v>
      </c>
      <c r="AN43" s="367">
        <v>0</v>
      </c>
      <c r="AO43" s="295">
        <v>0</v>
      </c>
      <c r="AP43" s="295">
        <v>0</v>
      </c>
      <c r="AQ43" s="295">
        <v>0</v>
      </c>
      <c r="AR43" s="623">
        <v>-2.2918999999999998E-2</v>
      </c>
      <c r="AS43" s="295">
        <f>-AR43</f>
        <v>2.2918999999999998E-2</v>
      </c>
      <c r="AT43" s="408" t="s">
        <v>1449</v>
      </c>
    </row>
    <row r="44" spans="1:46" ht="18.5" collapsed="1" x14ac:dyDescent="0.35">
      <c r="A44" s="436">
        <v>4</v>
      </c>
      <c r="B44" s="614" t="s">
        <v>1182</v>
      </c>
      <c r="C44" s="599"/>
      <c r="D44" s="345"/>
      <c r="E44" s="429"/>
      <c r="F44" s="478"/>
      <c r="G44" s="378" t="s">
        <v>1727</v>
      </c>
      <c r="H44" s="379" t="s">
        <v>1727</v>
      </c>
      <c r="I44" s="346"/>
      <c r="J44" s="336"/>
      <c r="K44" s="347">
        <f t="shared" ref="K44:AS44" si="60">K45</f>
        <v>110.02575200000001</v>
      </c>
      <c r="L44" s="363">
        <f t="shared" si="60"/>
        <v>0</v>
      </c>
      <c r="M44" s="363">
        <f t="shared" si="60"/>
        <v>0</v>
      </c>
      <c r="N44" s="363">
        <f t="shared" si="60"/>
        <v>112.531752</v>
      </c>
      <c r="O44" s="363">
        <f t="shared" si="60"/>
        <v>112.531752</v>
      </c>
      <c r="P44" s="363">
        <f t="shared" si="60"/>
        <v>110.007152</v>
      </c>
      <c r="Q44" s="363">
        <f t="shared" si="60"/>
        <v>1.8599999999999998E-2</v>
      </c>
      <c r="R44" s="363">
        <f t="shared" si="60"/>
        <v>1.8599999999999998E-2</v>
      </c>
      <c r="S44" s="363">
        <f t="shared" si="60"/>
        <v>1.8599999999999998E-2</v>
      </c>
      <c r="T44" s="363">
        <f t="shared" si="60"/>
        <v>0</v>
      </c>
      <c r="U44" s="364">
        <f t="shared" si="60"/>
        <v>0</v>
      </c>
      <c r="V44" s="572">
        <f t="shared" si="60"/>
        <v>0</v>
      </c>
      <c r="W44" s="347">
        <f t="shared" si="60"/>
        <v>0</v>
      </c>
      <c r="X44" s="363">
        <f t="shared" si="60"/>
        <v>-112.531752</v>
      </c>
      <c r="Y44" s="365">
        <f t="shared" si="60"/>
        <v>-112.51495199999999</v>
      </c>
      <c r="Z44" s="365">
        <f t="shared" si="60"/>
        <v>-112.51495199999999</v>
      </c>
      <c r="AA44" s="567">
        <f t="shared" si="60"/>
        <v>-109.92155200000001</v>
      </c>
      <c r="AB44" s="350">
        <f t="shared" si="60"/>
        <v>-110.007152</v>
      </c>
      <c r="AC44" s="363">
        <f t="shared" si="60"/>
        <v>-1.8599999999999998E-2</v>
      </c>
      <c r="AD44" s="365">
        <f t="shared" si="60"/>
        <v>0</v>
      </c>
      <c r="AE44" s="467">
        <f t="shared" si="60"/>
        <v>0</v>
      </c>
      <c r="AF44" s="467">
        <f t="shared" si="60"/>
        <v>0</v>
      </c>
      <c r="AG44" s="467">
        <f t="shared" si="60"/>
        <v>-1.6799999999999999E-2</v>
      </c>
      <c r="AH44" s="467">
        <f t="shared" si="60"/>
        <v>-1.6799999999999999E-2</v>
      </c>
      <c r="AI44" s="347">
        <f t="shared" si="60"/>
        <v>-1.8599999999999998E-2</v>
      </c>
      <c r="AJ44" s="363">
        <f t="shared" si="60"/>
        <v>0</v>
      </c>
      <c r="AK44" s="365">
        <f t="shared" si="60"/>
        <v>0</v>
      </c>
      <c r="AL44" s="365">
        <f t="shared" si="60"/>
        <v>0</v>
      </c>
      <c r="AM44" s="365">
        <f t="shared" si="60"/>
        <v>0</v>
      </c>
      <c r="AN44" s="365">
        <f t="shared" si="60"/>
        <v>0</v>
      </c>
      <c r="AO44" s="364">
        <f t="shared" si="60"/>
        <v>0</v>
      </c>
      <c r="AP44" s="364">
        <f t="shared" si="60"/>
        <v>0</v>
      </c>
      <c r="AQ44" s="364">
        <f t="shared" si="60"/>
        <v>0</v>
      </c>
      <c r="AR44" s="347">
        <f t="shared" si="60"/>
        <v>0</v>
      </c>
      <c r="AS44" s="364">
        <f t="shared" si="60"/>
        <v>0</v>
      </c>
      <c r="AT44" s="348"/>
    </row>
    <row r="45" spans="1:46" ht="103" hidden="1" customHeight="1" outlineLevel="1" x14ac:dyDescent="0.35">
      <c r="A45" s="589">
        <v>1</v>
      </c>
      <c r="B45" s="611" t="s">
        <v>1182</v>
      </c>
      <c r="C45" s="601" t="s">
        <v>1182</v>
      </c>
      <c r="D45" s="62" t="s">
        <v>1537</v>
      </c>
      <c r="E45" s="432" t="s">
        <v>1329</v>
      </c>
      <c r="F45" s="482" t="s">
        <v>1183</v>
      </c>
      <c r="G45" s="69" t="s">
        <v>7</v>
      </c>
      <c r="H45" s="305" t="s">
        <v>126</v>
      </c>
      <c r="I45" s="333"/>
      <c r="J45" s="283"/>
      <c r="K45" s="294">
        <f>M45+P45+U45+R45+T45</f>
        <v>110.02575200000001</v>
      </c>
      <c r="L45" s="180">
        <f>-V45</f>
        <v>0</v>
      </c>
      <c r="M45" s="80">
        <f>-W45</f>
        <v>0</v>
      </c>
      <c r="N45" s="80">
        <f>-X45</f>
        <v>112.531752</v>
      </c>
      <c r="O45" s="80">
        <f>-X45</f>
        <v>112.531752</v>
      </c>
      <c r="P45" s="80">
        <f>-AB45</f>
        <v>110.007152</v>
      </c>
      <c r="Q45" s="80">
        <f>-AC45</f>
        <v>1.8599999999999998E-2</v>
      </c>
      <c r="R45" s="80">
        <f>-AC45</f>
        <v>1.8599999999999998E-2</v>
      </c>
      <c r="S45" s="80">
        <f>-AI45</f>
        <v>1.8599999999999998E-2</v>
      </c>
      <c r="T45" s="80">
        <f t="shared" ref="T45" si="61">-AJ45</f>
        <v>0</v>
      </c>
      <c r="U45" s="401">
        <f>-AQ45</f>
        <v>0</v>
      </c>
      <c r="V45" s="893">
        <v>0</v>
      </c>
      <c r="W45" s="387">
        <v>0</v>
      </c>
      <c r="X45" s="207">
        <f>-112.514952-0.0168</f>
        <v>-112.531752</v>
      </c>
      <c r="Y45" s="367">
        <v>-112.51495199999999</v>
      </c>
      <c r="Z45" s="367">
        <v>-112.51495199999999</v>
      </c>
      <c r="AA45" s="468">
        <v>-109.92155200000001</v>
      </c>
      <c r="AB45" s="207">
        <f>-0.0154-109.991752</f>
        <v>-110.007152</v>
      </c>
      <c r="AC45" s="207">
        <v>-1.8599999999999998E-2</v>
      </c>
      <c r="AD45" s="367">
        <v>0</v>
      </c>
      <c r="AE45" s="468">
        <v>0</v>
      </c>
      <c r="AF45" s="468">
        <v>0</v>
      </c>
      <c r="AG45" s="468">
        <v>-1.6799999999999999E-2</v>
      </c>
      <c r="AH45" s="468">
        <v>-1.6799999999999999E-2</v>
      </c>
      <c r="AI45" s="623">
        <v>-1.8599999999999998E-2</v>
      </c>
      <c r="AJ45" s="207">
        <v>0</v>
      </c>
      <c r="AK45" s="367">
        <v>0</v>
      </c>
      <c r="AL45" s="367">
        <v>0</v>
      </c>
      <c r="AM45" s="367">
        <v>0</v>
      </c>
      <c r="AN45" s="367">
        <v>0</v>
      </c>
      <c r="AO45" s="295">
        <v>0</v>
      </c>
      <c r="AP45" s="295">
        <v>0</v>
      </c>
      <c r="AQ45" s="295">
        <v>0</v>
      </c>
      <c r="AR45" s="623">
        <v>0</v>
      </c>
      <c r="AS45" s="295">
        <f>-AR45</f>
        <v>0</v>
      </c>
      <c r="AT45" s="408" t="s">
        <v>1917</v>
      </c>
    </row>
    <row r="46" spans="1:46" ht="18.5" collapsed="1" x14ac:dyDescent="0.35">
      <c r="A46" s="436">
        <v>5</v>
      </c>
      <c r="B46" s="614" t="s">
        <v>1714</v>
      </c>
      <c r="C46" s="599"/>
      <c r="D46" s="345"/>
      <c r="E46" s="429"/>
      <c r="F46" s="478"/>
      <c r="G46" s="378" t="s">
        <v>1727</v>
      </c>
      <c r="H46" s="379" t="s">
        <v>1727</v>
      </c>
      <c r="I46" s="346"/>
      <c r="J46" s="336"/>
      <c r="K46" s="347">
        <f t="shared" ref="K46:AS46" si="62">SUM(K47:K48)</f>
        <v>84.522205999999997</v>
      </c>
      <c r="L46" s="363">
        <f t="shared" si="62"/>
        <v>2.8603730000000001</v>
      </c>
      <c r="M46" s="363">
        <f t="shared" si="62"/>
        <v>2.8603730000000001</v>
      </c>
      <c r="N46" s="363">
        <f t="shared" si="62"/>
        <v>32.656832999999999</v>
      </c>
      <c r="O46" s="363">
        <f t="shared" si="62"/>
        <v>32.656832999999999</v>
      </c>
      <c r="P46" s="363">
        <f t="shared" ref="P46:Q46" si="63">SUM(P47:P48)</f>
        <v>32.656832999999999</v>
      </c>
      <c r="Q46" s="363">
        <f t="shared" si="63"/>
        <v>49.005000000000003</v>
      </c>
      <c r="R46" s="363">
        <f t="shared" si="62"/>
        <v>49.005000000000003</v>
      </c>
      <c r="S46" s="363">
        <f t="shared" ref="S46" si="64">SUM(S47:S48)</f>
        <v>49.010249999999999</v>
      </c>
      <c r="T46" s="363">
        <f t="shared" si="62"/>
        <v>0</v>
      </c>
      <c r="U46" s="364">
        <f t="shared" si="62"/>
        <v>0</v>
      </c>
      <c r="V46" s="572">
        <f t="shared" si="62"/>
        <v>-2.8603730000000001</v>
      </c>
      <c r="W46" s="347">
        <f t="shared" si="62"/>
        <v>-2.8603730000000001</v>
      </c>
      <c r="X46" s="363">
        <f t="shared" si="62"/>
        <v>-32.656832999999999</v>
      </c>
      <c r="Y46" s="365">
        <f t="shared" si="62"/>
        <v>-13.288145999999999</v>
      </c>
      <c r="Z46" s="365">
        <f t="shared" si="62"/>
        <v>-31.464026</v>
      </c>
      <c r="AA46" s="567">
        <f t="shared" si="62"/>
        <v>-32.524462999999997</v>
      </c>
      <c r="AB46" s="350">
        <f t="shared" ref="AB46" si="65">SUM(AB47:AB48)</f>
        <v>-32.656832999999999</v>
      </c>
      <c r="AC46" s="363">
        <f t="shared" si="62"/>
        <v>-49.005000000000003</v>
      </c>
      <c r="AD46" s="365">
        <f t="shared" si="62"/>
        <v>0</v>
      </c>
      <c r="AE46" s="467">
        <f t="shared" ref="AE46" si="66">SUM(AE47:AE48)</f>
        <v>0</v>
      </c>
      <c r="AF46" s="467">
        <f>SUM(AF47:AF48)</f>
        <v>-13.317109000000002</v>
      </c>
      <c r="AG46" s="467">
        <f>SUM(AG47:AG48)</f>
        <v>-40.409565999999998</v>
      </c>
      <c r="AH46" s="467">
        <f>SUM(AH47:AH48)</f>
        <v>-49.005000000000003</v>
      </c>
      <c r="AI46" s="347">
        <f t="shared" ref="AI46" si="67">SUM(AI47:AI48)</f>
        <v>-49.010249999999999</v>
      </c>
      <c r="AJ46" s="363">
        <f t="shared" si="62"/>
        <v>0</v>
      </c>
      <c r="AK46" s="365">
        <f t="shared" ref="AK46:AL46" si="68">SUM(AK47:AK48)</f>
        <v>0</v>
      </c>
      <c r="AL46" s="365">
        <f t="shared" si="68"/>
        <v>0</v>
      </c>
      <c r="AM46" s="365">
        <f t="shared" ref="AM46:AP46" si="69">SUM(AM47:AM48)</f>
        <v>0</v>
      </c>
      <c r="AN46" s="365">
        <f t="shared" ref="AN46" si="70">SUM(AN47:AN48)</f>
        <v>0</v>
      </c>
      <c r="AO46" s="364">
        <f t="shared" si="69"/>
        <v>0</v>
      </c>
      <c r="AP46" s="364">
        <f t="shared" si="69"/>
        <v>0</v>
      </c>
      <c r="AQ46" s="364">
        <f t="shared" si="62"/>
        <v>0</v>
      </c>
      <c r="AR46" s="347">
        <f t="shared" si="62"/>
        <v>0</v>
      </c>
      <c r="AS46" s="364">
        <f t="shared" si="62"/>
        <v>0</v>
      </c>
      <c r="AT46" s="348"/>
    </row>
    <row r="47" spans="1:46" ht="116.15" hidden="1" customHeight="1" outlineLevel="1" x14ac:dyDescent="0.35">
      <c r="A47" s="589">
        <v>1</v>
      </c>
      <c r="B47" s="611" t="s">
        <v>526</v>
      </c>
      <c r="C47" s="600" t="s">
        <v>526</v>
      </c>
      <c r="D47" s="62" t="s">
        <v>191</v>
      </c>
      <c r="E47" s="432" t="s">
        <v>29</v>
      </c>
      <c r="F47" s="482" t="s">
        <v>527</v>
      </c>
      <c r="G47" s="67" t="s">
        <v>7</v>
      </c>
      <c r="H47" s="305" t="s">
        <v>126</v>
      </c>
      <c r="I47" s="333"/>
      <c r="J47" s="283"/>
      <c r="K47" s="294">
        <f>M47+P47+U47+R47+T47</f>
        <v>2.8330139999999999</v>
      </c>
      <c r="L47" s="180">
        <f t="shared" ref="L47:N48" si="71">-V47</f>
        <v>2.8330139999999999</v>
      </c>
      <c r="M47" s="80">
        <f t="shared" si="71"/>
        <v>2.8330139999999999</v>
      </c>
      <c r="N47" s="80">
        <f t="shared" si="71"/>
        <v>0</v>
      </c>
      <c r="O47" s="80">
        <f>-X47</f>
        <v>0</v>
      </c>
      <c r="P47" s="80">
        <f>-AB47</f>
        <v>0</v>
      </c>
      <c r="Q47" s="80">
        <f>-AC47</f>
        <v>0</v>
      </c>
      <c r="R47" s="80">
        <f>-AC47</f>
        <v>0</v>
      </c>
      <c r="S47" s="80">
        <f>-AI47</f>
        <v>0</v>
      </c>
      <c r="T47" s="80">
        <f>-AJ47</f>
        <v>0</v>
      </c>
      <c r="U47" s="401">
        <f>-AQ47</f>
        <v>0</v>
      </c>
      <c r="V47" s="893">
        <v>-2.8330139999999999</v>
      </c>
      <c r="W47" s="387">
        <v>-2.8330139999999999</v>
      </c>
      <c r="X47" s="207">
        <v>0</v>
      </c>
      <c r="Y47" s="367">
        <v>0</v>
      </c>
      <c r="Z47" s="367">
        <v>0</v>
      </c>
      <c r="AA47" s="468">
        <v>0</v>
      </c>
      <c r="AB47" s="207">
        <v>0</v>
      </c>
      <c r="AC47" s="207">
        <v>0</v>
      </c>
      <c r="AD47" s="367">
        <v>0</v>
      </c>
      <c r="AE47" s="468">
        <v>0</v>
      </c>
      <c r="AF47" s="468">
        <v>0</v>
      </c>
      <c r="AG47" s="468">
        <v>0</v>
      </c>
      <c r="AH47" s="468">
        <v>0</v>
      </c>
      <c r="AI47" s="387">
        <v>0</v>
      </c>
      <c r="AJ47" s="207">
        <v>0</v>
      </c>
      <c r="AK47" s="367">
        <v>0</v>
      </c>
      <c r="AL47" s="367">
        <v>0</v>
      </c>
      <c r="AM47" s="367">
        <v>0</v>
      </c>
      <c r="AN47" s="367">
        <v>0</v>
      </c>
      <c r="AO47" s="295">
        <v>0</v>
      </c>
      <c r="AP47" s="295">
        <v>0</v>
      </c>
      <c r="AQ47" s="295">
        <v>0</v>
      </c>
      <c r="AR47" s="387">
        <v>0</v>
      </c>
      <c r="AS47" s="295">
        <f>-AR47</f>
        <v>0</v>
      </c>
      <c r="AT47" s="408" t="s">
        <v>634</v>
      </c>
    </row>
    <row r="48" spans="1:46" ht="371.15" hidden="1" customHeight="1" outlineLevel="1" x14ac:dyDescent="0.35">
      <c r="A48" s="589">
        <v>2</v>
      </c>
      <c r="B48" s="611" t="s">
        <v>526</v>
      </c>
      <c r="C48" s="600" t="s">
        <v>526</v>
      </c>
      <c r="D48" s="63" t="s">
        <v>1884</v>
      </c>
      <c r="E48" s="432" t="s">
        <v>29</v>
      </c>
      <c r="F48" s="480" t="s">
        <v>569</v>
      </c>
      <c r="G48" s="67" t="s">
        <v>294</v>
      </c>
      <c r="H48" s="305" t="s">
        <v>126</v>
      </c>
      <c r="I48" s="333"/>
      <c r="J48" s="284"/>
      <c r="K48" s="294">
        <f>M48+P48+U48+R48+T48</f>
        <v>81.689191999999991</v>
      </c>
      <c r="L48" s="180">
        <f t="shared" si="71"/>
        <v>2.7359000000000001E-2</v>
      </c>
      <c r="M48" s="80">
        <f t="shared" si="71"/>
        <v>2.7359000000000001E-2</v>
      </c>
      <c r="N48" s="80">
        <f t="shared" si="71"/>
        <v>32.656832999999999</v>
      </c>
      <c r="O48" s="80">
        <f>-X48</f>
        <v>32.656832999999999</v>
      </c>
      <c r="P48" s="80">
        <f>-AB48</f>
        <v>32.656832999999999</v>
      </c>
      <c r="Q48" s="80">
        <f>-AC48</f>
        <v>49.005000000000003</v>
      </c>
      <c r="R48" s="80">
        <f>-AC48</f>
        <v>49.005000000000003</v>
      </c>
      <c r="S48" s="80">
        <f>-AI48</f>
        <v>49.010249999999999</v>
      </c>
      <c r="T48" s="80">
        <f>-AJ48</f>
        <v>0</v>
      </c>
      <c r="U48" s="401">
        <f>-AQ48</f>
        <v>0</v>
      </c>
      <c r="V48" s="573">
        <v>-2.7359000000000001E-2</v>
      </c>
      <c r="W48" s="326">
        <v>-2.7359000000000001E-2</v>
      </c>
      <c r="X48" s="207">
        <v>-32.656832999999999</v>
      </c>
      <c r="Y48" s="367">
        <v>-13.288145999999999</v>
      </c>
      <c r="Z48" s="367">
        <v>-31.464026</v>
      </c>
      <c r="AA48" s="468">
        <f>-32.524463</f>
        <v>-32.524462999999997</v>
      </c>
      <c r="AB48" s="207">
        <f>-32.656833</f>
        <v>-32.656832999999999</v>
      </c>
      <c r="AC48" s="895">
        <v>-49.005000000000003</v>
      </c>
      <c r="AD48" s="367">
        <v>0</v>
      </c>
      <c r="AE48" s="468">
        <v>0</v>
      </c>
      <c r="AF48" s="636">
        <v>-13.317109000000002</v>
      </c>
      <c r="AG48" s="468">
        <v>-40.409565999999998</v>
      </c>
      <c r="AH48" s="468">
        <v>-49.005000000000003</v>
      </c>
      <c r="AI48" s="623">
        <v>-49.010249999999999</v>
      </c>
      <c r="AJ48" s="207">
        <v>0</v>
      </c>
      <c r="AK48" s="367">
        <v>0</v>
      </c>
      <c r="AL48" s="367">
        <v>0</v>
      </c>
      <c r="AM48" s="367">
        <v>0</v>
      </c>
      <c r="AN48" s="367">
        <v>0</v>
      </c>
      <c r="AO48" s="295">
        <v>0</v>
      </c>
      <c r="AP48" s="295">
        <v>0</v>
      </c>
      <c r="AQ48" s="295">
        <v>0</v>
      </c>
      <c r="AR48" s="623">
        <v>0</v>
      </c>
      <c r="AS48" s="896">
        <f>-AR48</f>
        <v>0</v>
      </c>
      <c r="AT48" s="412" t="s">
        <v>1910</v>
      </c>
    </row>
    <row r="49" spans="1:47" ht="18.5" collapsed="1" x14ac:dyDescent="0.35">
      <c r="A49" s="436">
        <v>6</v>
      </c>
      <c r="B49" s="614" t="s">
        <v>2015</v>
      </c>
      <c r="C49" s="599"/>
      <c r="D49" s="345"/>
      <c r="E49" s="429"/>
      <c r="F49" s="478"/>
      <c r="G49" s="378" t="s">
        <v>1727</v>
      </c>
      <c r="H49" s="379" t="s">
        <v>1727</v>
      </c>
      <c r="I49" s="346"/>
      <c r="J49" s="336"/>
      <c r="K49" s="347">
        <f>K50</f>
        <v>45.097175</v>
      </c>
      <c r="L49" s="363">
        <f t="shared" ref="L49:AS49" si="72">L50</f>
        <v>0</v>
      </c>
      <c r="M49" s="363">
        <f t="shared" si="72"/>
        <v>0</v>
      </c>
      <c r="N49" s="363">
        <f>N50</f>
        <v>18.504249999999999</v>
      </c>
      <c r="O49" s="363">
        <f t="shared" si="72"/>
        <v>18.504249999999999</v>
      </c>
      <c r="P49" s="363">
        <f t="shared" si="72"/>
        <v>15.038055999999999</v>
      </c>
      <c r="Q49" s="363">
        <f t="shared" si="72"/>
        <v>30.059118999999999</v>
      </c>
      <c r="R49" s="363">
        <f t="shared" si="72"/>
        <v>30.059118999999999</v>
      </c>
      <c r="S49" s="363">
        <f t="shared" si="72"/>
        <v>23.75704</v>
      </c>
      <c r="T49" s="363">
        <f t="shared" si="72"/>
        <v>0</v>
      </c>
      <c r="U49" s="364">
        <f t="shared" si="72"/>
        <v>0</v>
      </c>
      <c r="V49" s="572">
        <f t="shared" si="72"/>
        <v>0</v>
      </c>
      <c r="W49" s="347">
        <f t="shared" si="72"/>
        <v>0</v>
      </c>
      <c r="X49" s="363">
        <f t="shared" si="72"/>
        <v>-18.504249999999999</v>
      </c>
      <c r="Y49" s="365">
        <f t="shared" si="72"/>
        <v>0</v>
      </c>
      <c r="Z49" s="365">
        <f t="shared" si="72"/>
        <v>0</v>
      </c>
      <c r="AA49" s="567">
        <f t="shared" si="72"/>
        <v>0</v>
      </c>
      <c r="AB49" s="350">
        <f>AB50</f>
        <v>-15.038055999999999</v>
      </c>
      <c r="AC49" s="363">
        <f t="shared" si="72"/>
        <v>-30.059118999999999</v>
      </c>
      <c r="AD49" s="365">
        <f t="shared" si="72"/>
        <v>0</v>
      </c>
      <c r="AE49" s="467">
        <f t="shared" si="72"/>
        <v>0</v>
      </c>
      <c r="AF49" s="467">
        <f t="shared" si="72"/>
        <v>-30.059118999999999</v>
      </c>
      <c r="AG49" s="467">
        <f t="shared" si="72"/>
        <v>-23.751359999999998</v>
      </c>
      <c r="AH49" s="467">
        <f t="shared" si="72"/>
        <v>-23.751359999999998</v>
      </c>
      <c r="AI49" s="347">
        <f>AI50</f>
        <v>-23.75704</v>
      </c>
      <c r="AJ49" s="363">
        <f t="shared" si="72"/>
        <v>0</v>
      </c>
      <c r="AK49" s="365">
        <f t="shared" si="72"/>
        <v>0</v>
      </c>
      <c r="AL49" s="365">
        <f t="shared" si="72"/>
        <v>0</v>
      </c>
      <c r="AM49" s="365">
        <f t="shared" si="72"/>
        <v>0</v>
      </c>
      <c r="AN49" s="365">
        <f t="shared" si="72"/>
        <v>0</v>
      </c>
      <c r="AO49" s="364">
        <f t="shared" si="72"/>
        <v>0</v>
      </c>
      <c r="AP49" s="364">
        <f t="shared" si="72"/>
        <v>0</v>
      </c>
      <c r="AQ49" s="364">
        <f t="shared" si="72"/>
        <v>0</v>
      </c>
      <c r="AR49" s="347">
        <f>AR50</f>
        <v>0</v>
      </c>
      <c r="AS49" s="364">
        <f t="shared" si="72"/>
        <v>0</v>
      </c>
      <c r="AT49" s="348"/>
    </row>
    <row r="50" spans="1:47" ht="101.5" hidden="1" customHeight="1" outlineLevel="1" x14ac:dyDescent="0.35">
      <c r="A50" s="589">
        <v>1</v>
      </c>
      <c r="B50" s="611" t="s">
        <v>1715</v>
      </c>
      <c r="C50" s="601" t="s">
        <v>1676</v>
      </c>
      <c r="D50" s="62">
        <v>44490</v>
      </c>
      <c r="E50" s="432" t="s">
        <v>1677</v>
      </c>
      <c r="F50" s="482" t="s">
        <v>1678</v>
      </c>
      <c r="G50" s="69" t="s">
        <v>7</v>
      </c>
      <c r="H50" s="305" t="s">
        <v>126</v>
      </c>
      <c r="I50" s="333"/>
      <c r="J50" s="283"/>
      <c r="K50" s="294">
        <f>M50+P50+U50+R50+T50</f>
        <v>45.097175</v>
      </c>
      <c r="L50" s="180">
        <f>-V50</f>
        <v>0</v>
      </c>
      <c r="M50" s="80">
        <f>-W50</f>
        <v>0</v>
      </c>
      <c r="N50" s="80">
        <f>-X50</f>
        <v>18.504249999999999</v>
      </c>
      <c r="O50" s="80">
        <f>-X50</f>
        <v>18.504249999999999</v>
      </c>
      <c r="P50" s="80">
        <f>-AB50</f>
        <v>15.038055999999999</v>
      </c>
      <c r="Q50" s="80">
        <f>-AC50</f>
        <v>30.059118999999999</v>
      </c>
      <c r="R50" s="80">
        <f>-AC50</f>
        <v>30.059118999999999</v>
      </c>
      <c r="S50" s="80">
        <f>-AI50</f>
        <v>23.75704</v>
      </c>
      <c r="T50" s="80">
        <f t="shared" ref="T50" si="73">-AJ50</f>
        <v>0</v>
      </c>
      <c r="U50" s="401">
        <f t="shared" ref="U50" si="74">-AQ50</f>
        <v>0</v>
      </c>
      <c r="V50" s="893">
        <v>0</v>
      </c>
      <c r="W50" s="387">
        <v>0</v>
      </c>
      <c r="X50" s="207">
        <f>-18.50425</f>
        <v>-18.504249999999999</v>
      </c>
      <c r="Y50" s="367">
        <v>0</v>
      </c>
      <c r="Z50" s="367">
        <v>0</v>
      </c>
      <c r="AA50" s="468">
        <v>0</v>
      </c>
      <c r="AB50" s="207">
        <f>-15.038056</f>
        <v>-15.038055999999999</v>
      </c>
      <c r="AC50" s="207">
        <f>-30.059119</f>
        <v>-30.059118999999999</v>
      </c>
      <c r="AD50" s="367">
        <v>0</v>
      </c>
      <c r="AE50" s="468">
        <v>0</v>
      </c>
      <c r="AF50" s="468">
        <v>-30.059118999999999</v>
      </c>
      <c r="AG50" s="468">
        <v>-23.751359999999998</v>
      </c>
      <c r="AH50" s="468">
        <v>-23.751359999999998</v>
      </c>
      <c r="AI50" s="623">
        <v>-23.75704</v>
      </c>
      <c r="AJ50" s="207">
        <v>0</v>
      </c>
      <c r="AK50" s="367">
        <v>0</v>
      </c>
      <c r="AL50" s="367">
        <v>0</v>
      </c>
      <c r="AM50" s="367">
        <v>0</v>
      </c>
      <c r="AN50" s="367">
        <v>0</v>
      </c>
      <c r="AO50" s="295">
        <v>0</v>
      </c>
      <c r="AP50" s="295">
        <v>0</v>
      </c>
      <c r="AQ50" s="295">
        <v>0</v>
      </c>
      <c r="AR50" s="623">
        <v>0</v>
      </c>
      <c r="AS50" s="295">
        <f>-AR50</f>
        <v>0</v>
      </c>
      <c r="AT50" s="408" t="s">
        <v>2134</v>
      </c>
    </row>
    <row r="51" spans="1:47" ht="18.5" collapsed="1" x14ac:dyDescent="0.35">
      <c r="A51" s="436">
        <v>7</v>
      </c>
      <c r="B51" s="614" t="s">
        <v>1716</v>
      </c>
      <c r="C51" s="599"/>
      <c r="D51" s="345"/>
      <c r="E51" s="429"/>
      <c r="F51" s="478"/>
      <c r="G51" s="378" t="s">
        <v>1727</v>
      </c>
      <c r="H51" s="379" t="s">
        <v>1727</v>
      </c>
      <c r="I51" s="346"/>
      <c r="J51" s="336"/>
      <c r="K51" s="347">
        <f t="shared" ref="K51:AS51" si="75">SUM(K52:K54)</f>
        <v>3.1992229999999999</v>
      </c>
      <c r="L51" s="363">
        <f t="shared" si="75"/>
        <v>10.505162</v>
      </c>
      <c r="M51" s="363">
        <f t="shared" si="75"/>
        <v>6.2191000000000003E-2</v>
      </c>
      <c r="N51" s="363">
        <f t="shared" si="75"/>
        <v>4.9504900000000003</v>
      </c>
      <c r="O51" s="363">
        <f t="shared" si="75"/>
        <v>4.9504900000000003</v>
      </c>
      <c r="P51" s="363">
        <f t="shared" ref="P51:Q51" si="76">SUM(P52:P54)</f>
        <v>2.873157</v>
      </c>
      <c r="Q51" s="363">
        <f t="shared" si="76"/>
        <v>0.26387500000000003</v>
      </c>
      <c r="R51" s="363">
        <f t="shared" si="75"/>
        <v>0.26387500000000003</v>
      </c>
      <c r="S51" s="363">
        <f t="shared" ref="S51" si="77">SUM(S52:S54)</f>
        <v>0</v>
      </c>
      <c r="T51" s="363">
        <f t="shared" si="75"/>
        <v>0</v>
      </c>
      <c r="U51" s="364">
        <f t="shared" si="75"/>
        <v>0</v>
      </c>
      <c r="V51" s="572">
        <f t="shared" si="75"/>
        <v>-10.505162</v>
      </c>
      <c r="W51" s="347">
        <f t="shared" si="75"/>
        <v>-6.2191000000000003E-2</v>
      </c>
      <c r="X51" s="363">
        <f t="shared" si="75"/>
        <v>-4.9504900000000003</v>
      </c>
      <c r="Y51" s="365">
        <f t="shared" si="75"/>
        <v>-11.278801</v>
      </c>
      <c r="Z51" s="365">
        <f t="shared" si="75"/>
        <v>-14.727411999999999</v>
      </c>
      <c r="AA51" s="567">
        <f t="shared" si="75"/>
        <v>-2.8610769999999999</v>
      </c>
      <c r="AB51" s="350">
        <f t="shared" ref="AB51" si="78">SUM(AB52:AB54)</f>
        <v>-2.873157</v>
      </c>
      <c r="AC51" s="363">
        <f t="shared" si="75"/>
        <v>-0.26387500000000003</v>
      </c>
      <c r="AD51" s="365">
        <f t="shared" si="75"/>
        <v>0</v>
      </c>
      <c r="AE51" s="467">
        <f t="shared" ref="AE51" si="79">SUM(AE52:AE54)</f>
        <v>0</v>
      </c>
      <c r="AF51" s="467">
        <f t="shared" si="75"/>
        <v>-0.26387500000000003</v>
      </c>
      <c r="AG51" s="467">
        <f t="shared" ref="AG51:AI51" si="80">SUM(AG52:AG54)</f>
        <v>0</v>
      </c>
      <c r="AH51" s="467">
        <f t="shared" si="80"/>
        <v>0</v>
      </c>
      <c r="AI51" s="347">
        <f t="shared" si="80"/>
        <v>0</v>
      </c>
      <c r="AJ51" s="363">
        <f t="shared" si="75"/>
        <v>0</v>
      </c>
      <c r="AK51" s="365">
        <f t="shared" ref="AK51:AL51" si="81">SUM(AK52:AK54)</f>
        <v>0</v>
      </c>
      <c r="AL51" s="365">
        <f t="shared" si="81"/>
        <v>0</v>
      </c>
      <c r="AM51" s="365">
        <f t="shared" ref="AM51:AP51" si="82">SUM(AM52:AM54)</f>
        <v>0</v>
      </c>
      <c r="AN51" s="365">
        <f t="shared" ref="AN51" si="83">SUM(AN52:AN54)</f>
        <v>0</v>
      </c>
      <c r="AO51" s="364">
        <f t="shared" si="82"/>
        <v>0</v>
      </c>
      <c r="AP51" s="364">
        <f t="shared" si="82"/>
        <v>0</v>
      </c>
      <c r="AQ51" s="364">
        <f t="shared" si="75"/>
        <v>0</v>
      </c>
      <c r="AR51" s="347">
        <f t="shared" si="75"/>
        <v>0</v>
      </c>
      <c r="AS51" s="364">
        <f t="shared" si="75"/>
        <v>0</v>
      </c>
      <c r="AT51" s="348"/>
    </row>
    <row r="52" spans="1:47" ht="43.5" hidden="1" customHeight="1" outlineLevel="1" x14ac:dyDescent="0.35">
      <c r="A52" s="589">
        <v>1</v>
      </c>
      <c r="B52" s="611" t="s">
        <v>1716</v>
      </c>
      <c r="C52" s="602" t="s">
        <v>540</v>
      </c>
      <c r="D52" s="1109" t="s">
        <v>1801</v>
      </c>
      <c r="E52" s="432" t="s">
        <v>625</v>
      </c>
      <c r="F52" s="1108" t="s">
        <v>511</v>
      </c>
      <c r="G52" s="67" t="s">
        <v>294</v>
      </c>
      <c r="H52" s="312" t="s">
        <v>126</v>
      </c>
      <c r="I52" s="1119"/>
      <c r="J52" s="284"/>
      <c r="K52" s="1135">
        <f>M52+P52+U52+R52+T52</f>
        <v>2.9353479999999998</v>
      </c>
      <c r="L52" s="1085">
        <f t="shared" ref="L52:N52" si="84">-V52</f>
        <v>10.505162</v>
      </c>
      <c r="M52" s="1088">
        <f t="shared" si="84"/>
        <v>6.2191000000000003E-2</v>
      </c>
      <c r="N52" s="1088">
        <f t="shared" si="84"/>
        <v>4.9504900000000003</v>
      </c>
      <c r="O52" s="1088">
        <f>-X52</f>
        <v>4.9504900000000003</v>
      </c>
      <c r="P52" s="1088">
        <f>-AB52</f>
        <v>2.873157</v>
      </c>
      <c r="Q52" s="1088">
        <f>-AC52</f>
        <v>0</v>
      </c>
      <c r="R52" s="1088">
        <f>-AC52</f>
        <v>0</v>
      </c>
      <c r="S52" s="1088">
        <f>-AI52</f>
        <v>0</v>
      </c>
      <c r="T52" s="1088">
        <f t="shared" ref="T52" si="85">-AJ52</f>
        <v>0</v>
      </c>
      <c r="U52" s="1128">
        <f>-AQ52</f>
        <v>0</v>
      </c>
      <c r="V52" s="1196">
        <v>-10.505162</v>
      </c>
      <c r="W52" s="1142">
        <v>-6.2191000000000003E-2</v>
      </c>
      <c r="X52" s="1204">
        <f>-14.727412+1.359198+8.417724</f>
        <v>-4.9504900000000003</v>
      </c>
      <c r="Y52" s="1146">
        <v>-11.278801</v>
      </c>
      <c r="Z52" s="1146">
        <v>-14.727411999999999</v>
      </c>
      <c r="AA52" s="1095">
        <f>-2.861077</f>
        <v>-2.8610769999999999</v>
      </c>
      <c r="AB52" s="1094">
        <f>-2.873157</f>
        <v>-2.873157</v>
      </c>
      <c r="AC52" s="1092">
        <v>0</v>
      </c>
      <c r="AD52" s="1146">
        <v>0</v>
      </c>
      <c r="AE52" s="1082">
        <v>0</v>
      </c>
      <c r="AF52" s="1082">
        <v>0</v>
      </c>
      <c r="AG52" s="1082">
        <v>0</v>
      </c>
      <c r="AH52" s="1082">
        <v>0</v>
      </c>
      <c r="AI52" s="1077">
        <v>0</v>
      </c>
      <c r="AJ52" s="1092">
        <v>0</v>
      </c>
      <c r="AK52" s="1146">
        <v>0</v>
      </c>
      <c r="AL52" s="1146">
        <v>0</v>
      </c>
      <c r="AM52" s="1146">
        <v>0</v>
      </c>
      <c r="AN52" s="1146">
        <v>0</v>
      </c>
      <c r="AO52" s="1168">
        <v>0</v>
      </c>
      <c r="AP52" s="1168">
        <v>0</v>
      </c>
      <c r="AQ52" s="1168">
        <v>0</v>
      </c>
      <c r="AR52" s="1077">
        <v>0</v>
      </c>
      <c r="AS52" s="1170">
        <f>-AR52</f>
        <v>0</v>
      </c>
      <c r="AT52" s="1173" t="s">
        <v>1800</v>
      </c>
    </row>
    <row r="53" spans="1:47" ht="135" hidden="1" customHeight="1" outlineLevel="1" x14ac:dyDescent="0.35">
      <c r="A53" s="589">
        <v>2</v>
      </c>
      <c r="B53" s="611" t="s">
        <v>1716</v>
      </c>
      <c r="C53" s="602" t="s">
        <v>540</v>
      </c>
      <c r="D53" s="1109"/>
      <c r="E53" s="432" t="s">
        <v>1430</v>
      </c>
      <c r="F53" s="1108"/>
      <c r="G53" s="67" t="s">
        <v>294</v>
      </c>
      <c r="H53" s="312" t="s">
        <v>126</v>
      </c>
      <c r="I53" s="1119"/>
      <c r="J53" s="284"/>
      <c r="K53" s="1136"/>
      <c r="L53" s="1087"/>
      <c r="M53" s="1089"/>
      <c r="N53" s="1089"/>
      <c r="O53" s="1089"/>
      <c r="P53" s="1089"/>
      <c r="Q53" s="1089"/>
      <c r="R53" s="1089"/>
      <c r="S53" s="1089"/>
      <c r="T53" s="1089"/>
      <c r="U53" s="1129"/>
      <c r="V53" s="1198"/>
      <c r="W53" s="1143"/>
      <c r="X53" s="1205"/>
      <c r="Y53" s="1147"/>
      <c r="Z53" s="1147"/>
      <c r="AA53" s="1095"/>
      <c r="AB53" s="1094"/>
      <c r="AC53" s="1093"/>
      <c r="AD53" s="1147"/>
      <c r="AE53" s="1090"/>
      <c r="AF53" s="1090"/>
      <c r="AG53" s="1090"/>
      <c r="AH53" s="1090"/>
      <c r="AI53" s="1079"/>
      <c r="AJ53" s="1093"/>
      <c r="AK53" s="1147"/>
      <c r="AL53" s="1147"/>
      <c r="AM53" s="1147"/>
      <c r="AN53" s="1147"/>
      <c r="AO53" s="1169"/>
      <c r="AP53" s="1169"/>
      <c r="AQ53" s="1169"/>
      <c r="AR53" s="1079"/>
      <c r="AS53" s="1171"/>
      <c r="AT53" s="1174"/>
      <c r="AU53" s="22"/>
    </row>
    <row r="54" spans="1:47" ht="72.650000000000006" hidden="1" customHeight="1" outlineLevel="1" x14ac:dyDescent="0.35">
      <c r="A54" s="589">
        <v>3</v>
      </c>
      <c r="B54" s="611" t="s">
        <v>1716</v>
      </c>
      <c r="C54" s="602" t="s">
        <v>540</v>
      </c>
      <c r="D54" s="563">
        <v>44537</v>
      </c>
      <c r="E54" s="432"/>
      <c r="F54" s="497"/>
      <c r="G54" s="67" t="s">
        <v>294</v>
      </c>
      <c r="H54" s="312" t="s">
        <v>1908</v>
      </c>
      <c r="I54" s="334"/>
      <c r="J54" s="283"/>
      <c r="K54" s="294">
        <f>M54+P54+U54+R54+T54</f>
        <v>0.26387500000000003</v>
      </c>
      <c r="L54" s="180">
        <f t="shared" ref="L54" si="86">-V54</f>
        <v>0</v>
      </c>
      <c r="M54" s="80">
        <f t="shared" ref="M54" si="87">-W54</f>
        <v>0</v>
      </c>
      <c r="N54" s="80">
        <f t="shared" ref="N54" si="88">-X54</f>
        <v>0</v>
      </c>
      <c r="O54" s="80">
        <f>-X54</f>
        <v>0</v>
      </c>
      <c r="P54" s="80">
        <f>-AB54</f>
        <v>0</v>
      </c>
      <c r="Q54" s="80">
        <f>-AC54</f>
        <v>0.26387500000000003</v>
      </c>
      <c r="R54" s="80">
        <f>-AC54</f>
        <v>0.26387500000000003</v>
      </c>
      <c r="S54" s="80">
        <f>-AI54</f>
        <v>0</v>
      </c>
      <c r="T54" s="80">
        <f>-AJ54</f>
        <v>0</v>
      </c>
      <c r="U54" s="401">
        <f>-AQ54</f>
        <v>0</v>
      </c>
      <c r="V54" s="893">
        <v>0</v>
      </c>
      <c r="W54" s="387">
        <v>0</v>
      </c>
      <c r="X54" s="207">
        <v>0</v>
      </c>
      <c r="Y54" s="367">
        <v>0</v>
      </c>
      <c r="Z54" s="367">
        <v>0</v>
      </c>
      <c r="AA54" s="468">
        <v>0</v>
      </c>
      <c r="AB54" s="207">
        <v>0</v>
      </c>
      <c r="AC54" s="207">
        <v>-0.26387500000000003</v>
      </c>
      <c r="AD54" s="367">
        <v>0</v>
      </c>
      <c r="AE54" s="468">
        <v>0</v>
      </c>
      <c r="AF54" s="468">
        <v>-0.26387500000000003</v>
      </c>
      <c r="AG54" s="468">
        <v>0</v>
      </c>
      <c r="AH54" s="468">
        <v>0</v>
      </c>
      <c r="AI54" s="387">
        <v>0</v>
      </c>
      <c r="AJ54" s="207">
        <v>0</v>
      </c>
      <c r="AK54" s="367">
        <v>0</v>
      </c>
      <c r="AL54" s="367">
        <v>0</v>
      </c>
      <c r="AM54" s="367">
        <v>0</v>
      </c>
      <c r="AN54" s="367">
        <v>0</v>
      </c>
      <c r="AO54" s="295">
        <v>0</v>
      </c>
      <c r="AP54" s="295">
        <v>0</v>
      </c>
      <c r="AQ54" s="295">
        <v>0</v>
      </c>
      <c r="AR54" s="387">
        <v>0</v>
      </c>
      <c r="AS54" s="295">
        <f>-AR54</f>
        <v>0</v>
      </c>
      <c r="AT54" s="562" t="s">
        <v>1909</v>
      </c>
      <c r="AU54" s="22"/>
    </row>
    <row r="55" spans="1:47" ht="18.5" collapsed="1" x14ac:dyDescent="0.35">
      <c r="A55" s="436">
        <v>8</v>
      </c>
      <c r="B55" s="614" t="s">
        <v>152</v>
      </c>
      <c r="C55" s="599"/>
      <c r="D55" s="345"/>
      <c r="E55" s="429"/>
      <c r="F55" s="478"/>
      <c r="G55" s="378" t="s">
        <v>1727</v>
      </c>
      <c r="H55" s="379" t="s">
        <v>1727</v>
      </c>
      <c r="I55" s="346"/>
      <c r="J55" s="336"/>
      <c r="K55" s="347">
        <f t="shared" ref="K55" si="89">K56</f>
        <v>15.977456</v>
      </c>
      <c r="L55" s="363">
        <f t="shared" ref="L55" si="90">L56</f>
        <v>5.0834729999999997</v>
      </c>
      <c r="M55" s="363">
        <f t="shared" ref="M55" si="91">M56</f>
        <v>5.1554669999999998</v>
      </c>
      <c r="N55" s="363">
        <f t="shared" ref="N55" si="92">N56</f>
        <v>13.144815000000001</v>
      </c>
      <c r="O55" s="363">
        <f t="shared" ref="O55:P55" si="93">O56</f>
        <v>13.144815000000001</v>
      </c>
      <c r="P55" s="363">
        <f t="shared" si="93"/>
        <v>10.821989</v>
      </c>
      <c r="Q55" s="363">
        <f t="shared" ref="Q55:S55" si="94">Q56</f>
        <v>0</v>
      </c>
      <c r="R55" s="363">
        <f t="shared" si="94"/>
        <v>0</v>
      </c>
      <c r="S55" s="363">
        <f t="shared" si="94"/>
        <v>0</v>
      </c>
      <c r="T55" s="363">
        <f t="shared" ref="T55" si="95">T56</f>
        <v>0</v>
      </c>
      <c r="U55" s="364">
        <f t="shared" ref="U55" si="96">U56</f>
        <v>0</v>
      </c>
      <c r="V55" s="572">
        <f t="shared" ref="V55" si="97">V56</f>
        <v>-5.0834729999999997</v>
      </c>
      <c r="W55" s="347">
        <f t="shared" ref="W55" si="98">W56</f>
        <v>-5.1554669999999998</v>
      </c>
      <c r="X55" s="363">
        <f t="shared" ref="X55" si="99">X56</f>
        <v>-13.144815000000001</v>
      </c>
      <c r="Y55" s="365">
        <f t="shared" ref="Y55" si="100">Y56</f>
        <v>-10.702439999999999</v>
      </c>
      <c r="Z55" s="365">
        <f t="shared" ref="Z55" si="101">Z56</f>
        <v>-14.830016000000001</v>
      </c>
      <c r="AA55" s="567">
        <f t="shared" ref="AA55:AB55" si="102">AA56</f>
        <v>-10.820797000000001</v>
      </c>
      <c r="AB55" s="350">
        <f t="shared" si="102"/>
        <v>-10.821989</v>
      </c>
      <c r="AC55" s="363">
        <f t="shared" ref="AC55" si="103">AC56</f>
        <v>0</v>
      </c>
      <c r="AD55" s="365">
        <f t="shared" ref="AD55" si="104">AD56</f>
        <v>0</v>
      </c>
      <c r="AE55" s="467">
        <f t="shared" ref="AE55:AI55" si="105">AE56</f>
        <v>0</v>
      </c>
      <c r="AF55" s="467">
        <f t="shared" si="105"/>
        <v>0</v>
      </c>
      <c r="AG55" s="467">
        <f t="shared" si="105"/>
        <v>0</v>
      </c>
      <c r="AH55" s="467">
        <f t="shared" si="105"/>
        <v>0</v>
      </c>
      <c r="AI55" s="347">
        <f t="shared" si="105"/>
        <v>0</v>
      </c>
      <c r="AJ55" s="363">
        <f t="shared" ref="AJ55:AN55" si="106">AJ56</f>
        <v>0</v>
      </c>
      <c r="AK55" s="365">
        <f t="shared" si="106"/>
        <v>0</v>
      </c>
      <c r="AL55" s="365">
        <f t="shared" si="106"/>
        <v>0</v>
      </c>
      <c r="AM55" s="365">
        <f t="shared" si="106"/>
        <v>0</v>
      </c>
      <c r="AN55" s="365">
        <f t="shared" si="106"/>
        <v>0</v>
      </c>
      <c r="AO55" s="364">
        <f t="shared" ref="AO55:AQ55" si="107">AO56</f>
        <v>0</v>
      </c>
      <c r="AP55" s="364">
        <f t="shared" si="107"/>
        <v>0</v>
      </c>
      <c r="AQ55" s="364">
        <f t="shared" si="107"/>
        <v>0</v>
      </c>
      <c r="AR55" s="347">
        <f t="shared" ref="AR55" si="108">AR56</f>
        <v>0</v>
      </c>
      <c r="AS55" s="364">
        <f t="shared" ref="AS55" si="109">AS56</f>
        <v>0</v>
      </c>
      <c r="AT55" s="348"/>
    </row>
    <row r="56" spans="1:47" ht="70" hidden="1" customHeight="1" outlineLevel="1" x14ac:dyDescent="0.35">
      <c r="A56" s="589">
        <v>1</v>
      </c>
      <c r="B56" s="611" t="s">
        <v>152</v>
      </c>
      <c r="C56" s="603" t="s">
        <v>152</v>
      </c>
      <c r="D56" s="1261" t="s">
        <v>1798</v>
      </c>
      <c r="E56" s="432" t="s">
        <v>162</v>
      </c>
      <c r="F56" s="1260" t="s">
        <v>161</v>
      </c>
      <c r="G56" s="69" t="s">
        <v>7</v>
      </c>
      <c r="H56" s="312" t="s">
        <v>127</v>
      </c>
      <c r="I56" s="1120"/>
      <c r="J56" s="283"/>
      <c r="K56" s="1135">
        <f>M56+P56+U56+R56+T56</f>
        <v>15.977456</v>
      </c>
      <c r="L56" s="1085">
        <f>-V56</f>
        <v>5.0834729999999997</v>
      </c>
      <c r="M56" s="1088">
        <f>-W56</f>
        <v>5.1554669999999998</v>
      </c>
      <c r="N56" s="1088">
        <f>-X56</f>
        <v>13.144815000000001</v>
      </c>
      <c r="O56" s="1088">
        <f>-X56</f>
        <v>13.144815000000001</v>
      </c>
      <c r="P56" s="1088">
        <f>-AB56</f>
        <v>10.821989</v>
      </c>
      <c r="Q56" s="1088">
        <f>-AC56</f>
        <v>0</v>
      </c>
      <c r="R56" s="1088">
        <f>-AC56</f>
        <v>0</v>
      </c>
      <c r="S56" s="1088">
        <f>-AI56</f>
        <v>0</v>
      </c>
      <c r="T56" s="1088">
        <f>-AJ56</f>
        <v>0</v>
      </c>
      <c r="U56" s="1128">
        <f>-AQ56</f>
        <v>0</v>
      </c>
      <c r="V56" s="1098">
        <v>-5.0834729999999997</v>
      </c>
      <c r="W56" s="1077">
        <f>-5.083473-0.071994</f>
        <v>-5.1554669999999998</v>
      </c>
      <c r="X56" s="1092">
        <f>-10.70244-4.127576+1.685201</f>
        <v>-13.144815000000001</v>
      </c>
      <c r="Y56" s="1146">
        <v>-10.702439999999999</v>
      </c>
      <c r="Z56" s="1146">
        <v>-14.830016000000001</v>
      </c>
      <c r="AA56" s="1095">
        <v>-10.820797000000001</v>
      </c>
      <c r="AB56" s="1094">
        <f>-10.821989</f>
        <v>-10.821989</v>
      </c>
      <c r="AC56" s="1092">
        <v>0</v>
      </c>
      <c r="AD56" s="1146">
        <v>0</v>
      </c>
      <c r="AE56" s="1082">
        <v>0</v>
      </c>
      <c r="AF56" s="1082">
        <v>0</v>
      </c>
      <c r="AG56" s="1082">
        <v>0</v>
      </c>
      <c r="AH56" s="1082">
        <v>0</v>
      </c>
      <c r="AI56" s="1077">
        <v>0</v>
      </c>
      <c r="AJ56" s="1092">
        <v>0</v>
      </c>
      <c r="AK56" s="1146">
        <v>0</v>
      </c>
      <c r="AL56" s="1146">
        <v>0</v>
      </c>
      <c r="AM56" s="1146">
        <v>0</v>
      </c>
      <c r="AN56" s="1146">
        <v>0</v>
      </c>
      <c r="AO56" s="1168">
        <v>0</v>
      </c>
      <c r="AP56" s="1168">
        <v>0</v>
      </c>
      <c r="AQ56" s="1168">
        <v>0</v>
      </c>
      <c r="AR56" s="1077">
        <v>0</v>
      </c>
      <c r="AS56" s="1168">
        <f>-AR56</f>
        <v>0</v>
      </c>
      <c r="AT56" s="1173" t="s">
        <v>1799</v>
      </c>
    </row>
    <row r="57" spans="1:47" ht="104.5" hidden="1" customHeight="1" outlineLevel="1" x14ac:dyDescent="0.35">
      <c r="A57" s="589">
        <v>2</v>
      </c>
      <c r="B57" s="611" t="s">
        <v>152</v>
      </c>
      <c r="C57" s="603" t="s">
        <v>152</v>
      </c>
      <c r="D57" s="1261"/>
      <c r="E57" s="432" t="s">
        <v>574</v>
      </c>
      <c r="F57" s="1260"/>
      <c r="G57" s="69" t="s">
        <v>7</v>
      </c>
      <c r="H57" s="312" t="s">
        <v>127</v>
      </c>
      <c r="I57" s="1120"/>
      <c r="J57" s="283"/>
      <c r="K57" s="1136"/>
      <c r="L57" s="1087"/>
      <c r="M57" s="1089"/>
      <c r="N57" s="1089"/>
      <c r="O57" s="1089"/>
      <c r="P57" s="1089"/>
      <c r="Q57" s="1089"/>
      <c r="R57" s="1089"/>
      <c r="S57" s="1089"/>
      <c r="T57" s="1089"/>
      <c r="U57" s="1129"/>
      <c r="V57" s="1099"/>
      <c r="W57" s="1079"/>
      <c r="X57" s="1093"/>
      <c r="Y57" s="1147"/>
      <c r="Z57" s="1147"/>
      <c r="AA57" s="1095"/>
      <c r="AB57" s="1094"/>
      <c r="AC57" s="1093"/>
      <c r="AD57" s="1147"/>
      <c r="AE57" s="1090"/>
      <c r="AF57" s="1090"/>
      <c r="AG57" s="1090"/>
      <c r="AH57" s="1090"/>
      <c r="AI57" s="1079"/>
      <c r="AJ57" s="1093"/>
      <c r="AK57" s="1147"/>
      <c r="AL57" s="1147"/>
      <c r="AM57" s="1147"/>
      <c r="AN57" s="1147"/>
      <c r="AO57" s="1169"/>
      <c r="AP57" s="1169"/>
      <c r="AQ57" s="1169"/>
      <c r="AR57" s="1079"/>
      <c r="AS57" s="1169"/>
      <c r="AT57" s="1174"/>
    </row>
    <row r="58" spans="1:47" ht="18.5" collapsed="1" x14ac:dyDescent="0.35">
      <c r="A58" s="436">
        <v>9</v>
      </c>
      <c r="B58" s="614" t="s">
        <v>1717</v>
      </c>
      <c r="C58" s="599"/>
      <c r="D58" s="345"/>
      <c r="E58" s="429"/>
      <c r="F58" s="478"/>
      <c r="G58" s="378" t="s">
        <v>1727</v>
      </c>
      <c r="H58" s="379" t="s">
        <v>1727</v>
      </c>
      <c r="I58" s="346"/>
      <c r="J58" s="336"/>
      <c r="K58" s="347">
        <f t="shared" ref="K58:AS58" si="110">SUM(K59:K75)</f>
        <v>25.866021000000003</v>
      </c>
      <c r="L58" s="363">
        <f t="shared" si="110"/>
        <v>13.855783000000001</v>
      </c>
      <c r="M58" s="363">
        <f t="shared" si="110"/>
        <v>13.681854000000001</v>
      </c>
      <c r="N58" s="363">
        <f t="shared" si="110"/>
        <v>5.8419129999999999</v>
      </c>
      <c r="O58" s="363">
        <f t="shared" si="110"/>
        <v>5.8419129999999999</v>
      </c>
      <c r="P58" s="363">
        <f t="shared" si="110"/>
        <v>5.5427249999999999</v>
      </c>
      <c r="Q58" s="363">
        <f t="shared" ref="Q58" si="111">SUM(Q59:Q75)</f>
        <v>6.6414420000000005</v>
      </c>
      <c r="R58" s="363">
        <f t="shared" si="110"/>
        <v>6.6414420000000005</v>
      </c>
      <c r="S58" s="363">
        <f t="shared" ref="S58" si="112">SUM(S59:S75)</f>
        <v>6.4297319999999996</v>
      </c>
      <c r="T58" s="363">
        <f t="shared" si="110"/>
        <v>0</v>
      </c>
      <c r="U58" s="364">
        <f t="shared" si="110"/>
        <v>0</v>
      </c>
      <c r="V58" s="572">
        <f t="shared" si="110"/>
        <v>-13.855783000000001</v>
      </c>
      <c r="W58" s="347">
        <f t="shared" si="110"/>
        <v>-13.681854000000001</v>
      </c>
      <c r="X58" s="363">
        <f t="shared" si="110"/>
        <v>-5.8419129999999999</v>
      </c>
      <c r="Y58" s="365">
        <f t="shared" si="110"/>
        <v>-3.5156600000000005</v>
      </c>
      <c r="Z58" s="365">
        <f t="shared" si="110"/>
        <v>-5.833901</v>
      </c>
      <c r="AA58" s="567">
        <f t="shared" si="110"/>
        <v>-5.5278530000000003</v>
      </c>
      <c r="AB58" s="350">
        <f t="shared" si="110"/>
        <v>-5.5427249999999999</v>
      </c>
      <c r="AC58" s="363">
        <f t="shared" si="110"/>
        <v>-6.6414420000000005</v>
      </c>
      <c r="AD58" s="365">
        <f t="shared" si="110"/>
        <v>0</v>
      </c>
      <c r="AE58" s="467">
        <f t="shared" ref="AE58" si="113">SUM(AE59:AE75)</f>
        <v>-2.2969E-2</v>
      </c>
      <c r="AF58" s="467">
        <f t="shared" si="110"/>
        <v>-16.806898</v>
      </c>
      <c r="AG58" s="467">
        <f t="shared" ref="AG58:AI58" si="114">SUM(AG59:AG75)</f>
        <v>-6.6184380000000003</v>
      </c>
      <c r="AH58" s="467">
        <f t="shared" si="114"/>
        <v>-6.6184380000000003</v>
      </c>
      <c r="AI58" s="347">
        <f t="shared" si="114"/>
        <v>-6.4297319999999996</v>
      </c>
      <c r="AJ58" s="363">
        <f t="shared" si="110"/>
        <v>0</v>
      </c>
      <c r="AK58" s="365">
        <f t="shared" ref="AK58:AL58" si="115">SUM(AK59:AK75)</f>
        <v>0</v>
      </c>
      <c r="AL58" s="365">
        <f t="shared" si="115"/>
        <v>0</v>
      </c>
      <c r="AM58" s="365">
        <f t="shared" ref="AM58:AP58" si="116">SUM(AM59:AM75)</f>
        <v>0</v>
      </c>
      <c r="AN58" s="365">
        <f t="shared" ref="AN58" si="117">SUM(AN59:AN75)</f>
        <v>0</v>
      </c>
      <c r="AO58" s="364">
        <f t="shared" si="116"/>
        <v>0</v>
      </c>
      <c r="AP58" s="364">
        <f t="shared" si="116"/>
        <v>0</v>
      </c>
      <c r="AQ58" s="364">
        <f t="shared" si="110"/>
        <v>0</v>
      </c>
      <c r="AR58" s="347">
        <f t="shared" si="110"/>
        <v>0</v>
      </c>
      <c r="AS58" s="364">
        <f t="shared" si="110"/>
        <v>0</v>
      </c>
      <c r="AT58" s="348"/>
    </row>
    <row r="59" spans="1:47" ht="58" hidden="1" customHeight="1" outlineLevel="1" x14ac:dyDescent="0.35">
      <c r="A59" s="589">
        <v>1</v>
      </c>
      <c r="B59" s="611" t="s">
        <v>313</v>
      </c>
      <c r="C59" s="600" t="s">
        <v>313</v>
      </c>
      <c r="D59" s="1194" t="s">
        <v>1991</v>
      </c>
      <c r="E59" s="432" t="s">
        <v>355</v>
      </c>
      <c r="F59" s="1191" t="s">
        <v>1641</v>
      </c>
      <c r="G59" s="69" t="s">
        <v>7</v>
      </c>
      <c r="H59" s="312" t="s">
        <v>126</v>
      </c>
      <c r="I59" s="1120"/>
      <c r="J59" s="283"/>
      <c r="K59" s="1135">
        <f>M59+P59+U59+R59+T59</f>
        <v>0.53040699999999996</v>
      </c>
      <c r="L59" s="1085">
        <f>-V59</f>
        <v>0.59295699999999996</v>
      </c>
      <c r="M59" s="1088">
        <f>-W59</f>
        <v>0.34489500000000001</v>
      </c>
      <c r="N59" s="1088">
        <f>-X59</f>
        <v>0.375</v>
      </c>
      <c r="O59" s="1088">
        <f>-X59</f>
        <v>0.375</v>
      </c>
      <c r="P59" s="1088">
        <f>-AB59</f>
        <v>0.15493899999999999</v>
      </c>
      <c r="Q59" s="1088">
        <f>-AC59</f>
        <v>3.0572999999999999E-2</v>
      </c>
      <c r="R59" s="1088">
        <f>-AC59</f>
        <v>3.0572999999999999E-2</v>
      </c>
      <c r="S59" s="1088">
        <f>-AI59</f>
        <v>7.6379999999999998E-3</v>
      </c>
      <c r="T59" s="1088">
        <f>-AJ59</f>
        <v>0</v>
      </c>
      <c r="U59" s="1128">
        <f>-AQ59</f>
        <v>0</v>
      </c>
      <c r="V59" s="1098">
        <v>-0.59295699999999996</v>
      </c>
      <c r="W59" s="1077">
        <f>-0.342956-0.001939</f>
        <v>-0.34489500000000001</v>
      </c>
      <c r="X59" s="1092">
        <f>-0.375</f>
        <v>-0.375</v>
      </c>
      <c r="Y59" s="1100">
        <f>-0.375-0.84208</f>
        <v>-1.2170800000000002</v>
      </c>
      <c r="Z59" s="1100">
        <v>-0.375</v>
      </c>
      <c r="AA59" s="1091">
        <v>-0.1462</v>
      </c>
      <c r="AB59" s="1094">
        <f>-0.154939</f>
        <v>-0.15493899999999999</v>
      </c>
      <c r="AC59" s="1092">
        <f>-0.022969-0.007604</f>
        <v>-3.0572999999999999E-2</v>
      </c>
      <c r="AD59" s="1100">
        <v>0</v>
      </c>
      <c r="AE59" s="1100">
        <v>-2.2969E-2</v>
      </c>
      <c r="AF59" s="1100">
        <v>-2.2969E-2</v>
      </c>
      <c r="AG59" s="1100">
        <v>-7.6379999999999998E-3</v>
      </c>
      <c r="AH59" s="1100">
        <v>-7.6379999999999998E-3</v>
      </c>
      <c r="AI59" s="1080">
        <f>-0.007638</f>
        <v>-7.6379999999999998E-3</v>
      </c>
      <c r="AJ59" s="1092">
        <v>0</v>
      </c>
      <c r="AK59" s="1146">
        <v>0</v>
      </c>
      <c r="AL59" s="1146">
        <v>0</v>
      </c>
      <c r="AM59" s="1146">
        <v>0</v>
      </c>
      <c r="AN59" s="1146">
        <v>0</v>
      </c>
      <c r="AO59" s="1168">
        <v>0</v>
      </c>
      <c r="AP59" s="1168">
        <v>0</v>
      </c>
      <c r="AQ59" s="1168">
        <v>0</v>
      </c>
      <c r="AR59" s="1080">
        <v>0</v>
      </c>
      <c r="AS59" s="1168">
        <f>-AR59</f>
        <v>0</v>
      </c>
      <c r="AT59" s="408" t="s">
        <v>567</v>
      </c>
    </row>
    <row r="60" spans="1:47" ht="205" hidden="1" customHeight="1" outlineLevel="1" x14ac:dyDescent="0.35">
      <c r="A60" s="589">
        <v>2</v>
      </c>
      <c r="B60" s="611" t="s">
        <v>313</v>
      </c>
      <c r="C60" s="600" t="s">
        <v>313</v>
      </c>
      <c r="D60" s="1195"/>
      <c r="E60" s="432" t="s">
        <v>568</v>
      </c>
      <c r="F60" s="1193"/>
      <c r="G60" s="69" t="s">
        <v>7</v>
      </c>
      <c r="H60" s="312" t="s">
        <v>126</v>
      </c>
      <c r="I60" s="1120"/>
      <c r="J60" s="283"/>
      <c r="K60" s="1136"/>
      <c r="L60" s="1087"/>
      <c r="M60" s="1089"/>
      <c r="N60" s="1089"/>
      <c r="O60" s="1089"/>
      <c r="P60" s="1089"/>
      <c r="Q60" s="1089"/>
      <c r="R60" s="1089"/>
      <c r="S60" s="1089"/>
      <c r="T60" s="1089"/>
      <c r="U60" s="1129"/>
      <c r="V60" s="1099"/>
      <c r="W60" s="1079"/>
      <c r="X60" s="1093"/>
      <c r="Y60" s="1101"/>
      <c r="Z60" s="1101"/>
      <c r="AA60" s="1091"/>
      <c r="AB60" s="1094"/>
      <c r="AC60" s="1093"/>
      <c r="AD60" s="1101"/>
      <c r="AE60" s="1101"/>
      <c r="AF60" s="1101"/>
      <c r="AG60" s="1101"/>
      <c r="AH60" s="1101"/>
      <c r="AI60" s="1081"/>
      <c r="AJ60" s="1093"/>
      <c r="AK60" s="1147"/>
      <c r="AL60" s="1147"/>
      <c r="AM60" s="1147"/>
      <c r="AN60" s="1147"/>
      <c r="AO60" s="1169"/>
      <c r="AP60" s="1169"/>
      <c r="AQ60" s="1169"/>
      <c r="AR60" s="1081"/>
      <c r="AS60" s="1169"/>
      <c r="AT60" s="408" t="s">
        <v>1992</v>
      </c>
    </row>
    <row r="61" spans="1:47" ht="72.650000000000006" hidden="1" customHeight="1" outlineLevel="1" x14ac:dyDescent="0.35">
      <c r="A61" s="589">
        <v>3</v>
      </c>
      <c r="B61" s="611" t="s">
        <v>359</v>
      </c>
      <c r="C61" s="601" t="s">
        <v>359</v>
      </c>
      <c r="D61" s="64">
        <v>43951</v>
      </c>
      <c r="E61" s="432" t="s">
        <v>164</v>
      </c>
      <c r="F61" s="482" t="s">
        <v>163</v>
      </c>
      <c r="G61" s="73" t="s">
        <v>272</v>
      </c>
      <c r="H61" s="305" t="s">
        <v>127</v>
      </c>
      <c r="I61" s="333"/>
      <c r="J61" s="283"/>
      <c r="K61" s="294">
        <f>M61+P61+U61+R61+T61</f>
        <v>1.668714</v>
      </c>
      <c r="L61" s="180">
        <f t="shared" ref="L61:N71" si="118">-V61</f>
        <v>1.6692899999999999</v>
      </c>
      <c r="M61" s="80">
        <f t="shared" si="118"/>
        <v>1.6688959999999999</v>
      </c>
      <c r="N61" s="80">
        <f t="shared" si="118"/>
        <v>0</v>
      </c>
      <c r="O61" s="80">
        <f>-X61</f>
        <v>0</v>
      </c>
      <c r="P61" s="80">
        <f t="shared" ref="P61:Q63" si="119">-AB61</f>
        <v>-1.8200000000000001E-4</v>
      </c>
      <c r="Q61" s="80">
        <f t="shared" si="119"/>
        <v>0</v>
      </c>
      <c r="R61" s="80">
        <f t="shared" ref="R61:R63" si="120">-AC61</f>
        <v>0</v>
      </c>
      <c r="S61" s="80">
        <f>-AI61</f>
        <v>0</v>
      </c>
      <c r="T61" s="80">
        <f t="shared" ref="T61:T63" si="121">-AJ61</f>
        <v>0</v>
      </c>
      <c r="U61" s="401">
        <f>-AQ61</f>
        <v>0</v>
      </c>
      <c r="V61" s="893">
        <v>-1.6692899999999999</v>
      </c>
      <c r="W61" s="387">
        <v>-1.6688959999999999</v>
      </c>
      <c r="X61" s="207">
        <v>0</v>
      </c>
      <c r="Y61" s="132">
        <v>0</v>
      </c>
      <c r="Z61" s="132">
        <v>0</v>
      </c>
      <c r="AA61" s="132">
        <v>0</v>
      </c>
      <c r="AB61" s="207">
        <f>0.000182</f>
        <v>1.8200000000000001E-4</v>
      </c>
      <c r="AC61" s="207">
        <v>0</v>
      </c>
      <c r="AD61" s="132">
        <v>0</v>
      </c>
      <c r="AE61" s="132">
        <v>0</v>
      </c>
      <c r="AF61" s="132">
        <v>0</v>
      </c>
      <c r="AG61" s="132">
        <v>0</v>
      </c>
      <c r="AH61" s="132">
        <v>0</v>
      </c>
      <c r="AI61" s="387">
        <v>0</v>
      </c>
      <c r="AJ61" s="207">
        <v>0</v>
      </c>
      <c r="AK61" s="367">
        <v>0</v>
      </c>
      <c r="AL61" s="367">
        <v>0</v>
      </c>
      <c r="AM61" s="367">
        <v>0</v>
      </c>
      <c r="AN61" s="367">
        <v>0</v>
      </c>
      <c r="AO61" s="295">
        <v>0</v>
      </c>
      <c r="AP61" s="295">
        <v>0</v>
      </c>
      <c r="AQ61" s="295">
        <v>0</v>
      </c>
      <c r="AR61" s="387">
        <v>0</v>
      </c>
      <c r="AS61" s="295">
        <f>-AR61</f>
        <v>0</v>
      </c>
      <c r="AT61" s="408" t="s">
        <v>445</v>
      </c>
    </row>
    <row r="62" spans="1:47" ht="87" hidden="1" customHeight="1" outlineLevel="1" x14ac:dyDescent="0.35">
      <c r="A62" s="589">
        <v>4</v>
      </c>
      <c r="B62" s="611" t="s">
        <v>525</v>
      </c>
      <c r="C62" s="600" t="s">
        <v>525</v>
      </c>
      <c r="D62" s="64">
        <v>43937</v>
      </c>
      <c r="E62" s="432" t="s">
        <v>144</v>
      </c>
      <c r="F62" s="482" t="s">
        <v>143</v>
      </c>
      <c r="G62" s="73" t="s">
        <v>273</v>
      </c>
      <c r="H62" s="305" t="s">
        <v>127</v>
      </c>
      <c r="I62" s="333"/>
      <c r="J62" s="283"/>
      <c r="K62" s="294">
        <f>M62+P62+U62+R62+T62</f>
        <v>1.582897</v>
      </c>
      <c r="L62" s="180">
        <f t="shared" si="118"/>
        <v>1.6</v>
      </c>
      <c r="M62" s="80">
        <f t="shared" si="118"/>
        <v>1.582897</v>
      </c>
      <c r="N62" s="80">
        <f t="shared" si="118"/>
        <v>0</v>
      </c>
      <c r="O62" s="80">
        <f>-X62</f>
        <v>0</v>
      </c>
      <c r="P62" s="80">
        <f t="shared" si="119"/>
        <v>0</v>
      </c>
      <c r="Q62" s="80">
        <f t="shared" si="119"/>
        <v>0</v>
      </c>
      <c r="R62" s="80">
        <f t="shared" si="120"/>
        <v>0</v>
      </c>
      <c r="S62" s="80">
        <f>-AI62</f>
        <v>0</v>
      </c>
      <c r="T62" s="80">
        <f t="shared" si="121"/>
        <v>0</v>
      </c>
      <c r="U62" s="401">
        <f>-AQ62</f>
        <v>0</v>
      </c>
      <c r="V62" s="893">
        <v>-1.6</v>
      </c>
      <c r="W62" s="388">
        <v>-1.582897</v>
      </c>
      <c r="X62" s="207">
        <v>0</v>
      </c>
      <c r="Y62" s="132">
        <v>0</v>
      </c>
      <c r="Z62" s="132">
        <v>0</v>
      </c>
      <c r="AA62" s="132">
        <v>0</v>
      </c>
      <c r="AB62" s="207">
        <v>0</v>
      </c>
      <c r="AC62" s="207">
        <v>0</v>
      </c>
      <c r="AD62" s="132">
        <v>0</v>
      </c>
      <c r="AE62" s="132">
        <v>0</v>
      </c>
      <c r="AF62" s="132">
        <v>0</v>
      </c>
      <c r="AG62" s="132">
        <v>0</v>
      </c>
      <c r="AH62" s="132">
        <v>0</v>
      </c>
      <c r="AI62" s="388">
        <v>0</v>
      </c>
      <c r="AJ62" s="207">
        <v>0</v>
      </c>
      <c r="AK62" s="367">
        <v>0</v>
      </c>
      <c r="AL62" s="367">
        <v>0</v>
      </c>
      <c r="AM62" s="367">
        <v>0</v>
      </c>
      <c r="AN62" s="367">
        <v>0</v>
      </c>
      <c r="AO62" s="295">
        <v>0</v>
      </c>
      <c r="AP62" s="295">
        <v>0</v>
      </c>
      <c r="AQ62" s="295">
        <v>0</v>
      </c>
      <c r="AR62" s="388">
        <v>0</v>
      </c>
      <c r="AS62" s="866">
        <f>-AR62</f>
        <v>0</v>
      </c>
      <c r="AT62" s="408" t="s">
        <v>620</v>
      </c>
    </row>
    <row r="63" spans="1:47" ht="43.5" hidden="1" customHeight="1" outlineLevel="1" x14ac:dyDescent="0.35">
      <c r="A63" s="589">
        <v>5</v>
      </c>
      <c r="B63" s="611" t="s">
        <v>525</v>
      </c>
      <c r="C63" s="600" t="s">
        <v>525</v>
      </c>
      <c r="D63" s="1188" t="s">
        <v>1662</v>
      </c>
      <c r="E63" s="432" t="s">
        <v>626</v>
      </c>
      <c r="F63" s="1191" t="s">
        <v>443</v>
      </c>
      <c r="G63" s="67" t="s">
        <v>294</v>
      </c>
      <c r="H63" s="312" t="s">
        <v>127</v>
      </c>
      <c r="I63" s="1120"/>
      <c r="J63" s="283"/>
      <c r="K63" s="1135">
        <f>M63+P63+U63+R63+T63</f>
        <v>4.069064</v>
      </c>
      <c r="L63" s="1161">
        <f>-V63</f>
        <v>0.45</v>
      </c>
      <c r="M63" s="1164">
        <f t="shared" si="118"/>
        <v>0.220833</v>
      </c>
      <c r="N63" s="1164">
        <f t="shared" si="118"/>
        <v>3.8553310000000001</v>
      </c>
      <c r="O63" s="1164">
        <f>-X63</f>
        <v>3.8553310000000001</v>
      </c>
      <c r="P63" s="1164">
        <f t="shared" si="119"/>
        <v>3.8482310000000002</v>
      </c>
      <c r="Q63" s="1164">
        <f t="shared" si="119"/>
        <v>0</v>
      </c>
      <c r="R63" s="1164">
        <f t="shared" si="120"/>
        <v>0</v>
      </c>
      <c r="S63" s="1164">
        <f>-AI63</f>
        <v>0</v>
      </c>
      <c r="T63" s="1164">
        <f t="shared" si="121"/>
        <v>0</v>
      </c>
      <c r="U63" s="1157">
        <f>-AQ63</f>
        <v>0</v>
      </c>
      <c r="V63" s="1196">
        <v>-0.45</v>
      </c>
      <c r="W63" s="1142">
        <v>-0.220833</v>
      </c>
      <c r="X63" s="1199">
        <f>-1.35-2.1612-0.344131</f>
        <v>-3.8553310000000001</v>
      </c>
      <c r="Y63" s="1100">
        <v>-1.35</v>
      </c>
      <c r="Z63" s="1100">
        <v>-3.847321</v>
      </c>
      <c r="AA63" s="1091">
        <v>-3.8482310000000002</v>
      </c>
      <c r="AB63" s="1202">
        <v>-3.8482310000000002</v>
      </c>
      <c r="AC63" s="1092">
        <v>0</v>
      </c>
      <c r="AD63" s="1100">
        <v>0</v>
      </c>
      <c r="AE63" s="1100">
        <v>0</v>
      </c>
      <c r="AF63" s="1100">
        <v>0</v>
      </c>
      <c r="AG63" s="1100">
        <v>0</v>
      </c>
      <c r="AH63" s="1100">
        <v>0</v>
      </c>
      <c r="AI63" s="1077">
        <v>0</v>
      </c>
      <c r="AJ63" s="1092">
        <v>0</v>
      </c>
      <c r="AK63" s="1146">
        <v>0</v>
      </c>
      <c r="AL63" s="1146">
        <v>0</v>
      </c>
      <c r="AM63" s="1146">
        <v>0</v>
      </c>
      <c r="AN63" s="1146">
        <v>0</v>
      </c>
      <c r="AO63" s="1168">
        <v>0</v>
      </c>
      <c r="AP63" s="1168">
        <v>0</v>
      </c>
      <c r="AQ63" s="1168">
        <v>0</v>
      </c>
      <c r="AR63" s="1077">
        <v>0</v>
      </c>
      <c r="AS63" s="1170">
        <f>-AR63</f>
        <v>0</v>
      </c>
      <c r="AT63" s="1173" t="s">
        <v>1224</v>
      </c>
    </row>
    <row r="64" spans="1:47" ht="43.5" hidden="1" customHeight="1" outlineLevel="1" x14ac:dyDescent="0.35">
      <c r="A64" s="589">
        <v>6</v>
      </c>
      <c r="B64" s="611" t="s">
        <v>525</v>
      </c>
      <c r="C64" s="600" t="s">
        <v>525</v>
      </c>
      <c r="D64" s="1189"/>
      <c r="E64" s="432" t="s">
        <v>571</v>
      </c>
      <c r="F64" s="1192"/>
      <c r="G64" s="67" t="s">
        <v>294</v>
      </c>
      <c r="H64" s="312" t="s">
        <v>127</v>
      </c>
      <c r="I64" s="1120"/>
      <c r="J64" s="283"/>
      <c r="K64" s="1160"/>
      <c r="L64" s="1162"/>
      <c r="M64" s="1165"/>
      <c r="N64" s="1165"/>
      <c r="O64" s="1165"/>
      <c r="P64" s="1165"/>
      <c r="Q64" s="1165"/>
      <c r="R64" s="1165"/>
      <c r="S64" s="1165"/>
      <c r="T64" s="1165"/>
      <c r="U64" s="1158"/>
      <c r="V64" s="1197"/>
      <c r="W64" s="1153"/>
      <c r="X64" s="1200"/>
      <c r="Y64" s="1102"/>
      <c r="Z64" s="1102"/>
      <c r="AA64" s="1091"/>
      <c r="AB64" s="1202"/>
      <c r="AC64" s="1105"/>
      <c r="AD64" s="1102"/>
      <c r="AE64" s="1102"/>
      <c r="AF64" s="1102"/>
      <c r="AG64" s="1102"/>
      <c r="AH64" s="1102"/>
      <c r="AI64" s="1078"/>
      <c r="AJ64" s="1105"/>
      <c r="AK64" s="1185"/>
      <c r="AL64" s="1185"/>
      <c r="AM64" s="1185"/>
      <c r="AN64" s="1185"/>
      <c r="AO64" s="1186"/>
      <c r="AP64" s="1186"/>
      <c r="AQ64" s="1186"/>
      <c r="AR64" s="1078"/>
      <c r="AS64" s="1187"/>
      <c r="AT64" s="1211"/>
    </row>
    <row r="65" spans="1:47" ht="58" hidden="1" customHeight="1" outlineLevel="1" x14ac:dyDescent="0.35">
      <c r="A65" s="589">
        <v>7</v>
      </c>
      <c r="B65" s="611" t="s">
        <v>525</v>
      </c>
      <c r="C65" s="600" t="s">
        <v>525</v>
      </c>
      <c r="D65" s="1190"/>
      <c r="E65" s="432" t="s">
        <v>1431</v>
      </c>
      <c r="F65" s="1193"/>
      <c r="G65" s="67" t="s">
        <v>294</v>
      </c>
      <c r="H65" s="312" t="s">
        <v>127</v>
      </c>
      <c r="I65" s="1120"/>
      <c r="J65" s="283"/>
      <c r="K65" s="1136"/>
      <c r="L65" s="1163"/>
      <c r="M65" s="1166"/>
      <c r="N65" s="1166"/>
      <c r="O65" s="1166"/>
      <c r="P65" s="1166"/>
      <c r="Q65" s="1166"/>
      <c r="R65" s="1166"/>
      <c r="S65" s="1166"/>
      <c r="T65" s="1166"/>
      <c r="U65" s="1159"/>
      <c r="V65" s="1198"/>
      <c r="W65" s="1143"/>
      <c r="X65" s="1201"/>
      <c r="Y65" s="1101"/>
      <c r="Z65" s="1101"/>
      <c r="AA65" s="1091"/>
      <c r="AB65" s="1202"/>
      <c r="AC65" s="1093"/>
      <c r="AD65" s="1101"/>
      <c r="AE65" s="1101"/>
      <c r="AF65" s="1101"/>
      <c r="AG65" s="1101"/>
      <c r="AH65" s="1101"/>
      <c r="AI65" s="1079"/>
      <c r="AJ65" s="1093"/>
      <c r="AK65" s="1147"/>
      <c r="AL65" s="1147"/>
      <c r="AM65" s="1147"/>
      <c r="AN65" s="1147"/>
      <c r="AO65" s="1169"/>
      <c r="AP65" s="1169"/>
      <c r="AQ65" s="1169"/>
      <c r="AR65" s="1079"/>
      <c r="AS65" s="1171"/>
      <c r="AT65" s="1174"/>
    </row>
    <row r="66" spans="1:47" ht="145" hidden="1" customHeight="1" outlineLevel="1" x14ac:dyDescent="0.35">
      <c r="A66" s="589">
        <v>8</v>
      </c>
      <c r="B66" s="615" t="s">
        <v>22</v>
      </c>
      <c r="C66" s="601" t="s">
        <v>22</v>
      </c>
      <c r="D66" s="62">
        <v>43937</v>
      </c>
      <c r="E66" s="432" t="s">
        <v>21</v>
      </c>
      <c r="F66" s="482" t="s">
        <v>30</v>
      </c>
      <c r="G66" s="69" t="s">
        <v>7</v>
      </c>
      <c r="H66" s="305" t="s">
        <v>126</v>
      </c>
      <c r="I66" s="333"/>
      <c r="J66" s="283"/>
      <c r="K66" s="294">
        <f t="shared" ref="K66:K72" si="122">M66+P66+U66+R66+T66</f>
        <v>3.980502</v>
      </c>
      <c r="L66" s="180">
        <f t="shared" si="118"/>
        <v>3.4683290000000002</v>
      </c>
      <c r="M66" s="80">
        <f t="shared" si="118"/>
        <v>3.980502</v>
      </c>
      <c r="N66" s="80">
        <f t="shared" si="118"/>
        <v>0</v>
      </c>
      <c r="O66" s="80">
        <f t="shared" ref="O66:O72" si="123">-X66</f>
        <v>0</v>
      </c>
      <c r="P66" s="80">
        <f t="shared" ref="P66:Q72" si="124">-AB66</f>
        <v>0</v>
      </c>
      <c r="Q66" s="80">
        <f t="shared" si="124"/>
        <v>0</v>
      </c>
      <c r="R66" s="80">
        <f t="shared" ref="R66:R68" si="125">-AC66</f>
        <v>0</v>
      </c>
      <c r="S66" s="80">
        <f t="shared" ref="S66:S72" si="126">-AI66</f>
        <v>0</v>
      </c>
      <c r="T66" s="80">
        <f t="shared" ref="T66:T68" si="127">-AJ66</f>
        <v>0</v>
      </c>
      <c r="U66" s="401">
        <f t="shared" ref="U66:U72" si="128">-AQ66</f>
        <v>0</v>
      </c>
      <c r="V66" s="893">
        <v>-3.4683290000000002</v>
      </c>
      <c r="W66" s="387">
        <v>-3.980502</v>
      </c>
      <c r="X66" s="207">
        <v>0</v>
      </c>
      <c r="Y66" s="132">
        <v>0</v>
      </c>
      <c r="Z66" s="132">
        <v>0</v>
      </c>
      <c r="AA66" s="132">
        <v>0</v>
      </c>
      <c r="AB66" s="207">
        <v>0</v>
      </c>
      <c r="AC66" s="207">
        <v>0</v>
      </c>
      <c r="AD66" s="132">
        <v>0</v>
      </c>
      <c r="AE66" s="132">
        <v>0</v>
      </c>
      <c r="AF66" s="132">
        <v>0</v>
      </c>
      <c r="AG66" s="132">
        <v>0</v>
      </c>
      <c r="AH66" s="132">
        <v>0</v>
      </c>
      <c r="AI66" s="387">
        <v>0</v>
      </c>
      <c r="AJ66" s="207">
        <v>0</v>
      </c>
      <c r="AK66" s="367">
        <v>0</v>
      </c>
      <c r="AL66" s="367">
        <v>0</v>
      </c>
      <c r="AM66" s="367">
        <v>0</v>
      </c>
      <c r="AN66" s="367">
        <v>0</v>
      </c>
      <c r="AO66" s="295">
        <v>0</v>
      </c>
      <c r="AP66" s="295">
        <v>0</v>
      </c>
      <c r="AQ66" s="295">
        <v>0</v>
      </c>
      <c r="AR66" s="387">
        <v>0</v>
      </c>
      <c r="AS66" s="295">
        <f>-AR66</f>
        <v>0</v>
      </c>
      <c r="AT66" s="408" t="s">
        <v>635</v>
      </c>
    </row>
    <row r="67" spans="1:47" ht="145" hidden="1" customHeight="1" outlineLevel="1" x14ac:dyDescent="0.35">
      <c r="A67" s="589">
        <v>9</v>
      </c>
      <c r="B67" s="611" t="s">
        <v>36</v>
      </c>
      <c r="C67" s="600" t="s">
        <v>36</v>
      </c>
      <c r="D67" s="64">
        <v>43930</v>
      </c>
      <c r="E67" s="432" t="s">
        <v>60</v>
      </c>
      <c r="F67" s="482" t="s">
        <v>56</v>
      </c>
      <c r="G67" s="69" t="s">
        <v>7</v>
      </c>
      <c r="H67" s="305" t="s">
        <v>127</v>
      </c>
      <c r="I67" s="333"/>
      <c r="J67" s="283"/>
      <c r="K67" s="294">
        <f t="shared" si="122"/>
        <v>0.71409900000000004</v>
      </c>
      <c r="L67" s="180">
        <f t="shared" si="118"/>
        <v>0.71409900000000004</v>
      </c>
      <c r="M67" s="80">
        <f t="shared" si="118"/>
        <v>0.71409900000000004</v>
      </c>
      <c r="N67" s="80">
        <f t="shared" si="118"/>
        <v>0</v>
      </c>
      <c r="O67" s="80">
        <f t="shared" si="123"/>
        <v>0</v>
      </c>
      <c r="P67" s="80">
        <f t="shared" si="124"/>
        <v>0</v>
      </c>
      <c r="Q67" s="80">
        <f t="shared" si="124"/>
        <v>0</v>
      </c>
      <c r="R67" s="80">
        <f t="shared" si="125"/>
        <v>0</v>
      </c>
      <c r="S67" s="80">
        <f t="shared" si="126"/>
        <v>0</v>
      </c>
      <c r="T67" s="80">
        <f t="shared" si="127"/>
        <v>0</v>
      </c>
      <c r="U67" s="401">
        <f t="shared" si="128"/>
        <v>0</v>
      </c>
      <c r="V67" s="893">
        <v>-0.71409900000000004</v>
      </c>
      <c r="W67" s="387">
        <v>-0.71409900000000004</v>
      </c>
      <c r="X67" s="207">
        <v>0</v>
      </c>
      <c r="Y67" s="132">
        <v>0</v>
      </c>
      <c r="Z67" s="132">
        <v>0</v>
      </c>
      <c r="AA67" s="132">
        <v>0</v>
      </c>
      <c r="AB67" s="207">
        <v>0</v>
      </c>
      <c r="AC67" s="207">
        <v>0</v>
      </c>
      <c r="AD67" s="132">
        <v>0</v>
      </c>
      <c r="AE67" s="132">
        <v>0</v>
      </c>
      <c r="AF67" s="132">
        <v>0</v>
      </c>
      <c r="AG67" s="132">
        <v>0</v>
      </c>
      <c r="AH67" s="132">
        <v>0</v>
      </c>
      <c r="AI67" s="387">
        <v>0</v>
      </c>
      <c r="AJ67" s="207">
        <v>0</v>
      </c>
      <c r="AK67" s="367">
        <v>0</v>
      </c>
      <c r="AL67" s="367">
        <v>0</v>
      </c>
      <c r="AM67" s="367">
        <v>0</v>
      </c>
      <c r="AN67" s="367">
        <v>0</v>
      </c>
      <c r="AO67" s="295">
        <v>0</v>
      </c>
      <c r="AP67" s="295">
        <v>0</v>
      </c>
      <c r="AQ67" s="295">
        <v>0</v>
      </c>
      <c r="AR67" s="387">
        <v>0</v>
      </c>
      <c r="AS67" s="295">
        <f>-AR67</f>
        <v>0</v>
      </c>
      <c r="AT67" s="408" t="s">
        <v>37</v>
      </c>
    </row>
    <row r="68" spans="1:47" s="261" customFormat="1" ht="113.15" hidden="1" customHeight="1" outlineLevel="1" x14ac:dyDescent="0.35">
      <c r="A68" s="589">
        <v>10</v>
      </c>
      <c r="B68" s="611" t="s">
        <v>36</v>
      </c>
      <c r="C68" s="600" t="s">
        <v>36</v>
      </c>
      <c r="D68" s="272" t="s">
        <v>1663</v>
      </c>
      <c r="E68" s="437" t="s">
        <v>572</v>
      </c>
      <c r="F68" s="486" t="s">
        <v>573</v>
      </c>
      <c r="G68" s="69" t="s">
        <v>7</v>
      </c>
      <c r="H68" s="306" t="s">
        <v>127</v>
      </c>
      <c r="I68" s="328"/>
      <c r="J68" s="285"/>
      <c r="K68" s="294">
        <f t="shared" si="122"/>
        <v>1.4053150000000001</v>
      </c>
      <c r="L68" s="180">
        <f t="shared" si="118"/>
        <v>0.154</v>
      </c>
      <c r="M68" s="80">
        <f t="shared" si="118"/>
        <v>0</v>
      </c>
      <c r="N68" s="80">
        <f t="shared" si="118"/>
        <v>1.3945020000000001</v>
      </c>
      <c r="O68" s="80">
        <f t="shared" si="123"/>
        <v>1.3945020000000001</v>
      </c>
      <c r="P68" s="80">
        <f t="shared" si="124"/>
        <v>1.4053150000000001</v>
      </c>
      <c r="Q68" s="80">
        <f t="shared" si="124"/>
        <v>0</v>
      </c>
      <c r="R68" s="80">
        <f t="shared" si="125"/>
        <v>0</v>
      </c>
      <c r="S68" s="80">
        <f t="shared" si="126"/>
        <v>0</v>
      </c>
      <c r="T68" s="80">
        <f t="shared" si="127"/>
        <v>0</v>
      </c>
      <c r="U68" s="401">
        <f t="shared" si="128"/>
        <v>0</v>
      </c>
      <c r="V68" s="893">
        <f>-0.154</f>
        <v>-0.154</v>
      </c>
      <c r="W68" s="387">
        <v>0</v>
      </c>
      <c r="X68" s="899">
        <f>-0.7315-0.663002</f>
        <v>-1.3945020000000001</v>
      </c>
      <c r="Y68" s="132">
        <f>-0.7315</f>
        <v>-0.73150000000000004</v>
      </c>
      <c r="Z68" s="132">
        <v>-1.3945000000000001</v>
      </c>
      <c r="AA68" s="132">
        <v>-1.3945000000000001</v>
      </c>
      <c r="AB68" s="207">
        <f>-1.394501-0.010814</f>
        <v>-1.4053150000000001</v>
      </c>
      <c r="AC68" s="207">
        <v>0</v>
      </c>
      <c r="AD68" s="132">
        <v>0</v>
      </c>
      <c r="AE68" s="132">
        <v>0</v>
      </c>
      <c r="AF68" s="132">
        <v>0</v>
      </c>
      <c r="AG68" s="132">
        <v>0</v>
      </c>
      <c r="AH68" s="132">
        <v>0</v>
      </c>
      <c r="AI68" s="387">
        <v>0</v>
      </c>
      <c r="AJ68" s="207">
        <v>0</v>
      </c>
      <c r="AK68" s="367">
        <v>0</v>
      </c>
      <c r="AL68" s="367">
        <v>0</v>
      </c>
      <c r="AM68" s="367">
        <v>0</v>
      </c>
      <c r="AN68" s="367">
        <v>0</v>
      </c>
      <c r="AO68" s="295">
        <v>0</v>
      </c>
      <c r="AP68" s="295">
        <v>0</v>
      </c>
      <c r="AQ68" s="295">
        <v>0</v>
      </c>
      <c r="AR68" s="387">
        <v>0</v>
      </c>
      <c r="AS68" s="295">
        <f>-AR68</f>
        <v>0</v>
      </c>
      <c r="AT68" s="413" t="s">
        <v>621</v>
      </c>
    </row>
    <row r="69" spans="1:47" ht="174" hidden="1" customHeight="1" outlineLevel="1" x14ac:dyDescent="0.35">
      <c r="A69" s="589">
        <v>11</v>
      </c>
      <c r="B69" s="611" t="s">
        <v>519</v>
      </c>
      <c r="C69" s="601" t="s">
        <v>519</v>
      </c>
      <c r="D69" s="64">
        <v>43971</v>
      </c>
      <c r="E69" s="432" t="s">
        <v>237</v>
      </c>
      <c r="F69" s="482" t="s">
        <v>190</v>
      </c>
      <c r="G69" s="69" t="s">
        <v>7</v>
      </c>
      <c r="H69" s="305" t="s">
        <v>127</v>
      </c>
      <c r="I69" s="333"/>
      <c r="J69" s="283"/>
      <c r="K69" s="294">
        <f t="shared" si="122"/>
        <v>3.3861590000000001</v>
      </c>
      <c r="L69" s="180">
        <f t="shared" si="118"/>
        <v>3.3861590000000001</v>
      </c>
      <c r="M69" s="80">
        <f t="shared" si="118"/>
        <v>3.3861590000000001</v>
      </c>
      <c r="N69" s="80">
        <f t="shared" si="118"/>
        <v>0</v>
      </c>
      <c r="O69" s="80">
        <f t="shared" si="123"/>
        <v>0</v>
      </c>
      <c r="P69" s="80">
        <f t="shared" si="124"/>
        <v>0</v>
      </c>
      <c r="Q69" s="80">
        <f t="shared" si="124"/>
        <v>0</v>
      </c>
      <c r="R69" s="80">
        <f t="shared" ref="R69:R72" si="129">-AC69</f>
        <v>0</v>
      </c>
      <c r="S69" s="80">
        <f t="shared" si="126"/>
        <v>0</v>
      </c>
      <c r="T69" s="80">
        <f t="shared" ref="T69:T72" si="130">-AJ69</f>
        <v>0</v>
      </c>
      <c r="U69" s="401">
        <f t="shared" si="128"/>
        <v>0</v>
      </c>
      <c r="V69" s="893">
        <v>-3.3861590000000001</v>
      </c>
      <c r="W69" s="387">
        <f>-3.384779-0.00138</f>
        <v>-3.3861590000000001</v>
      </c>
      <c r="X69" s="207">
        <v>0</v>
      </c>
      <c r="Y69" s="132">
        <v>0</v>
      </c>
      <c r="Z69" s="132">
        <v>0</v>
      </c>
      <c r="AA69" s="132">
        <v>0</v>
      </c>
      <c r="AB69" s="207">
        <v>0</v>
      </c>
      <c r="AC69" s="207">
        <v>0</v>
      </c>
      <c r="AD69" s="132">
        <v>0</v>
      </c>
      <c r="AE69" s="132">
        <v>0</v>
      </c>
      <c r="AF69" s="132">
        <v>0</v>
      </c>
      <c r="AG69" s="132">
        <v>0</v>
      </c>
      <c r="AH69" s="132">
        <v>0</v>
      </c>
      <c r="AI69" s="387">
        <v>0</v>
      </c>
      <c r="AJ69" s="207">
        <v>0</v>
      </c>
      <c r="AK69" s="367">
        <v>0</v>
      </c>
      <c r="AL69" s="367">
        <v>0</v>
      </c>
      <c r="AM69" s="367">
        <v>0</v>
      </c>
      <c r="AN69" s="367">
        <v>0</v>
      </c>
      <c r="AO69" s="295">
        <v>0</v>
      </c>
      <c r="AP69" s="295">
        <v>0</v>
      </c>
      <c r="AQ69" s="295">
        <v>0</v>
      </c>
      <c r="AR69" s="387">
        <v>0</v>
      </c>
      <c r="AS69" s="295">
        <v>0</v>
      </c>
      <c r="AT69" s="408" t="s">
        <v>631</v>
      </c>
    </row>
    <row r="70" spans="1:47" ht="116.15" hidden="1" customHeight="1" outlineLevel="1" x14ac:dyDescent="0.35">
      <c r="A70" s="589">
        <v>12</v>
      </c>
      <c r="B70" s="611" t="s">
        <v>520</v>
      </c>
      <c r="C70" s="601" t="s">
        <v>520</v>
      </c>
      <c r="D70" s="62">
        <v>43956</v>
      </c>
      <c r="E70" s="432" t="s">
        <v>238</v>
      </c>
      <c r="F70" s="482" t="s">
        <v>197</v>
      </c>
      <c r="G70" s="69" t="s">
        <v>7</v>
      </c>
      <c r="H70" s="305" t="s">
        <v>127</v>
      </c>
      <c r="I70" s="333"/>
      <c r="J70" s="283"/>
      <c r="K70" s="294">
        <f t="shared" si="122"/>
        <v>0.33827800000000002</v>
      </c>
      <c r="L70" s="180">
        <f t="shared" si="118"/>
        <v>0.33827800000000002</v>
      </c>
      <c r="M70" s="80">
        <f t="shared" si="118"/>
        <v>0.33827800000000002</v>
      </c>
      <c r="N70" s="80">
        <f t="shared" si="118"/>
        <v>0</v>
      </c>
      <c r="O70" s="80">
        <f t="shared" si="123"/>
        <v>0</v>
      </c>
      <c r="P70" s="80">
        <f t="shared" si="124"/>
        <v>0</v>
      </c>
      <c r="Q70" s="80">
        <f t="shared" si="124"/>
        <v>0</v>
      </c>
      <c r="R70" s="80">
        <f t="shared" si="129"/>
        <v>0</v>
      </c>
      <c r="S70" s="80">
        <f t="shared" si="126"/>
        <v>0</v>
      </c>
      <c r="T70" s="80">
        <f t="shared" si="130"/>
        <v>0</v>
      </c>
      <c r="U70" s="401">
        <f t="shared" si="128"/>
        <v>0</v>
      </c>
      <c r="V70" s="893">
        <v>-0.33827800000000002</v>
      </c>
      <c r="W70" s="387">
        <v>-0.33827800000000002</v>
      </c>
      <c r="X70" s="207">
        <v>0</v>
      </c>
      <c r="Y70" s="132">
        <v>0</v>
      </c>
      <c r="Z70" s="132">
        <v>0</v>
      </c>
      <c r="AA70" s="132">
        <v>0</v>
      </c>
      <c r="AB70" s="207">
        <v>0</v>
      </c>
      <c r="AC70" s="207">
        <v>0</v>
      </c>
      <c r="AD70" s="132">
        <v>0</v>
      </c>
      <c r="AE70" s="132">
        <v>0</v>
      </c>
      <c r="AF70" s="132">
        <v>0</v>
      </c>
      <c r="AG70" s="132">
        <v>0</v>
      </c>
      <c r="AH70" s="132">
        <v>0</v>
      </c>
      <c r="AI70" s="387">
        <v>0</v>
      </c>
      <c r="AJ70" s="207">
        <v>0</v>
      </c>
      <c r="AK70" s="367">
        <v>0</v>
      </c>
      <c r="AL70" s="367">
        <v>0</v>
      </c>
      <c r="AM70" s="367">
        <v>0</v>
      </c>
      <c r="AN70" s="367">
        <v>0</v>
      </c>
      <c r="AO70" s="295">
        <v>0</v>
      </c>
      <c r="AP70" s="295">
        <v>0</v>
      </c>
      <c r="AQ70" s="295">
        <v>0</v>
      </c>
      <c r="AR70" s="387">
        <v>0</v>
      </c>
      <c r="AS70" s="295">
        <f t="shared" ref="AS70:AS71" si="131">-AR70</f>
        <v>0</v>
      </c>
      <c r="AT70" s="408" t="s">
        <v>630</v>
      </c>
    </row>
    <row r="71" spans="1:47" ht="116.15" hidden="1" customHeight="1" outlineLevel="1" x14ac:dyDescent="0.35">
      <c r="A71" s="589">
        <v>13</v>
      </c>
      <c r="B71" s="611" t="s">
        <v>521</v>
      </c>
      <c r="C71" s="601" t="s">
        <v>521</v>
      </c>
      <c r="D71" s="62" t="s">
        <v>353</v>
      </c>
      <c r="E71" s="432" t="s">
        <v>632</v>
      </c>
      <c r="F71" s="482" t="s">
        <v>354</v>
      </c>
      <c r="G71" s="69" t="s">
        <v>7</v>
      </c>
      <c r="H71" s="305" t="s">
        <v>127</v>
      </c>
      <c r="I71" s="333"/>
      <c r="J71" s="283"/>
      <c r="K71" s="294">
        <f t="shared" si="122"/>
        <v>1.2420450000000001</v>
      </c>
      <c r="L71" s="180">
        <f t="shared" si="118"/>
        <v>1.239795</v>
      </c>
      <c r="M71" s="80">
        <f t="shared" si="118"/>
        <v>1.239795</v>
      </c>
      <c r="N71" s="80">
        <f t="shared" si="118"/>
        <v>0</v>
      </c>
      <c r="O71" s="80">
        <f t="shared" si="123"/>
        <v>0</v>
      </c>
      <c r="P71" s="80">
        <f t="shared" si="124"/>
        <v>2.2499999999999998E-3</v>
      </c>
      <c r="Q71" s="80">
        <f t="shared" si="124"/>
        <v>0</v>
      </c>
      <c r="R71" s="80">
        <f t="shared" si="129"/>
        <v>0</v>
      </c>
      <c r="S71" s="80">
        <f t="shared" si="126"/>
        <v>0</v>
      </c>
      <c r="T71" s="80">
        <f t="shared" si="130"/>
        <v>0</v>
      </c>
      <c r="U71" s="401">
        <f t="shared" si="128"/>
        <v>0</v>
      </c>
      <c r="V71" s="893">
        <v>-1.239795</v>
      </c>
      <c r="W71" s="387">
        <f>-1.2162-0.023595</f>
        <v>-1.239795</v>
      </c>
      <c r="X71" s="207">
        <v>0</v>
      </c>
      <c r="Y71" s="132">
        <v>0</v>
      </c>
      <c r="Z71" s="132">
        <v>0</v>
      </c>
      <c r="AA71" s="132">
        <v>-2.2499999999999998E-3</v>
      </c>
      <c r="AB71" s="207">
        <v>-2.2499999999999998E-3</v>
      </c>
      <c r="AC71" s="207">
        <v>0</v>
      </c>
      <c r="AD71" s="132">
        <v>0</v>
      </c>
      <c r="AE71" s="132">
        <v>0</v>
      </c>
      <c r="AF71" s="132">
        <v>0</v>
      </c>
      <c r="AG71" s="132">
        <v>0</v>
      </c>
      <c r="AH71" s="132">
        <v>0</v>
      </c>
      <c r="AI71" s="387">
        <v>0</v>
      </c>
      <c r="AJ71" s="207">
        <v>0</v>
      </c>
      <c r="AK71" s="367">
        <v>0</v>
      </c>
      <c r="AL71" s="367">
        <v>0</v>
      </c>
      <c r="AM71" s="367">
        <v>0</v>
      </c>
      <c r="AN71" s="367">
        <v>0</v>
      </c>
      <c r="AO71" s="295">
        <v>0</v>
      </c>
      <c r="AP71" s="295">
        <v>0</v>
      </c>
      <c r="AQ71" s="295">
        <v>0</v>
      </c>
      <c r="AR71" s="387">
        <v>0</v>
      </c>
      <c r="AS71" s="295">
        <f t="shared" si="131"/>
        <v>0</v>
      </c>
      <c r="AT71" s="408" t="s">
        <v>629</v>
      </c>
    </row>
    <row r="72" spans="1:47" ht="43.5" hidden="1" customHeight="1" outlineLevel="1" x14ac:dyDescent="0.35">
      <c r="A72" s="590">
        <v>14</v>
      </c>
      <c r="B72" s="612" t="s">
        <v>269</v>
      </c>
      <c r="C72" s="604" t="s">
        <v>269</v>
      </c>
      <c r="D72" s="1121" t="s">
        <v>633</v>
      </c>
      <c r="E72" s="432" t="s">
        <v>576</v>
      </c>
      <c r="F72" s="1144" t="s">
        <v>577</v>
      </c>
      <c r="G72" s="67" t="s">
        <v>294</v>
      </c>
      <c r="H72" s="312" t="s">
        <v>127</v>
      </c>
      <c r="I72" s="1119"/>
      <c r="J72" s="284"/>
      <c r="K72" s="1135">
        <f t="shared" si="122"/>
        <v>0.33767199999999997</v>
      </c>
      <c r="L72" s="1161">
        <f>-V72</f>
        <v>0.24287600000000001</v>
      </c>
      <c r="M72" s="1137">
        <f t="shared" ref="M72:N72" si="132">-W72</f>
        <v>0.20549999999999999</v>
      </c>
      <c r="N72" s="1164">
        <f t="shared" si="132"/>
        <v>0.21708</v>
      </c>
      <c r="O72" s="1164">
        <f t="shared" si="123"/>
        <v>0.21708</v>
      </c>
      <c r="P72" s="1164">
        <f t="shared" si="124"/>
        <v>0.13217200000000001</v>
      </c>
      <c r="Q72" s="1164">
        <f t="shared" si="124"/>
        <v>0</v>
      </c>
      <c r="R72" s="1164">
        <f t="shared" si="129"/>
        <v>0</v>
      </c>
      <c r="S72" s="1164">
        <f t="shared" si="126"/>
        <v>0</v>
      </c>
      <c r="T72" s="1164">
        <f t="shared" si="130"/>
        <v>0</v>
      </c>
      <c r="U72" s="1157">
        <f t="shared" si="128"/>
        <v>0</v>
      </c>
      <c r="V72" s="1196">
        <v>-0.24287600000000001</v>
      </c>
      <c r="W72" s="1142">
        <v>-0.20549999999999999</v>
      </c>
      <c r="X72" s="1092">
        <v>-0.21708</v>
      </c>
      <c r="Y72" s="1100">
        <v>-0.21708</v>
      </c>
      <c r="Z72" s="1100">
        <v>-0.21708</v>
      </c>
      <c r="AA72" s="1091">
        <f>-0.132172</f>
        <v>-0.13217200000000001</v>
      </c>
      <c r="AB72" s="1094">
        <f>-0.132172</f>
        <v>-0.13217200000000001</v>
      </c>
      <c r="AC72" s="1092">
        <v>0</v>
      </c>
      <c r="AD72" s="1100">
        <v>0</v>
      </c>
      <c r="AE72" s="1100">
        <v>0</v>
      </c>
      <c r="AF72" s="1100">
        <v>0</v>
      </c>
      <c r="AG72" s="1100">
        <v>0</v>
      </c>
      <c r="AH72" s="1100">
        <v>0</v>
      </c>
      <c r="AI72" s="1077">
        <v>0</v>
      </c>
      <c r="AJ72" s="1092">
        <v>0</v>
      </c>
      <c r="AK72" s="1146">
        <v>0</v>
      </c>
      <c r="AL72" s="1146">
        <v>0</v>
      </c>
      <c r="AM72" s="1146">
        <v>0</v>
      </c>
      <c r="AN72" s="1146">
        <v>0</v>
      </c>
      <c r="AO72" s="1168">
        <v>0</v>
      </c>
      <c r="AP72" s="1168">
        <v>0</v>
      </c>
      <c r="AQ72" s="1168">
        <v>0</v>
      </c>
      <c r="AR72" s="1077">
        <v>0</v>
      </c>
      <c r="AS72" s="1170">
        <f>-AR72</f>
        <v>0</v>
      </c>
      <c r="AT72" s="1173" t="s">
        <v>622</v>
      </c>
    </row>
    <row r="73" spans="1:47" ht="77.150000000000006" hidden="1" customHeight="1" outlineLevel="1" x14ac:dyDescent="0.35">
      <c r="A73" s="590">
        <v>15</v>
      </c>
      <c r="B73" s="612" t="s">
        <v>269</v>
      </c>
      <c r="C73" s="604" t="s">
        <v>269</v>
      </c>
      <c r="D73" s="1122"/>
      <c r="E73" s="432" t="s">
        <v>578</v>
      </c>
      <c r="F73" s="1145"/>
      <c r="G73" s="67" t="s">
        <v>294</v>
      </c>
      <c r="H73" s="312" t="s">
        <v>127</v>
      </c>
      <c r="I73" s="1119"/>
      <c r="J73" s="284"/>
      <c r="K73" s="1136"/>
      <c r="L73" s="1163"/>
      <c r="M73" s="1138"/>
      <c r="N73" s="1166"/>
      <c r="O73" s="1166"/>
      <c r="P73" s="1166"/>
      <c r="Q73" s="1166"/>
      <c r="R73" s="1166"/>
      <c r="S73" s="1166"/>
      <c r="T73" s="1166"/>
      <c r="U73" s="1159"/>
      <c r="V73" s="1198"/>
      <c r="W73" s="1143"/>
      <c r="X73" s="1093"/>
      <c r="Y73" s="1101"/>
      <c r="Z73" s="1101"/>
      <c r="AA73" s="1091"/>
      <c r="AB73" s="1094"/>
      <c r="AC73" s="1093"/>
      <c r="AD73" s="1101"/>
      <c r="AE73" s="1101"/>
      <c r="AF73" s="1101"/>
      <c r="AG73" s="1101"/>
      <c r="AH73" s="1101"/>
      <c r="AI73" s="1079"/>
      <c r="AJ73" s="1093"/>
      <c r="AK73" s="1147"/>
      <c r="AL73" s="1147"/>
      <c r="AM73" s="1147"/>
      <c r="AN73" s="1147"/>
      <c r="AO73" s="1169"/>
      <c r="AP73" s="1169"/>
      <c r="AQ73" s="1169"/>
      <c r="AR73" s="1079"/>
      <c r="AS73" s="1171"/>
      <c r="AT73" s="1174"/>
    </row>
    <row r="74" spans="1:47" ht="119.5" hidden="1" customHeight="1" outlineLevel="1" x14ac:dyDescent="0.35">
      <c r="A74" s="589">
        <v>16</v>
      </c>
      <c r="B74" s="611" t="s">
        <v>1911</v>
      </c>
      <c r="C74" s="601" t="s">
        <v>1911</v>
      </c>
      <c r="D74" s="62">
        <v>44572</v>
      </c>
      <c r="E74" s="432" t="s">
        <v>1939</v>
      </c>
      <c r="F74" s="482" t="s">
        <v>1912</v>
      </c>
      <c r="G74" s="69" t="s">
        <v>7</v>
      </c>
      <c r="H74" s="305" t="s">
        <v>126</v>
      </c>
      <c r="I74" s="334"/>
      <c r="J74" s="284"/>
      <c r="K74" s="294">
        <f>M74+P74+U74+R74+T74</f>
        <v>6.519069</v>
      </c>
      <c r="L74" s="180">
        <f t="shared" ref="L74" si="133">-V74</f>
        <v>0</v>
      </c>
      <c r="M74" s="80">
        <f t="shared" ref="M74" si="134">-W74</f>
        <v>0</v>
      </c>
      <c r="N74" s="80">
        <f t="shared" ref="N74" si="135">-X74</f>
        <v>0</v>
      </c>
      <c r="O74" s="80">
        <f>-X74</f>
        <v>0</v>
      </c>
      <c r="P74" s="80">
        <f>-AB74</f>
        <v>0</v>
      </c>
      <c r="Q74" s="80">
        <f>-AC74</f>
        <v>6.519069</v>
      </c>
      <c r="R74" s="80">
        <f t="shared" ref="R74" si="136">-AC74</f>
        <v>6.519069</v>
      </c>
      <c r="S74" s="80">
        <f>-AI74</f>
        <v>6.4120939999999997</v>
      </c>
      <c r="T74" s="80">
        <f t="shared" ref="T74" si="137">-AJ74</f>
        <v>0</v>
      </c>
      <c r="U74" s="401">
        <f t="shared" ref="U74" si="138">-AQ74</f>
        <v>0</v>
      </c>
      <c r="V74" s="893">
        <v>0</v>
      </c>
      <c r="W74" s="387">
        <v>0</v>
      </c>
      <c r="X74" s="207">
        <v>0</v>
      </c>
      <c r="Y74" s="132">
        <v>0</v>
      </c>
      <c r="Z74" s="132">
        <v>0</v>
      </c>
      <c r="AA74" s="132">
        <v>-2.2499999999999998E-3</v>
      </c>
      <c r="AB74" s="207">
        <v>0</v>
      </c>
      <c r="AC74" s="207">
        <v>-6.519069</v>
      </c>
      <c r="AD74" s="132">
        <v>0</v>
      </c>
      <c r="AE74" s="132">
        <v>0</v>
      </c>
      <c r="AF74" s="132">
        <v>-16.692129000000001</v>
      </c>
      <c r="AG74" s="132">
        <v>-6.5190000000000001</v>
      </c>
      <c r="AH74" s="132">
        <v>-6.5190000000000001</v>
      </c>
      <c r="AI74" s="623">
        <f>-6.412094</f>
        <v>-6.4120939999999997</v>
      </c>
      <c r="AJ74" s="207">
        <v>0</v>
      </c>
      <c r="AK74" s="367">
        <v>0</v>
      </c>
      <c r="AL74" s="367">
        <v>0</v>
      </c>
      <c r="AM74" s="367">
        <v>0</v>
      </c>
      <c r="AN74" s="367">
        <v>0</v>
      </c>
      <c r="AO74" s="295">
        <v>0</v>
      </c>
      <c r="AP74" s="295">
        <v>0</v>
      </c>
      <c r="AQ74" s="295">
        <v>0</v>
      </c>
      <c r="AR74" s="623">
        <v>0</v>
      </c>
      <c r="AS74" s="295">
        <f t="shared" ref="AS74" si="139">-AR74</f>
        <v>0</v>
      </c>
      <c r="AT74" s="562" t="s">
        <v>2133</v>
      </c>
    </row>
    <row r="75" spans="1:47" ht="150" hidden="1" customHeight="1" outlineLevel="1" x14ac:dyDescent="0.35">
      <c r="A75" s="589">
        <v>17</v>
      </c>
      <c r="B75" s="611" t="s">
        <v>1940</v>
      </c>
      <c r="C75" s="601" t="s">
        <v>1940</v>
      </c>
      <c r="D75" s="62">
        <v>44572</v>
      </c>
      <c r="E75" s="432" t="s">
        <v>1937</v>
      </c>
      <c r="F75" s="482" t="s">
        <v>1938</v>
      </c>
      <c r="G75" s="69" t="s">
        <v>294</v>
      </c>
      <c r="H75" s="312" t="s">
        <v>127</v>
      </c>
      <c r="I75" s="333"/>
      <c r="J75" s="283"/>
      <c r="K75" s="294">
        <f>M75+P75+U75+R75+T75</f>
        <v>9.1800000000000007E-2</v>
      </c>
      <c r="L75" s="180">
        <f t="shared" ref="L75" si="140">-V75</f>
        <v>0</v>
      </c>
      <c r="M75" s="80">
        <f t="shared" ref="M75" si="141">-W75</f>
        <v>0</v>
      </c>
      <c r="N75" s="80">
        <f t="shared" ref="N75" si="142">-X75</f>
        <v>0</v>
      </c>
      <c r="O75" s="80">
        <f>-X75</f>
        <v>0</v>
      </c>
      <c r="P75" s="80">
        <f>-AB75</f>
        <v>0</v>
      </c>
      <c r="Q75" s="80">
        <f>-AC75</f>
        <v>9.1800000000000007E-2</v>
      </c>
      <c r="R75" s="80">
        <f>-AC75</f>
        <v>9.1800000000000007E-2</v>
      </c>
      <c r="S75" s="80">
        <f>-AI75</f>
        <v>0.01</v>
      </c>
      <c r="T75" s="80">
        <f t="shared" ref="T75" si="143">-AJ75</f>
        <v>0</v>
      </c>
      <c r="U75" s="401">
        <f t="shared" ref="U75" si="144">-AQ75</f>
        <v>0</v>
      </c>
      <c r="V75" s="893">
        <v>0</v>
      </c>
      <c r="W75" s="387">
        <v>0</v>
      </c>
      <c r="X75" s="207">
        <v>0</v>
      </c>
      <c r="Y75" s="132">
        <v>0</v>
      </c>
      <c r="Z75" s="132">
        <v>0</v>
      </c>
      <c r="AA75" s="132">
        <v>-2.2499999999999998E-3</v>
      </c>
      <c r="AB75" s="207">
        <v>0</v>
      </c>
      <c r="AC75" s="207">
        <v>-9.1800000000000007E-2</v>
      </c>
      <c r="AD75" s="132">
        <v>0</v>
      </c>
      <c r="AE75" s="132">
        <v>0</v>
      </c>
      <c r="AF75" s="132">
        <v>-9.1800000000000007E-2</v>
      </c>
      <c r="AG75" s="132">
        <v>-9.1800000000000007E-2</v>
      </c>
      <c r="AH75" s="132">
        <v>-9.1800000000000007E-2</v>
      </c>
      <c r="AI75" s="623">
        <v>-0.01</v>
      </c>
      <c r="AJ75" s="207">
        <v>0</v>
      </c>
      <c r="AK75" s="367">
        <v>0</v>
      </c>
      <c r="AL75" s="367">
        <v>0</v>
      </c>
      <c r="AM75" s="367">
        <v>0</v>
      </c>
      <c r="AN75" s="367">
        <v>0</v>
      </c>
      <c r="AO75" s="295">
        <v>0</v>
      </c>
      <c r="AP75" s="295">
        <v>0</v>
      </c>
      <c r="AQ75" s="295">
        <v>0</v>
      </c>
      <c r="AR75" s="623">
        <v>0</v>
      </c>
      <c r="AS75" s="295">
        <f t="shared" ref="AS75" si="145">-AR75</f>
        <v>0</v>
      </c>
      <c r="AT75" s="562" t="s">
        <v>1936</v>
      </c>
    </row>
    <row r="76" spans="1:47" ht="18.5" collapsed="1" x14ac:dyDescent="0.35">
      <c r="A76" s="307" t="s">
        <v>51</v>
      </c>
      <c r="B76" s="616"/>
      <c r="C76" s="605"/>
      <c r="D76" s="126"/>
      <c r="E76" s="438"/>
      <c r="F76" s="487"/>
      <c r="G76" s="376" t="s">
        <v>1727</v>
      </c>
      <c r="H76" s="380" t="s">
        <v>1727</v>
      </c>
      <c r="I76" s="330"/>
      <c r="J76" s="507"/>
      <c r="K76" s="323">
        <f t="shared" ref="K76:AR76" si="146">K77+K79+K81+K83+K85+K87+K89+K94</f>
        <v>527.86486635289998</v>
      </c>
      <c r="L76" s="515">
        <f t="shared" si="146"/>
        <v>817.5</v>
      </c>
      <c r="M76" s="511">
        <f>M77+M79+M81+M83+M85+M87+M89+M94</f>
        <v>239.96399569000002</v>
      </c>
      <c r="N76" s="511">
        <f t="shared" si="146"/>
        <v>701.14931763999994</v>
      </c>
      <c r="O76" s="512">
        <f t="shared" si="146"/>
        <v>268.22719863999998</v>
      </c>
      <c r="P76" s="511">
        <f t="shared" ref="P76" si="147">P77+P79+P81+P83+P85+P87+P89+P94</f>
        <v>133.71341889289999</v>
      </c>
      <c r="Q76" s="511">
        <f>Q77+Q79+Q81+Q83+Q85+Q87+Q89+Q94</f>
        <v>230.28402262000003</v>
      </c>
      <c r="R76" s="511">
        <f>R77+R79+R81+R83+R85+R87+R89+R94</f>
        <v>109.28150362000001</v>
      </c>
      <c r="S76" s="511">
        <f>S77+S79+S81+S83+S85+S87+S89+S94</f>
        <v>76.861741370000004</v>
      </c>
      <c r="T76" s="511">
        <f t="shared" si="146"/>
        <v>31.90594815</v>
      </c>
      <c r="U76" s="513">
        <f t="shared" si="146"/>
        <v>13</v>
      </c>
      <c r="V76" s="574">
        <f t="shared" si="146"/>
        <v>-207</v>
      </c>
      <c r="W76" s="323">
        <f>W77+W79+W81+W83+W85+W87+W89+W94</f>
        <v>-81.687714698000008</v>
      </c>
      <c r="X76" s="511">
        <f t="shared" si="146"/>
        <v>-208.315719672</v>
      </c>
      <c r="Y76" s="514">
        <f t="shared" si="146"/>
        <v>-89.369986400000002</v>
      </c>
      <c r="Z76" s="514">
        <f t="shared" si="146"/>
        <v>-101.29031381</v>
      </c>
      <c r="AA76" s="514">
        <f t="shared" si="146"/>
        <v>-111.89144968000001</v>
      </c>
      <c r="AB76" s="511">
        <f t="shared" ref="AB76" si="148">AB77+AB79+AB81+AB83+AB85+AB87+AB89+AB94</f>
        <v>-91.726519613446044</v>
      </c>
      <c r="AC76" s="511">
        <f t="shared" si="146"/>
        <v>-88.844162620000006</v>
      </c>
      <c r="AD76" s="514">
        <f t="shared" si="146"/>
        <v>-20.29602049</v>
      </c>
      <c r="AE76" s="514">
        <f t="shared" ref="AE76" si="149">AE77+AE79+AE81+AE83+AE85+AE87+AE89+AE94</f>
        <v>-28.798262709999999</v>
      </c>
      <c r="AF76" s="514">
        <f t="shared" si="146"/>
        <v>-70.055048690000007</v>
      </c>
      <c r="AG76" s="514">
        <f t="shared" ref="AG76:AI76" si="150">AG77+AG79+AG81+AG83+AG85+AG87+AG89+AG94</f>
        <v>-55.277669690000003</v>
      </c>
      <c r="AH76" s="514">
        <f t="shared" si="150"/>
        <v>-55.277669690000003</v>
      </c>
      <c r="AI76" s="323">
        <f t="shared" si="150"/>
        <v>-72.810081370000006</v>
      </c>
      <c r="AJ76" s="511">
        <f t="shared" si="146"/>
        <v>-30.475948150000001</v>
      </c>
      <c r="AK76" s="638">
        <f t="shared" ref="AK76:AL76" si="151">AK77+AK79+AK81+AK83+AK85+AK87+AK89+AK94</f>
        <v>-21.33832876</v>
      </c>
      <c r="AL76" s="638">
        <f t="shared" si="151"/>
        <v>-21.33832876</v>
      </c>
      <c r="AM76" s="638">
        <f t="shared" ref="AM76:AP76" si="152">AM77+AM79+AM81+AM83+AM85+AM87+AM89+AM94</f>
        <v>-30.475948150000001</v>
      </c>
      <c r="AN76" s="638">
        <f t="shared" ref="AN76" si="153">AN77+AN79+AN81+AN83+AN85+AN87+AN89+AN94</f>
        <v>-30.475948150000001</v>
      </c>
      <c r="AO76" s="513">
        <f t="shared" si="152"/>
        <v>-11.31</v>
      </c>
      <c r="AP76" s="513">
        <f t="shared" si="152"/>
        <v>-8.6999999999999993</v>
      </c>
      <c r="AQ76" s="513">
        <f t="shared" si="146"/>
        <v>-6.96</v>
      </c>
      <c r="AR76" s="323">
        <f t="shared" si="146"/>
        <v>-17.748385657699998</v>
      </c>
      <c r="AS76" s="513">
        <f>AS77+AS79+AS81+AS83+AS85+AS87+AS89+AS94</f>
        <v>18.109197999999999</v>
      </c>
      <c r="AT76" s="414"/>
    </row>
    <row r="77" spans="1:47" ht="18.5" x14ac:dyDescent="0.45">
      <c r="A77" s="436">
        <v>1</v>
      </c>
      <c r="B77" s="617" t="s">
        <v>1926</v>
      </c>
      <c r="C77" s="599"/>
      <c r="D77" s="345"/>
      <c r="E77" s="429"/>
      <c r="F77" s="478"/>
      <c r="G77" s="378" t="s">
        <v>1727</v>
      </c>
      <c r="H77" s="379" t="s">
        <v>1727</v>
      </c>
      <c r="I77" s="346"/>
      <c r="J77" s="381"/>
      <c r="K77" s="347">
        <f t="shared" ref="K77:AS77" si="154">K78</f>
        <v>109.89999999999999</v>
      </c>
      <c r="L77" s="363">
        <f t="shared" si="154"/>
        <v>200</v>
      </c>
      <c r="M77" s="363">
        <f t="shared" si="154"/>
        <v>92.5</v>
      </c>
      <c r="N77" s="363">
        <f t="shared" si="154"/>
        <v>117.5</v>
      </c>
      <c r="O77" s="363">
        <f t="shared" si="154"/>
        <v>35</v>
      </c>
      <c r="P77" s="363">
        <f t="shared" si="154"/>
        <v>13.3</v>
      </c>
      <c r="Q77" s="363">
        <f t="shared" si="154"/>
        <v>30</v>
      </c>
      <c r="R77" s="363">
        <f t="shared" si="154"/>
        <v>4.0999999999999996</v>
      </c>
      <c r="S77" s="363">
        <f t="shared" si="154"/>
        <v>3.1</v>
      </c>
      <c r="T77" s="363">
        <f t="shared" si="154"/>
        <v>0</v>
      </c>
      <c r="U77" s="364">
        <f t="shared" si="154"/>
        <v>0</v>
      </c>
      <c r="V77" s="572">
        <f t="shared" si="154"/>
        <v>-60</v>
      </c>
      <c r="W77" s="347">
        <f t="shared" si="154"/>
        <v>-13.1165</v>
      </c>
      <c r="X77" s="363">
        <f t="shared" si="154"/>
        <v>-16.6615</v>
      </c>
      <c r="Y77" s="365">
        <f t="shared" si="154"/>
        <v>-10</v>
      </c>
      <c r="Z77" s="365">
        <f t="shared" si="154"/>
        <v>-4.9630000000000001</v>
      </c>
      <c r="AA77" s="567">
        <f t="shared" si="154"/>
        <v>-4.9630000000000001</v>
      </c>
      <c r="AB77" s="350">
        <f t="shared" si="154"/>
        <v>-1.8859400000000002</v>
      </c>
      <c r="AC77" s="363">
        <f t="shared" si="154"/>
        <v>-0.58138000000000001</v>
      </c>
      <c r="AD77" s="365">
        <f t="shared" si="154"/>
        <v>0</v>
      </c>
      <c r="AE77" s="467">
        <f t="shared" si="154"/>
        <v>0</v>
      </c>
      <c r="AF77" s="467">
        <f t="shared" si="154"/>
        <v>-4.2540000000000004</v>
      </c>
      <c r="AG77" s="467">
        <f t="shared" si="154"/>
        <v>-0.58138000000000001</v>
      </c>
      <c r="AH77" s="467">
        <f t="shared" si="154"/>
        <v>-0.58138000000000001</v>
      </c>
      <c r="AI77" s="347">
        <f t="shared" si="154"/>
        <v>-0.43958000000000003</v>
      </c>
      <c r="AJ77" s="363">
        <f t="shared" si="154"/>
        <v>0</v>
      </c>
      <c r="AK77" s="365">
        <f t="shared" si="154"/>
        <v>0</v>
      </c>
      <c r="AL77" s="365">
        <f t="shared" si="154"/>
        <v>0</v>
      </c>
      <c r="AM77" s="365">
        <f t="shared" si="154"/>
        <v>0</v>
      </c>
      <c r="AN77" s="365">
        <f t="shared" si="154"/>
        <v>0</v>
      </c>
      <c r="AO77" s="364">
        <f t="shared" si="154"/>
        <v>0</v>
      </c>
      <c r="AP77" s="364">
        <f t="shared" si="154"/>
        <v>0</v>
      </c>
      <c r="AQ77" s="364">
        <f t="shared" si="154"/>
        <v>0</v>
      </c>
      <c r="AR77" s="347">
        <f t="shared" si="154"/>
        <v>0</v>
      </c>
      <c r="AS77" s="364">
        <f t="shared" si="154"/>
        <v>0</v>
      </c>
      <c r="AT77" s="348"/>
    </row>
    <row r="78" spans="1:47" ht="72.650000000000006" hidden="1" customHeight="1" outlineLevel="1" x14ac:dyDescent="0.35">
      <c r="A78" s="308">
        <v>1</v>
      </c>
      <c r="B78" s="305" t="s">
        <v>8</v>
      </c>
      <c r="C78" s="606" t="s">
        <v>8</v>
      </c>
      <c r="D78" s="79" t="s">
        <v>500</v>
      </c>
      <c r="E78" s="432" t="s">
        <v>31</v>
      </c>
      <c r="F78" s="488" t="s">
        <v>1330</v>
      </c>
      <c r="G78" s="67" t="s">
        <v>216</v>
      </c>
      <c r="H78" s="305" t="s">
        <v>127</v>
      </c>
      <c r="I78" s="334"/>
      <c r="J78" s="286"/>
      <c r="K78" s="294">
        <f>M78+P78+U78+R78+T78</f>
        <v>109.89999999999999</v>
      </c>
      <c r="L78" s="386">
        <v>200</v>
      </c>
      <c r="M78" s="872">
        <v>92.5</v>
      </c>
      <c r="N78" s="872">
        <v>117.5</v>
      </c>
      <c r="O78" s="872">
        <v>35</v>
      </c>
      <c r="P78" s="872">
        <v>13.3</v>
      </c>
      <c r="Q78" s="872">
        <v>30</v>
      </c>
      <c r="R78" s="872">
        <v>4.0999999999999996</v>
      </c>
      <c r="S78" s="872">
        <v>3.1</v>
      </c>
      <c r="T78" s="872">
        <v>0</v>
      </c>
      <c r="U78" s="873">
        <v>0</v>
      </c>
      <c r="V78" s="900">
        <v>-60</v>
      </c>
      <c r="W78" s="901">
        <f>-M78*0.1418</f>
        <v>-13.1165</v>
      </c>
      <c r="X78" s="902">
        <f>-N78*0.1418</f>
        <v>-16.6615</v>
      </c>
      <c r="Y78" s="903">
        <v>-10</v>
      </c>
      <c r="Z78" s="903">
        <f>-O78*0.1418</f>
        <v>-4.9630000000000001</v>
      </c>
      <c r="AA78" s="904">
        <f>-O78*0.1418</f>
        <v>-4.9630000000000001</v>
      </c>
      <c r="AB78" s="207">
        <f>-P78*0.1418</f>
        <v>-1.8859400000000002</v>
      </c>
      <c r="AC78" s="898">
        <f>-R78*0.1418</f>
        <v>-0.58138000000000001</v>
      </c>
      <c r="AD78" s="903">
        <v>0</v>
      </c>
      <c r="AE78" s="904">
        <v>0</v>
      </c>
      <c r="AF78" s="904">
        <v>-4.2540000000000004</v>
      </c>
      <c r="AG78" s="904">
        <v>-0.58138000000000001</v>
      </c>
      <c r="AH78" s="904">
        <v>-0.58138000000000001</v>
      </c>
      <c r="AI78" s="387">
        <f>-S78*0.1418</f>
        <v>-0.43958000000000003</v>
      </c>
      <c r="AJ78" s="898">
        <v>0</v>
      </c>
      <c r="AK78" s="903">
        <v>0</v>
      </c>
      <c r="AL78" s="903">
        <v>0</v>
      </c>
      <c r="AM78" s="903">
        <v>0</v>
      </c>
      <c r="AN78" s="903">
        <v>0</v>
      </c>
      <c r="AO78" s="905">
        <v>0</v>
      </c>
      <c r="AP78" s="905">
        <v>0</v>
      </c>
      <c r="AQ78" s="905">
        <v>0</v>
      </c>
      <c r="AR78" s="387">
        <v>0</v>
      </c>
      <c r="AS78" s="936">
        <v>0</v>
      </c>
      <c r="AT78" s="408" t="s">
        <v>596</v>
      </c>
      <c r="AU78" s="22"/>
    </row>
    <row r="79" spans="1:47" ht="18.5" collapsed="1" x14ac:dyDescent="0.35">
      <c r="A79" s="436">
        <v>2</v>
      </c>
      <c r="B79" s="618" t="s">
        <v>4</v>
      </c>
      <c r="C79" s="599"/>
      <c r="D79" s="345"/>
      <c r="E79" s="429"/>
      <c r="F79" s="478"/>
      <c r="G79" s="378" t="s">
        <v>1727</v>
      </c>
      <c r="H79" s="379" t="s">
        <v>1727</v>
      </c>
      <c r="I79" s="346"/>
      <c r="J79" s="381"/>
      <c r="K79" s="347">
        <f t="shared" ref="K79" si="155">K80</f>
        <v>106.6</v>
      </c>
      <c r="L79" s="363">
        <f t="shared" ref="L79" si="156">L80</f>
        <v>93</v>
      </c>
      <c r="M79" s="363">
        <f t="shared" ref="M79" si="157">M80</f>
        <v>91.8</v>
      </c>
      <c r="N79" s="363">
        <f t="shared" ref="N79" si="158">N80</f>
        <v>248.2</v>
      </c>
      <c r="O79" s="363">
        <f t="shared" ref="O79:P79" si="159">O80</f>
        <v>35</v>
      </c>
      <c r="P79" s="363">
        <f t="shared" si="159"/>
        <v>14.8</v>
      </c>
      <c r="Q79" s="363">
        <f t="shared" ref="Q79:S79" si="160">Q80</f>
        <v>5</v>
      </c>
      <c r="R79" s="363">
        <f t="shared" si="160"/>
        <v>0</v>
      </c>
      <c r="S79" s="363">
        <f t="shared" si="160"/>
        <v>0</v>
      </c>
      <c r="T79" s="363">
        <f t="shared" ref="T79" si="161">T80</f>
        <v>0</v>
      </c>
      <c r="U79" s="364">
        <f t="shared" ref="U79" si="162">U80</f>
        <v>0</v>
      </c>
      <c r="V79" s="572">
        <f t="shared" ref="V79" si="163">V80</f>
        <v>-22.5</v>
      </c>
      <c r="W79" s="347">
        <f t="shared" ref="W79" si="164">W80</f>
        <v>-17.717400000000001</v>
      </c>
      <c r="X79" s="363">
        <f t="shared" ref="X79" si="165">X80</f>
        <v>-47.9026</v>
      </c>
      <c r="Y79" s="365">
        <f t="shared" ref="Y79" si="166">Y80</f>
        <v>0</v>
      </c>
      <c r="Z79" s="365">
        <f t="shared" ref="Z79" si="167">Z80</f>
        <v>-6.7549999999999999</v>
      </c>
      <c r="AA79" s="567">
        <f t="shared" ref="AA79:AB79" si="168">AA80</f>
        <v>-6.7549999999999999</v>
      </c>
      <c r="AB79" s="350">
        <f t="shared" si="168"/>
        <v>-2.8564000000000003</v>
      </c>
      <c r="AC79" s="363">
        <f t="shared" ref="AC79" si="169">AC80</f>
        <v>0</v>
      </c>
      <c r="AD79" s="365">
        <f t="shared" ref="AD79" si="170">AD80</f>
        <v>0</v>
      </c>
      <c r="AE79" s="467">
        <f t="shared" ref="AE79:AI79" si="171">AE80</f>
        <v>0</v>
      </c>
      <c r="AF79" s="467">
        <f t="shared" si="171"/>
        <v>-0.96500000000000008</v>
      </c>
      <c r="AG79" s="467">
        <f t="shared" si="171"/>
        <v>0</v>
      </c>
      <c r="AH79" s="467">
        <f t="shared" si="171"/>
        <v>0</v>
      </c>
      <c r="AI79" s="347">
        <f t="shared" si="171"/>
        <v>0</v>
      </c>
      <c r="AJ79" s="363">
        <f t="shared" ref="AJ79:AN79" si="172">AJ80</f>
        <v>0</v>
      </c>
      <c r="AK79" s="365">
        <f t="shared" si="172"/>
        <v>0</v>
      </c>
      <c r="AL79" s="365">
        <f t="shared" si="172"/>
        <v>0</v>
      </c>
      <c r="AM79" s="365">
        <f t="shared" si="172"/>
        <v>0</v>
      </c>
      <c r="AN79" s="365">
        <f t="shared" si="172"/>
        <v>0</v>
      </c>
      <c r="AO79" s="364">
        <f t="shared" ref="AO79:AQ79" si="173">AO80</f>
        <v>0</v>
      </c>
      <c r="AP79" s="364">
        <f t="shared" si="173"/>
        <v>0</v>
      </c>
      <c r="AQ79" s="364">
        <f t="shared" si="173"/>
        <v>0</v>
      </c>
      <c r="AR79" s="347">
        <f t="shared" ref="AR79" si="174">AR80</f>
        <v>0</v>
      </c>
      <c r="AS79" s="364">
        <f>AS80</f>
        <v>0</v>
      </c>
      <c r="AT79" s="348"/>
      <c r="AU79" s="22"/>
    </row>
    <row r="80" spans="1:47" ht="130.5" hidden="1" customHeight="1" outlineLevel="1" x14ac:dyDescent="0.35">
      <c r="A80" s="590">
        <v>1</v>
      </c>
      <c r="B80" s="619" t="s">
        <v>4</v>
      </c>
      <c r="C80" s="606" t="s">
        <v>4</v>
      </c>
      <c r="D80" s="79" t="s">
        <v>500</v>
      </c>
      <c r="E80" s="432" t="s">
        <v>32</v>
      </c>
      <c r="F80" s="489" t="s">
        <v>34</v>
      </c>
      <c r="G80" s="67" t="s">
        <v>216</v>
      </c>
      <c r="H80" s="305" t="s">
        <v>127</v>
      </c>
      <c r="I80" s="334"/>
      <c r="J80" s="286"/>
      <c r="K80" s="294">
        <f>M80+P80+U80+R80+T80</f>
        <v>106.6</v>
      </c>
      <c r="L80" s="181">
        <v>93</v>
      </c>
      <c r="M80" s="94">
        <v>91.8</v>
      </c>
      <c r="N80" s="94">
        <v>248.2</v>
      </c>
      <c r="O80" s="94">
        <v>35</v>
      </c>
      <c r="P80" s="94">
        <v>14.8</v>
      </c>
      <c r="Q80" s="94">
        <v>5</v>
      </c>
      <c r="R80" s="94">
        <v>0</v>
      </c>
      <c r="S80" s="94">
        <v>0</v>
      </c>
      <c r="T80" s="94">
        <v>0</v>
      </c>
      <c r="U80" s="402">
        <v>0</v>
      </c>
      <c r="V80" s="900">
        <v>-22.5</v>
      </c>
      <c r="W80" s="901">
        <f>-M80*0.193</f>
        <v>-17.717400000000001</v>
      </c>
      <c r="X80" s="902">
        <f>-N80*0.193</f>
        <v>-47.9026</v>
      </c>
      <c r="Y80" s="903">
        <v>0</v>
      </c>
      <c r="Z80" s="903">
        <f>-O80*0.193</f>
        <v>-6.7549999999999999</v>
      </c>
      <c r="AA80" s="904">
        <f>-O80*0.193</f>
        <v>-6.7549999999999999</v>
      </c>
      <c r="AB80" s="207">
        <f>-P80*0.193</f>
        <v>-2.8564000000000003</v>
      </c>
      <c r="AC80" s="207">
        <f>-R80*0.193</f>
        <v>0</v>
      </c>
      <c r="AD80" s="903">
        <v>0</v>
      </c>
      <c r="AE80" s="904">
        <v>0</v>
      </c>
      <c r="AF80" s="904">
        <v>-0.96500000000000008</v>
      </c>
      <c r="AG80" s="904">
        <v>0</v>
      </c>
      <c r="AH80" s="904">
        <v>0</v>
      </c>
      <c r="AI80" s="387">
        <f>-AJ80*0.193</f>
        <v>0</v>
      </c>
      <c r="AJ80" s="898">
        <v>0</v>
      </c>
      <c r="AK80" s="903">
        <v>0</v>
      </c>
      <c r="AL80" s="903">
        <v>0</v>
      </c>
      <c r="AM80" s="903">
        <v>0</v>
      </c>
      <c r="AN80" s="903">
        <v>0</v>
      </c>
      <c r="AO80" s="905">
        <v>0</v>
      </c>
      <c r="AP80" s="905">
        <v>0</v>
      </c>
      <c r="AQ80" s="905">
        <v>0</v>
      </c>
      <c r="AR80" s="387">
        <f>-AS80*0.193</f>
        <v>0</v>
      </c>
      <c r="AS80" s="936">
        <v>0</v>
      </c>
      <c r="AT80" s="408" t="s">
        <v>502</v>
      </c>
    </row>
    <row r="81" spans="1:46" ht="18.5" collapsed="1" x14ac:dyDescent="0.35">
      <c r="A81" s="436">
        <v>3</v>
      </c>
      <c r="B81" s="618" t="s">
        <v>1718</v>
      </c>
      <c r="C81" s="599"/>
      <c r="D81" s="345"/>
      <c r="E81" s="429"/>
      <c r="F81" s="478"/>
      <c r="G81" s="378" t="s">
        <v>1727</v>
      </c>
      <c r="H81" s="379" t="s">
        <v>1727</v>
      </c>
      <c r="I81" s="346"/>
      <c r="J81" s="381"/>
      <c r="K81" s="347">
        <f t="shared" ref="K81" si="175">K82</f>
        <v>3.098881</v>
      </c>
      <c r="L81" s="363">
        <f t="shared" ref="L81" si="176">L82</f>
        <v>300</v>
      </c>
      <c r="M81" s="363">
        <f t="shared" ref="M81" si="177">M82</f>
        <v>3.0398809999999998</v>
      </c>
      <c r="N81" s="363">
        <f t="shared" ref="N81" si="178">N82</f>
        <v>104.96011900000002</v>
      </c>
      <c r="O81" s="363">
        <f t="shared" ref="O81:P81" si="179">O82</f>
        <v>1.5</v>
      </c>
      <c r="P81" s="363">
        <f t="shared" si="179"/>
        <v>5.8999999999999997E-2</v>
      </c>
      <c r="Q81" s="363">
        <f t="shared" ref="Q81:S81" si="180">Q82</f>
        <v>0</v>
      </c>
      <c r="R81" s="363">
        <f t="shared" si="180"/>
        <v>0</v>
      </c>
      <c r="S81" s="363">
        <f t="shared" si="180"/>
        <v>0</v>
      </c>
      <c r="T81" s="363">
        <f t="shared" ref="T81" si="181">T82</f>
        <v>0</v>
      </c>
      <c r="U81" s="364">
        <f t="shared" ref="U81" si="182">U82</f>
        <v>0</v>
      </c>
      <c r="V81" s="572">
        <f t="shared" ref="V81" si="183">V82</f>
        <v>-25</v>
      </c>
      <c r="W81" s="347">
        <f t="shared" ref="W81" si="184">W82</f>
        <v>-0.51070000800000004</v>
      </c>
      <c r="X81" s="363">
        <f t="shared" ref="X81" si="185">X82</f>
        <v>-17.633299992000005</v>
      </c>
      <c r="Y81" s="365">
        <f t="shared" ref="Y81" si="186">Y82</f>
        <v>0</v>
      </c>
      <c r="Z81" s="365">
        <f t="shared" ref="Z81" si="187">Z82</f>
        <v>-0.252</v>
      </c>
      <c r="AA81" s="567">
        <f t="shared" ref="AA81:AB81" si="188">AA82</f>
        <v>-0.252</v>
      </c>
      <c r="AB81" s="350">
        <f t="shared" si="188"/>
        <v>-9.9120000000000007E-3</v>
      </c>
      <c r="AC81" s="363">
        <f t="shared" ref="AC81" si="189">AC82</f>
        <v>0</v>
      </c>
      <c r="AD81" s="365">
        <f t="shared" ref="AD81" si="190">AD82</f>
        <v>0</v>
      </c>
      <c r="AE81" s="467">
        <f t="shared" ref="AE81:AI81" si="191">AE82</f>
        <v>0</v>
      </c>
      <c r="AF81" s="467">
        <f t="shared" si="191"/>
        <v>0</v>
      </c>
      <c r="AG81" s="467">
        <f t="shared" si="191"/>
        <v>0</v>
      </c>
      <c r="AH81" s="467">
        <f t="shared" si="191"/>
        <v>0</v>
      </c>
      <c r="AI81" s="347">
        <f t="shared" si="191"/>
        <v>0</v>
      </c>
      <c r="AJ81" s="363">
        <f t="shared" ref="AJ81:AN81" si="192">AJ82</f>
        <v>0</v>
      </c>
      <c r="AK81" s="365">
        <f t="shared" si="192"/>
        <v>0</v>
      </c>
      <c r="AL81" s="365">
        <f t="shared" si="192"/>
        <v>0</v>
      </c>
      <c r="AM81" s="365">
        <f t="shared" si="192"/>
        <v>0</v>
      </c>
      <c r="AN81" s="365">
        <f t="shared" si="192"/>
        <v>0</v>
      </c>
      <c r="AO81" s="364">
        <f t="shared" ref="AO81:AQ81" si="193">AO82</f>
        <v>0</v>
      </c>
      <c r="AP81" s="364">
        <f t="shared" si="193"/>
        <v>0</v>
      </c>
      <c r="AQ81" s="364">
        <f t="shared" si="193"/>
        <v>0</v>
      </c>
      <c r="AR81" s="347">
        <f t="shared" ref="AR81" si="194">AR82</f>
        <v>0</v>
      </c>
      <c r="AS81" s="364">
        <f t="shared" ref="AS81" si="195">AS82</f>
        <v>0</v>
      </c>
      <c r="AT81" s="348"/>
    </row>
    <row r="82" spans="1:46" ht="130.5" hidden="1" customHeight="1" outlineLevel="1" x14ac:dyDescent="0.35">
      <c r="A82" s="590">
        <v>1</v>
      </c>
      <c r="B82" s="619" t="s">
        <v>5</v>
      </c>
      <c r="C82" s="606" t="s">
        <v>5</v>
      </c>
      <c r="D82" s="79" t="s">
        <v>500</v>
      </c>
      <c r="E82" s="432" t="s">
        <v>33</v>
      </c>
      <c r="F82" s="490" t="s">
        <v>61</v>
      </c>
      <c r="G82" s="67" t="s">
        <v>216</v>
      </c>
      <c r="H82" s="305" t="s">
        <v>127</v>
      </c>
      <c r="I82" s="334"/>
      <c r="J82" s="286"/>
      <c r="K82" s="294">
        <f>M82+P82+U82+R82+T82</f>
        <v>3.098881</v>
      </c>
      <c r="L82" s="386">
        <v>300</v>
      </c>
      <c r="M82" s="872">
        <v>3.0398809999999998</v>
      </c>
      <c r="N82" s="872">
        <f>300-3.039881-(300*0.64)</f>
        <v>104.96011900000002</v>
      </c>
      <c r="O82" s="872">
        <v>1.5</v>
      </c>
      <c r="P82" s="872">
        <v>5.8999999999999997E-2</v>
      </c>
      <c r="Q82" s="872">
        <v>0</v>
      </c>
      <c r="R82" s="872">
        <v>0</v>
      </c>
      <c r="S82" s="872">
        <v>0</v>
      </c>
      <c r="T82" s="872">
        <v>0</v>
      </c>
      <c r="U82" s="873">
        <v>0</v>
      </c>
      <c r="V82" s="900">
        <v>-25</v>
      </c>
      <c r="W82" s="901">
        <f>-M82*0.168</f>
        <v>-0.51070000800000004</v>
      </c>
      <c r="X82" s="902">
        <f>-N82*0.168</f>
        <v>-17.633299992000005</v>
      </c>
      <c r="Y82" s="903">
        <v>0</v>
      </c>
      <c r="Z82" s="903">
        <f>-O82*0.168</f>
        <v>-0.252</v>
      </c>
      <c r="AA82" s="904">
        <f>-O82*0.168</f>
        <v>-0.252</v>
      </c>
      <c r="AB82" s="207">
        <f>-P82*0.168</f>
        <v>-9.9120000000000007E-3</v>
      </c>
      <c r="AC82" s="898">
        <v>0</v>
      </c>
      <c r="AD82" s="903">
        <v>0</v>
      </c>
      <c r="AE82" s="904">
        <v>0</v>
      </c>
      <c r="AF82" s="904">
        <v>0</v>
      </c>
      <c r="AG82" s="904">
        <v>0</v>
      </c>
      <c r="AH82" s="904">
        <v>0</v>
      </c>
      <c r="AI82" s="387">
        <f>-AJ82*0.168</f>
        <v>0</v>
      </c>
      <c r="AJ82" s="898">
        <v>0</v>
      </c>
      <c r="AK82" s="903">
        <v>0</v>
      </c>
      <c r="AL82" s="903">
        <v>0</v>
      </c>
      <c r="AM82" s="903">
        <v>0</v>
      </c>
      <c r="AN82" s="903">
        <v>0</v>
      </c>
      <c r="AO82" s="905">
        <v>0</v>
      </c>
      <c r="AP82" s="905">
        <v>0</v>
      </c>
      <c r="AQ82" s="905">
        <v>0</v>
      </c>
      <c r="AR82" s="387">
        <v>0</v>
      </c>
      <c r="AS82" s="936">
        <v>0</v>
      </c>
      <c r="AT82" s="408" t="s">
        <v>503</v>
      </c>
    </row>
    <row r="83" spans="1:46" ht="18.5" collapsed="1" x14ac:dyDescent="0.35">
      <c r="A83" s="436">
        <v>4</v>
      </c>
      <c r="B83" s="618" t="s">
        <v>542</v>
      </c>
      <c r="C83" s="599"/>
      <c r="D83" s="345"/>
      <c r="E83" s="429"/>
      <c r="F83" s="478"/>
      <c r="G83" s="378" t="s">
        <v>1727</v>
      </c>
      <c r="H83" s="379" t="s">
        <v>1727</v>
      </c>
      <c r="I83" s="346"/>
      <c r="J83" s="381"/>
      <c r="K83" s="347">
        <f t="shared" ref="K83" si="196">K84</f>
        <v>23.2881</v>
      </c>
      <c r="L83" s="363">
        <f t="shared" ref="L83" si="197">L84</f>
        <v>25</v>
      </c>
      <c r="M83" s="363">
        <f t="shared" ref="M83" si="198">M84</f>
        <v>0</v>
      </c>
      <c r="N83" s="363">
        <f t="shared" ref="N83" si="199">N84</f>
        <v>50</v>
      </c>
      <c r="O83" s="363">
        <f t="shared" ref="O83:P83" si="200">O84</f>
        <v>24.45</v>
      </c>
      <c r="P83" s="363">
        <f t="shared" si="200"/>
        <v>16.088100000000001</v>
      </c>
      <c r="Q83" s="363">
        <f t="shared" ref="Q83:S83" si="201">Q84</f>
        <v>18.899999999999999</v>
      </c>
      <c r="R83" s="363">
        <f t="shared" si="201"/>
        <v>7.2</v>
      </c>
      <c r="S83" s="363">
        <f t="shared" si="201"/>
        <v>1.3</v>
      </c>
      <c r="T83" s="363">
        <f t="shared" ref="T83" si="202">T84</f>
        <v>0</v>
      </c>
      <c r="U83" s="364">
        <f t="shared" ref="U83" si="203">U84</f>
        <v>0</v>
      </c>
      <c r="V83" s="572">
        <f t="shared" ref="V83" si="204">V84</f>
        <v>0</v>
      </c>
      <c r="W83" s="347">
        <f t="shared" ref="W83" si="205">W84</f>
        <v>0</v>
      </c>
      <c r="X83" s="363">
        <f t="shared" ref="X83" si="206">X84</f>
        <v>0</v>
      </c>
      <c r="Y83" s="365">
        <f t="shared" ref="Y83" si="207">Y84</f>
        <v>0</v>
      </c>
      <c r="Z83" s="365">
        <f t="shared" ref="Z83" si="208">Z84</f>
        <v>0</v>
      </c>
      <c r="AA83" s="567">
        <f t="shared" ref="AA83:AB83" si="209">AA84</f>
        <v>0</v>
      </c>
      <c r="AB83" s="350">
        <f t="shared" si="209"/>
        <v>0</v>
      </c>
      <c r="AC83" s="363">
        <f t="shared" ref="AC83" si="210">AC84</f>
        <v>18.899999999999999</v>
      </c>
      <c r="AD83" s="365">
        <f t="shared" ref="AD83" si="211">AD84</f>
        <v>0</v>
      </c>
      <c r="AE83" s="467">
        <f t="shared" ref="AE83:AI83" si="212">AE84</f>
        <v>0</v>
      </c>
      <c r="AF83" s="467">
        <f t="shared" si="212"/>
        <v>0</v>
      </c>
      <c r="AG83" s="467">
        <f t="shared" si="212"/>
        <v>0</v>
      </c>
      <c r="AH83" s="467">
        <f t="shared" si="212"/>
        <v>0</v>
      </c>
      <c r="AI83" s="347">
        <f t="shared" si="212"/>
        <v>0</v>
      </c>
      <c r="AJ83" s="363">
        <f t="shared" ref="AJ83:AN83" si="213">AJ84</f>
        <v>0</v>
      </c>
      <c r="AK83" s="365">
        <f t="shared" si="213"/>
        <v>0</v>
      </c>
      <c r="AL83" s="365">
        <f t="shared" si="213"/>
        <v>0</v>
      </c>
      <c r="AM83" s="365">
        <f t="shared" si="213"/>
        <v>0</v>
      </c>
      <c r="AN83" s="365">
        <f t="shared" si="213"/>
        <v>0</v>
      </c>
      <c r="AO83" s="364">
        <f t="shared" ref="AO83:AQ83" si="214">AO84</f>
        <v>0</v>
      </c>
      <c r="AP83" s="364">
        <f t="shared" si="214"/>
        <v>0</v>
      </c>
      <c r="AQ83" s="364">
        <f t="shared" si="214"/>
        <v>0</v>
      </c>
      <c r="AR83" s="347">
        <f t="shared" ref="AR83" si="215">AR84</f>
        <v>0</v>
      </c>
      <c r="AS83" s="364">
        <f t="shared" ref="AS83" si="216">AS84</f>
        <v>0</v>
      </c>
      <c r="AT83" s="348"/>
    </row>
    <row r="84" spans="1:46" ht="116.15" hidden="1" customHeight="1" outlineLevel="1" x14ac:dyDescent="0.35">
      <c r="A84" s="590">
        <v>1</v>
      </c>
      <c r="B84" s="619" t="s">
        <v>542</v>
      </c>
      <c r="C84" s="596" t="s">
        <v>542</v>
      </c>
      <c r="D84" s="63" t="s">
        <v>555</v>
      </c>
      <c r="E84" s="432" t="s">
        <v>311</v>
      </c>
      <c r="F84" s="480" t="s">
        <v>217</v>
      </c>
      <c r="G84" s="67" t="s">
        <v>216</v>
      </c>
      <c r="H84" s="305" t="s">
        <v>127</v>
      </c>
      <c r="I84" s="334"/>
      <c r="J84" s="284"/>
      <c r="K84" s="294">
        <f>M84+P84+U84+R84+T84</f>
        <v>23.2881</v>
      </c>
      <c r="L84" s="182">
        <v>25</v>
      </c>
      <c r="M84" s="80">
        <v>0</v>
      </c>
      <c r="N84" s="80">
        <v>50</v>
      </c>
      <c r="O84" s="80">
        <f>50*0.489</f>
        <v>24.45</v>
      </c>
      <c r="P84" s="906">
        <f>32.9*0.489</f>
        <v>16.088100000000001</v>
      </c>
      <c r="Q84" s="624">
        <v>18.899999999999999</v>
      </c>
      <c r="R84" s="624">
        <v>7.2</v>
      </c>
      <c r="S84" s="624">
        <v>1.3</v>
      </c>
      <c r="T84" s="80">
        <v>0</v>
      </c>
      <c r="U84" s="401">
        <v>0</v>
      </c>
      <c r="V84" s="573">
        <v>0</v>
      </c>
      <c r="W84" s="326">
        <v>0</v>
      </c>
      <c r="X84" s="75">
        <v>0</v>
      </c>
      <c r="Y84" s="367">
        <v>0</v>
      </c>
      <c r="Z84" s="367">
        <v>0</v>
      </c>
      <c r="AA84" s="468">
        <v>0</v>
      </c>
      <c r="AB84" s="207">
        <v>0</v>
      </c>
      <c r="AC84" s="898">
        <v>18.899999999999999</v>
      </c>
      <c r="AD84" s="367">
        <v>0</v>
      </c>
      <c r="AE84" s="468">
        <v>0</v>
      </c>
      <c r="AF84" s="468">
        <v>0</v>
      </c>
      <c r="AG84" s="468">
        <v>0</v>
      </c>
      <c r="AH84" s="468">
        <v>0</v>
      </c>
      <c r="AI84" s="387">
        <v>0</v>
      </c>
      <c r="AJ84" s="207">
        <v>0</v>
      </c>
      <c r="AK84" s="367">
        <v>0</v>
      </c>
      <c r="AL84" s="367">
        <v>0</v>
      </c>
      <c r="AM84" s="367">
        <v>0</v>
      </c>
      <c r="AN84" s="367">
        <v>0</v>
      </c>
      <c r="AO84" s="295">
        <v>0</v>
      </c>
      <c r="AP84" s="295">
        <v>0</v>
      </c>
      <c r="AQ84" s="295">
        <v>0</v>
      </c>
      <c r="AR84" s="387">
        <v>0</v>
      </c>
      <c r="AS84" s="937">
        <v>0</v>
      </c>
      <c r="AT84" s="411" t="s">
        <v>1546</v>
      </c>
    </row>
    <row r="85" spans="1:46" ht="18.5" collapsed="1" x14ac:dyDescent="0.35">
      <c r="A85" s="436">
        <v>5</v>
      </c>
      <c r="B85" s="618" t="s">
        <v>508</v>
      </c>
      <c r="C85" s="599"/>
      <c r="D85" s="345"/>
      <c r="E85" s="429"/>
      <c r="F85" s="478"/>
      <c r="G85" s="378" t="s">
        <v>1727</v>
      </c>
      <c r="H85" s="379" t="s">
        <v>1727</v>
      </c>
      <c r="I85" s="346"/>
      <c r="J85" s="381"/>
      <c r="K85" s="347">
        <f t="shared" ref="K85" si="217">K86</f>
        <v>5.3313144229000002</v>
      </c>
      <c r="L85" s="363">
        <f t="shared" ref="L85" si="218">L86</f>
        <v>4.5</v>
      </c>
      <c r="M85" s="363">
        <f t="shared" ref="M85" si="219">M86</f>
        <v>2.5</v>
      </c>
      <c r="N85" s="363">
        <f t="shared" ref="N85" si="220">N86</f>
        <v>4.2119999999999997</v>
      </c>
      <c r="O85" s="363">
        <f t="shared" ref="O85:P85" si="221">O86</f>
        <v>2</v>
      </c>
      <c r="P85" s="363">
        <f t="shared" si="221"/>
        <v>2.7313144229000001</v>
      </c>
      <c r="Q85" s="363">
        <f t="shared" ref="Q85:S85" si="222">Q86</f>
        <v>10</v>
      </c>
      <c r="R85" s="363">
        <f t="shared" si="222"/>
        <v>0.1</v>
      </c>
      <c r="S85" s="363">
        <f t="shared" si="222"/>
        <v>0.1</v>
      </c>
      <c r="T85" s="363">
        <f t="shared" ref="T85" si="223">T86</f>
        <v>0</v>
      </c>
      <c r="U85" s="364">
        <f t="shared" ref="U85" si="224">U86</f>
        <v>0</v>
      </c>
      <c r="V85" s="572">
        <f t="shared" ref="V85" si="225">V86</f>
        <v>-4.5</v>
      </c>
      <c r="W85" s="347">
        <f t="shared" ref="W85" si="226">W86</f>
        <v>-0.219</v>
      </c>
      <c r="X85" s="363">
        <f t="shared" ref="X85" si="227">X86</f>
        <v>-0.40612103999999999</v>
      </c>
      <c r="Y85" s="365">
        <f t="shared" ref="Y85" si="228">Y86</f>
        <v>-2</v>
      </c>
      <c r="Z85" s="365">
        <f t="shared" ref="Z85" si="229">Z86</f>
        <v>-2</v>
      </c>
      <c r="AA85" s="567">
        <f t="shared" ref="AA85:AB85" si="230">AA86</f>
        <v>-0.40612103999999999</v>
      </c>
      <c r="AB85" s="350">
        <f t="shared" si="230"/>
        <v>-0.23926314344603999</v>
      </c>
      <c r="AC85" s="363">
        <f t="shared" ref="AC85" si="231">AC86</f>
        <v>-8.7600000000000004E-3</v>
      </c>
      <c r="AD85" s="365">
        <f t="shared" ref="AD85" si="232">AD86</f>
        <v>0</v>
      </c>
      <c r="AE85" s="467">
        <f t="shared" ref="AE85:AF85" si="233">AE86</f>
        <v>0</v>
      </c>
      <c r="AF85" s="467">
        <f t="shared" si="233"/>
        <v>-0.876</v>
      </c>
      <c r="AG85" s="467">
        <f>AG86</f>
        <v>-8.7600000000000004E-3</v>
      </c>
      <c r="AH85" s="467">
        <f>AH86</f>
        <v>-8.7600000000000004E-3</v>
      </c>
      <c r="AI85" s="347">
        <f t="shared" ref="AI85" si="234">AI86</f>
        <v>-8.7600000000000004E-3</v>
      </c>
      <c r="AJ85" s="363">
        <f t="shared" ref="AJ85:AN85" si="235">AJ86</f>
        <v>0</v>
      </c>
      <c r="AK85" s="365">
        <f t="shared" si="235"/>
        <v>0</v>
      </c>
      <c r="AL85" s="365">
        <f t="shared" si="235"/>
        <v>0</v>
      </c>
      <c r="AM85" s="365">
        <f t="shared" si="235"/>
        <v>0</v>
      </c>
      <c r="AN85" s="365">
        <f t="shared" si="235"/>
        <v>0</v>
      </c>
      <c r="AO85" s="364">
        <f t="shared" ref="AO85:AQ85" si="236">AO86</f>
        <v>0</v>
      </c>
      <c r="AP85" s="364">
        <f t="shared" si="236"/>
        <v>0</v>
      </c>
      <c r="AQ85" s="364">
        <f t="shared" si="236"/>
        <v>0</v>
      </c>
      <c r="AR85" s="347">
        <f t="shared" ref="AR85" si="237">AR86</f>
        <v>0</v>
      </c>
      <c r="AS85" s="364">
        <f t="shared" ref="AS85" si="238">AS86</f>
        <v>0</v>
      </c>
      <c r="AT85" s="348"/>
    </row>
    <row r="86" spans="1:46" ht="101.5" hidden="1" customHeight="1" outlineLevel="1" x14ac:dyDescent="0.35">
      <c r="A86" s="590">
        <v>1</v>
      </c>
      <c r="B86" s="619" t="s">
        <v>508</v>
      </c>
      <c r="C86" s="596" t="s">
        <v>508</v>
      </c>
      <c r="D86" s="63" t="s">
        <v>564</v>
      </c>
      <c r="E86" s="432" t="s">
        <v>565</v>
      </c>
      <c r="F86" s="480" t="s">
        <v>509</v>
      </c>
      <c r="G86" s="67" t="s">
        <v>216</v>
      </c>
      <c r="H86" s="305" t="s">
        <v>127</v>
      </c>
      <c r="I86" s="334"/>
      <c r="J86" s="284"/>
      <c r="K86" s="294">
        <f>M86+P86+U86+R86+T86</f>
        <v>5.3313144229000002</v>
      </c>
      <c r="L86" s="182">
        <v>4.5</v>
      </c>
      <c r="M86" s="80">
        <v>2.5</v>
      </c>
      <c r="N86" s="80">
        <f>7.5*0.5616</f>
        <v>4.2119999999999997</v>
      </c>
      <c r="O86" s="80">
        <v>2</v>
      </c>
      <c r="P86" s="80">
        <v>2.7313144229000001</v>
      </c>
      <c r="Q86" s="80">
        <v>10</v>
      </c>
      <c r="R86" s="80">
        <v>0.1</v>
      </c>
      <c r="S86" s="80">
        <v>0.1</v>
      </c>
      <c r="T86" s="80">
        <f>-AJ86</f>
        <v>0</v>
      </c>
      <c r="U86" s="401">
        <f>-AQ86</f>
        <v>0</v>
      </c>
      <c r="V86" s="573">
        <v>-4.5</v>
      </c>
      <c r="W86" s="901">
        <f>-M86*0.0876</f>
        <v>-0.219</v>
      </c>
      <c r="X86" s="898">
        <f>-N86*0.09642</f>
        <v>-0.40612103999999999</v>
      </c>
      <c r="Y86" s="367">
        <v>-2</v>
      </c>
      <c r="Z86" s="367">
        <v>-2</v>
      </c>
      <c r="AA86" s="468">
        <v>-0.40612103999999999</v>
      </c>
      <c r="AB86" s="207">
        <f>-P86*0.0876</f>
        <v>-0.23926314344603999</v>
      </c>
      <c r="AC86" s="207">
        <f>-R86*0.0876</f>
        <v>-8.7600000000000004E-3</v>
      </c>
      <c r="AD86" s="367">
        <v>0</v>
      </c>
      <c r="AE86" s="468">
        <v>0</v>
      </c>
      <c r="AF86" s="468">
        <v>-0.876</v>
      </c>
      <c r="AG86" s="468">
        <v>-8.7600000000000004E-3</v>
      </c>
      <c r="AH86" s="468">
        <v>-8.7600000000000004E-3</v>
      </c>
      <c r="AI86" s="387">
        <v>-8.7600000000000004E-3</v>
      </c>
      <c r="AJ86" s="207">
        <v>0</v>
      </c>
      <c r="AK86" s="367">
        <v>0</v>
      </c>
      <c r="AL86" s="367">
        <v>0</v>
      </c>
      <c r="AM86" s="367">
        <v>0</v>
      </c>
      <c r="AN86" s="367">
        <v>0</v>
      </c>
      <c r="AO86" s="295">
        <v>0</v>
      </c>
      <c r="AP86" s="295">
        <v>0</v>
      </c>
      <c r="AQ86" s="295">
        <v>0</v>
      </c>
      <c r="AR86" s="387">
        <v>0</v>
      </c>
      <c r="AS86" s="896">
        <v>0</v>
      </c>
      <c r="AT86" s="411" t="s">
        <v>510</v>
      </c>
    </row>
    <row r="87" spans="1:46" ht="37" collapsed="1" x14ac:dyDescent="0.35">
      <c r="A87" s="430">
        <v>6</v>
      </c>
      <c r="B87" s="618" t="s">
        <v>1534</v>
      </c>
      <c r="C87" s="599"/>
      <c r="D87" s="345"/>
      <c r="E87" s="429"/>
      <c r="F87" s="478"/>
      <c r="G87" s="378" t="s">
        <v>1727</v>
      </c>
      <c r="H87" s="379" t="s">
        <v>1727</v>
      </c>
      <c r="I87" s="346"/>
      <c r="J87" s="381"/>
      <c r="K87" s="347">
        <f>K88</f>
        <v>24</v>
      </c>
      <c r="L87" s="363">
        <f t="shared" ref="L87" si="239">L88</f>
        <v>0</v>
      </c>
      <c r="M87" s="363">
        <f t="shared" ref="M87" si="240">M88</f>
        <v>0</v>
      </c>
      <c r="N87" s="363">
        <f t="shared" ref="N87" si="241">N88</f>
        <v>58.564999999999998</v>
      </c>
      <c r="O87" s="363">
        <f t="shared" ref="O87:P87" si="242">O88</f>
        <v>58.564999999999998</v>
      </c>
      <c r="P87" s="363">
        <f t="shared" si="242"/>
        <v>0</v>
      </c>
      <c r="Q87" s="363">
        <f t="shared" ref="Q87:S87" si="243">Q88</f>
        <v>70</v>
      </c>
      <c r="R87" s="363">
        <f t="shared" si="243"/>
        <v>0</v>
      </c>
      <c r="S87" s="363">
        <f t="shared" si="243"/>
        <v>0</v>
      </c>
      <c r="T87" s="363">
        <f t="shared" ref="T87" si="244">T88</f>
        <v>11</v>
      </c>
      <c r="U87" s="364">
        <f t="shared" ref="U87" si="245">U88</f>
        <v>13</v>
      </c>
      <c r="V87" s="572">
        <f t="shared" ref="V87" si="246">V88</f>
        <v>0</v>
      </c>
      <c r="W87" s="347">
        <f t="shared" ref="W87" si="247">W88</f>
        <v>0</v>
      </c>
      <c r="X87" s="363">
        <f t="shared" ref="X87" si="248">X88</f>
        <v>0</v>
      </c>
      <c r="Y87" s="365">
        <f t="shared" ref="Y87" si="249">Y88</f>
        <v>0</v>
      </c>
      <c r="Z87" s="365">
        <f t="shared" ref="Z87" si="250">Z88</f>
        <v>0</v>
      </c>
      <c r="AA87" s="567">
        <f t="shared" ref="AA87:AB87" si="251">AA88</f>
        <v>0</v>
      </c>
      <c r="AB87" s="350">
        <f t="shared" si="251"/>
        <v>0</v>
      </c>
      <c r="AC87" s="363">
        <f t="shared" ref="AC87" si="252">AC88</f>
        <v>-10.77</v>
      </c>
      <c r="AD87" s="365">
        <f t="shared" ref="AD87" si="253">AD88</f>
        <v>0</v>
      </c>
      <c r="AE87" s="467">
        <f t="shared" ref="AE87:AI87" si="254">AE88</f>
        <v>0</v>
      </c>
      <c r="AF87" s="467">
        <f t="shared" si="254"/>
        <v>-10.77</v>
      </c>
      <c r="AG87" s="467">
        <f t="shared" si="254"/>
        <v>0</v>
      </c>
      <c r="AH87" s="467">
        <f t="shared" si="254"/>
        <v>0</v>
      </c>
      <c r="AI87" s="347">
        <f t="shared" si="254"/>
        <v>0</v>
      </c>
      <c r="AJ87" s="363">
        <f>AJ88</f>
        <v>-9.57</v>
      </c>
      <c r="AK87" s="365">
        <f t="shared" ref="AK87:AN87" si="255">AK88</f>
        <v>-15.65</v>
      </c>
      <c r="AL87" s="365">
        <f t="shared" si="255"/>
        <v>-15.65</v>
      </c>
      <c r="AM87" s="365">
        <f t="shared" si="255"/>
        <v>-9.57</v>
      </c>
      <c r="AN87" s="365">
        <f t="shared" si="255"/>
        <v>-9.57</v>
      </c>
      <c r="AO87" s="364">
        <f>AO88</f>
        <v>-11.31</v>
      </c>
      <c r="AP87" s="364">
        <f>AP88</f>
        <v>-8.6999999999999993</v>
      </c>
      <c r="AQ87" s="364">
        <f>AQ88</f>
        <v>-6.96</v>
      </c>
      <c r="AR87" s="347">
        <f t="shared" ref="AR87" si="256">AR88</f>
        <v>-2.3891876577</v>
      </c>
      <c r="AS87" s="364">
        <f>AS88</f>
        <v>2.75</v>
      </c>
      <c r="AT87" s="348"/>
    </row>
    <row r="88" spans="1:46" ht="101.5" hidden="1" customHeight="1" outlineLevel="1" x14ac:dyDescent="0.35">
      <c r="A88" s="590">
        <v>1</v>
      </c>
      <c r="B88" s="619" t="s">
        <v>1534</v>
      </c>
      <c r="C88" s="596" t="s">
        <v>1534</v>
      </c>
      <c r="D88" s="63" t="s">
        <v>1637</v>
      </c>
      <c r="E88" s="432" t="s">
        <v>1535</v>
      </c>
      <c r="F88" s="480" t="s">
        <v>1536</v>
      </c>
      <c r="G88" s="67" t="s">
        <v>216</v>
      </c>
      <c r="H88" s="305" t="s">
        <v>127</v>
      </c>
      <c r="I88" s="334"/>
      <c r="J88" s="284"/>
      <c r="K88" s="294">
        <f>M88+P88+U88+R88+T88</f>
        <v>24</v>
      </c>
      <c r="L88" s="182">
        <v>0</v>
      </c>
      <c r="M88" s="80">
        <f>-W88</f>
        <v>0</v>
      </c>
      <c r="N88" s="80">
        <v>58.564999999999998</v>
      </c>
      <c r="O88" s="80">
        <v>58.564999999999998</v>
      </c>
      <c r="P88" s="80">
        <v>0</v>
      </c>
      <c r="Q88" s="80">
        <v>70</v>
      </c>
      <c r="R88" s="80">
        <v>0</v>
      </c>
      <c r="S88" s="80">
        <v>0</v>
      </c>
      <c r="T88" s="80">
        <v>11</v>
      </c>
      <c r="U88" s="401">
        <v>13</v>
      </c>
      <c r="V88" s="573">
        <v>0</v>
      </c>
      <c r="W88" s="326">
        <v>0</v>
      </c>
      <c r="X88" s="75">
        <v>0</v>
      </c>
      <c r="Y88" s="367">
        <v>0</v>
      </c>
      <c r="Z88" s="367">
        <v>0</v>
      </c>
      <c r="AA88" s="468">
        <v>0</v>
      </c>
      <c r="AB88" s="207">
        <v>0</v>
      </c>
      <c r="AC88" s="207">
        <f>-4.58-6.19</f>
        <v>-10.77</v>
      </c>
      <c r="AD88" s="367">
        <v>0</v>
      </c>
      <c r="AE88" s="468">
        <v>0</v>
      </c>
      <c r="AF88" s="468">
        <f>-4.58-6.19</f>
        <v>-10.77</v>
      </c>
      <c r="AG88" s="468">
        <v>0</v>
      </c>
      <c r="AH88" s="468">
        <v>0</v>
      </c>
      <c r="AI88" s="387">
        <v>0</v>
      </c>
      <c r="AJ88" s="207">
        <f>-11*0.87</f>
        <v>-9.57</v>
      </c>
      <c r="AK88" s="367">
        <v>-15.65</v>
      </c>
      <c r="AL88" s="367">
        <v>-15.65</v>
      </c>
      <c r="AM88" s="367">
        <f>-11*0.87</f>
        <v>-9.57</v>
      </c>
      <c r="AN88" s="367">
        <f>-11*0.87</f>
        <v>-9.57</v>
      </c>
      <c r="AO88" s="295">
        <f>-13*0.87</f>
        <v>-11.31</v>
      </c>
      <c r="AP88" s="295">
        <f>-10*0.87</f>
        <v>-8.6999999999999993</v>
      </c>
      <c r="AQ88" s="295">
        <f>-8*0.87</f>
        <v>-6.96</v>
      </c>
      <c r="AR88" s="387">
        <v>-2.3891876577</v>
      </c>
      <c r="AS88" s="896">
        <v>2.75</v>
      </c>
      <c r="AT88" s="411" t="s">
        <v>2014</v>
      </c>
    </row>
    <row r="89" spans="1:46" ht="18.5" collapsed="1" x14ac:dyDescent="0.35">
      <c r="A89" s="436">
        <v>7</v>
      </c>
      <c r="B89" s="618" t="s">
        <v>1719</v>
      </c>
      <c r="C89" s="599"/>
      <c r="D89" s="345"/>
      <c r="E89" s="429"/>
      <c r="F89" s="478"/>
      <c r="G89" s="378" t="s">
        <v>1727</v>
      </c>
      <c r="H89" s="379" t="s">
        <v>1727</v>
      </c>
      <c r="I89" s="346"/>
      <c r="J89" s="381"/>
      <c r="K89" s="347">
        <f>SUM(K90:K93)</f>
        <v>7.4974810000000005</v>
      </c>
      <c r="L89" s="363">
        <f t="shared" ref="L89:AS89" si="257">SUM(L90:L93)</f>
        <v>45</v>
      </c>
      <c r="M89" s="363">
        <f t="shared" si="257"/>
        <v>0</v>
      </c>
      <c r="N89" s="363">
        <f t="shared" si="257"/>
        <v>6</v>
      </c>
      <c r="O89" s="363">
        <f t="shared" si="257"/>
        <v>0</v>
      </c>
      <c r="P89" s="363">
        <f t="shared" ref="P89:Q89" si="258">SUM(P90:P93)</f>
        <v>2.9974810000000001</v>
      </c>
      <c r="Q89" s="363">
        <f t="shared" si="258"/>
        <v>3.0025189999999999</v>
      </c>
      <c r="R89" s="363">
        <f t="shared" si="257"/>
        <v>4.5</v>
      </c>
      <c r="S89" s="363">
        <f t="shared" ref="S89" si="259">SUM(S90:S93)</f>
        <v>4.2</v>
      </c>
      <c r="T89" s="363">
        <f t="shared" si="257"/>
        <v>0</v>
      </c>
      <c r="U89" s="364">
        <f t="shared" si="257"/>
        <v>0</v>
      </c>
      <c r="V89" s="572">
        <f t="shared" si="257"/>
        <v>-45</v>
      </c>
      <c r="W89" s="347">
        <f t="shared" si="257"/>
        <v>0</v>
      </c>
      <c r="X89" s="363">
        <f t="shared" si="257"/>
        <v>-14</v>
      </c>
      <c r="Y89" s="365">
        <f t="shared" si="257"/>
        <v>-33</v>
      </c>
      <c r="Z89" s="365">
        <f t="shared" si="257"/>
        <v>0</v>
      </c>
      <c r="AA89" s="567">
        <f t="shared" si="257"/>
        <v>0</v>
      </c>
      <c r="AB89" s="350">
        <f t="shared" ref="AB89" si="260">SUM(AB90:AB93)</f>
        <v>-2.9974810000000001</v>
      </c>
      <c r="AC89" s="363">
        <f t="shared" si="257"/>
        <v>-3.0025189999999999</v>
      </c>
      <c r="AD89" s="365">
        <f t="shared" si="257"/>
        <v>0</v>
      </c>
      <c r="AE89" s="467">
        <f t="shared" ref="AE89" si="261">SUM(AE90:AE93)</f>
        <v>0</v>
      </c>
      <c r="AF89" s="467">
        <f t="shared" si="257"/>
        <v>-3.0025189999999999</v>
      </c>
      <c r="AG89" s="467">
        <f t="shared" ref="AG89:AI89" si="262">SUM(AG90:AG93)</f>
        <v>-4.5</v>
      </c>
      <c r="AH89" s="467">
        <f t="shared" si="262"/>
        <v>-4.5</v>
      </c>
      <c r="AI89" s="347">
        <f t="shared" si="262"/>
        <v>-4.2</v>
      </c>
      <c r="AJ89" s="363">
        <f t="shared" si="257"/>
        <v>0</v>
      </c>
      <c r="AK89" s="365">
        <f t="shared" ref="AK89:AL89" si="263">SUM(AK90:AK93)</f>
        <v>0</v>
      </c>
      <c r="AL89" s="365">
        <f t="shared" si="263"/>
        <v>0</v>
      </c>
      <c r="AM89" s="365">
        <f t="shared" ref="AM89:AP89" si="264">SUM(AM90:AM93)</f>
        <v>0</v>
      </c>
      <c r="AN89" s="365">
        <f t="shared" ref="AN89" si="265">SUM(AN90:AN93)</f>
        <v>0</v>
      </c>
      <c r="AO89" s="364">
        <f t="shared" si="264"/>
        <v>0</v>
      </c>
      <c r="AP89" s="364">
        <f t="shared" si="264"/>
        <v>0</v>
      </c>
      <c r="AQ89" s="364">
        <f t="shared" si="257"/>
        <v>0</v>
      </c>
      <c r="AR89" s="347">
        <f t="shared" si="257"/>
        <v>0</v>
      </c>
      <c r="AS89" s="364">
        <f t="shared" si="257"/>
        <v>0</v>
      </c>
      <c r="AT89" s="348"/>
    </row>
    <row r="90" spans="1:46" ht="72.650000000000006" hidden="1" customHeight="1" outlineLevel="1" x14ac:dyDescent="0.35">
      <c r="A90" s="590">
        <v>1</v>
      </c>
      <c r="B90" s="619" t="s">
        <v>559</v>
      </c>
      <c r="C90" s="596" t="s">
        <v>559</v>
      </c>
      <c r="D90" s="63" t="s">
        <v>501</v>
      </c>
      <c r="E90" s="432" t="s">
        <v>312</v>
      </c>
      <c r="F90" s="480" t="s">
        <v>560</v>
      </c>
      <c r="G90" s="67" t="s">
        <v>216</v>
      </c>
      <c r="H90" s="305" t="s">
        <v>127</v>
      </c>
      <c r="I90" s="334"/>
      <c r="J90" s="284"/>
      <c r="K90" s="294">
        <f>M90+P90+U90+R90+T90</f>
        <v>0</v>
      </c>
      <c r="L90" s="182">
        <f>-V90</f>
        <v>20</v>
      </c>
      <c r="M90" s="80">
        <v>0</v>
      </c>
      <c r="N90" s="80">
        <f>80-80</f>
        <v>0</v>
      </c>
      <c r="O90" s="80">
        <f>80-80</f>
        <v>0</v>
      </c>
      <c r="P90" s="80">
        <v>0</v>
      </c>
      <c r="Q90" s="80">
        <v>0</v>
      </c>
      <c r="R90" s="80">
        <v>0</v>
      </c>
      <c r="S90" s="80">
        <f t="shared" ref="S90:S92" si="266">-AI90</f>
        <v>0</v>
      </c>
      <c r="T90" s="80">
        <v>0</v>
      </c>
      <c r="U90" s="401">
        <v>0</v>
      </c>
      <c r="V90" s="573">
        <v>-20</v>
      </c>
      <c r="W90" s="901">
        <f>-M90*0.2494</f>
        <v>0</v>
      </c>
      <c r="X90" s="902">
        <f>-N90*0.2494</f>
        <v>0</v>
      </c>
      <c r="Y90" s="367">
        <v>0</v>
      </c>
      <c r="Z90" s="367">
        <v>0</v>
      </c>
      <c r="AA90" s="468">
        <v>0</v>
      </c>
      <c r="AB90" s="207">
        <f>-AC90*0.2494</f>
        <v>0</v>
      </c>
      <c r="AC90" s="207">
        <v>0</v>
      </c>
      <c r="AD90" s="367">
        <v>0</v>
      </c>
      <c r="AE90" s="468">
        <v>0</v>
      </c>
      <c r="AF90" s="468">
        <v>0</v>
      </c>
      <c r="AG90" s="468">
        <v>0</v>
      </c>
      <c r="AH90" s="468">
        <v>0</v>
      </c>
      <c r="AI90" s="387">
        <f>-AJ90*0.2494</f>
        <v>0</v>
      </c>
      <c r="AJ90" s="207">
        <v>0</v>
      </c>
      <c r="AK90" s="367">
        <v>0</v>
      </c>
      <c r="AL90" s="367">
        <v>0</v>
      </c>
      <c r="AM90" s="367">
        <v>0</v>
      </c>
      <c r="AN90" s="367">
        <v>0</v>
      </c>
      <c r="AO90" s="295">
        <v>0</v>
      </c>
      <c r="AP90" s="295">
        <v>0</v>
      </c>
      <c r="AQ90" s="295">
        <v>0</v>
      </c>
      <c r="AR90" s="387">
        <f>-AS90*0.2494</f>
        <v>0</v>
      </c>
      <c r="AS90" s="896">
        <v>0</v>
      </c>
      <c r="AT90" s="411" t="s">
        <v>668</v>
      </c>
    </row>
    <row r="91" spans="1:46" ht="116.15" hidden="1" customHeight="1" outlineLevel="1" x14ac:dyDescent="0.35">
      <c r="A91" s="590">
        <v>2</v>
      </c>
      <c r="B91" s="619" t="s">
        <v>561</v>
      </c>
      <c r="C91" s="596" t="s">
        <v>561</v>
      </c>
      <c r="D91" s="63" t="s">
        <v>404</v>
      </c>
      <c r="E91" s="432" t="s">
        <v>562</v>
      </c>
      <c r="F91" s="480" t="s">
        <v>563</v>
      </c>
      <c r="G91" s="67" t="s">
        <v>216</v>
      </c>
      <c r="H91" s="305" t="s">
        <v>127</v>
      </c>
      <c r="I91" s="334"/>
      <c r="J91" s="284"/>
      <c r="K91" s="294">
        <f>M91+P91+U91+R91+T91</f>
        <v>0</v>
      </c>
      <c r="L91" s="182">
        <f>-V91</f>
        <v>25</v>
      </c>
      <c r="M91" s="80">
        <v>0</v>
      </c>
      <c r="N91" s="80">
        <f>100-100</f>
        <v>0</v>
      </c>
      <c r="O91" s="80">
        <f>100-100</f>
        <v>0</v>
      </c>
      <c r="P91" s="80">
        <v>0</v>
      </c>
      <c r="Q91" s="80">
        <v>0</v>
      </c>
      <c r="R91" s="80">
        <v>0</v>
      </c>
      <c r="S91" s="80">
        <f t="shared" si="266"/>
        <v>0</v>
      </c>
      <c r="T91" s="80">
        <v>0</v>
      </c>
      <c r="U91" s="401">
        <v>0</v>
      </c>
      <c r="V91" s="573">
        <v>-25</v>
      </c>
      <c r="W91" s="901">
        <f>-M91*0.2546</f>
        <v>0</v>
      </c>
      <c r="X91" s="902">
        <f>-N91*0.2546</f>
        <v>0</v>
      </c>
      <c r="Y91" s="367">
        <v>-25</v>
      </c>
      <c r="Z91" s="367">
        <v>0</v>
      </c>
      <c r="AA91" s="468">
        <v>0</v>
      </c>
      <c r="AB91" s="207">
        <f>-AC91*0.2546</f>
        <v>0</v>
      </c>
      <c r="AC91" s="207">
        <v>0</v>
      </c>
      <c r="AD91" s="367">
        <v>0</v>
      </c>
      <c r="AE91" s="468">
        <v>0</v>
      </c>
      <c r="AF91" s="468">
        <v>0</v>
      </c>
      <c r="AG91" s="468">
        <v>0</v>
      </c>
      <c r="AH91" s="468">
        <v>0</v>
      </c>
      <c r="AI91" s="387">
        <f>-AJ91*0.2546</f>
        <v>0</v>
      </c>
      <c r="AJ91" s="207">
        <v>0</v>
      </c>
      <c r="AK91" s="367">
        <v>0</v>
      </c>
      <c r="AL91" s="367">
        <v>0</v>
      </c>
      <c r="AM91" s="367">
        <v>0</v>
      </c>
      <c r="AN91" s="367">
        <v>0</v>
      </c>
      <c r="AO91" s="295">
        <v>0</v>
      </c>
      <c r="AP91" s="295">
        <v>0</v>
      </c>
      <c r="AQ91" s="295">
        <v>0</v>
      </c>
      <c r="AR91" s="387">
        <f>-AS91*0.2546</f>
        <v>0</v>
      </c>
      <c r="AS91" s="896">
        <v>0</v>
      </c>
      <c r="AT91" s="411" t="s">
        <v>702</v>
      </c>
    </row>
    <row r="92" spans="1:46" ht="43.5" hidden="1" customHeight="1" outlineLevel="1" x14ac:dyDescent="0.35">
      <c r="A92" s="590">
        <v>3</v>
      </c>
      <c r="B92" s="619" t="s">
        <v>1111</v>
      </c>
      <c r="C92" s="596" t="s">
        <v>1111</v>
      </c>
      <c r="D92" s="63" t="s">
        <v>1544</v>
      </c>
      <c r="E92" s="432" t="s">
        <v>1331</v>
      </c>
      <c r="F92" s="480" t="s">
        <v>1112</v>
      </c>
      <c r="G92" s="67" t="s">
        <v>216</v>
      </c>
      <c r="H92" s="305" t="s">
        <v>127</v>
      </c>
      <c r="I92" s="334"/>
      <c r="J92" s="284"/>
      <c r="K92" s="294">
        <f>M92+P92+U92+R92+T92</f>
        <v>0</v>
      </c>
      <c r="L92" s="182">
        <v>0</v>
      </c>
      <c r="M92" s="80">
        <f>-W92</f>
        <v>0</v>
      </c>
      <c r="N92" s="80">
        <v>0</v>
      </c>
      <c r="O92" s="80">
        <v>0</v>
      </c>
      <c r="P92" s="80">
        <v>0</v>
      </c>
      <c r="Q92" s="80">
        <f t="shared" ref="Q92:R92" si="267">-AE92</f>
        <v>0</v>
      </c>
      <c r="R92" s="80">
        <f t="shared" si="267"/>
        <v>0</v>
      </c>
      <c r="S92" s="80">
        <f t="shared" si="266"/>
        <v>0</v>
      </c>
      <c r="T92" s="80">
        <f t="shared" ref="T92" si="268">-AJ92</f>
        <v>0</v>
      </c>
      <c r="U92" s="401">
        <f t="shared" ref="U92" si="269">-AQ92</f>
        <v>0</v>
      </c>
      <c r="V92" s="573">
        <v>0</v>
      </c>
      <c r="W92" s="326">
        <v>0</v>
      </c>
      <c r="X92" s="75">
        <v>-8</v>
      </c>
      <c r="Y92" s="367">
        <v>-8</v>
      </c>
      <c r="Z92" s="367">
        <v>0</v>
      </c>
      <c r="AA92" s="468">
        <v>0</v>
      </c>
      <c r="AB92" s="207">
        <v>0</v>
      </c>
      <c r="AC92" s="207">
        <v>0</v>
      </c>
      <c r="AD92" s="367">
        <v>0</v>
      </c>
      <c r="AE92" s="468">
        <v>0</v>
      </c>
      <c r="AF92" s="468">
        <v>0</v>
      </c>
      <c r="AG92" s="468">
        <v>0</v>
      </c>
      <c r="AH92" s="468">
        <v>0</v>
      </c>
      <c r="AI92" s="387">
        <v>0</v>
      </c>
      <c r="AJ92" s="207">
        <v>0</v>
      </c>
      <c r="AK92" s="367">
        <v>0</v>
      </c>
      <c r="AL92" s="367">
        <v>0</v>
      </c>
      <c r="AM92" s="367">
        <v>0</v>
      </c>
      <c r="AN92" s="367">
        <v>0</v>
      </c>
      <c r="AO92" s="295">
        <v>0</v>
      </c>
      <c r="AP92" s="295">
        <v>0</v>
      </c>
      <c r="AQ92" s="295">
        <v>0</v>
      </c>
      <c r="AR92" s="387">
        <v>0</v>
      </c>
      <c r="AS92" s="896">
        <f t="shared" ref="AS92:AS93" si="270">-AR92</f>
        <v>0</v>
      </c>
      <c r="AT92" s="411" t="s">
        <v>1545</v>
      </c>
    </row>
    <row r="93" spans="1:46" ht="58" hidden="1" customHeight="1" outlineLevel="1" x14ac:dyDescent="0.35">
      <c r="A93" s="590">
        <v>4</v>
      </c>
      <c r="B93" s="619" t="s">
        <v>1945</v>
      </c>
      <c r="C93" s="596" t="s">
        <v>1945</v>
      </c>
      <c r="D93" s="63">
        <v>44231</v>
      </c>
      <c r="E93" s="580" t="s">
        <v>1946</v>
      </c>
      <c r="F93" s="480" t="s">
        <v>1945</v>
      </c>
      <c r="G93" s="67" t="s">
        <v>216</v>
      </c>
      <c r="H93" s="305" t="s">
        <v>127</v>
      </c>
      <c r="I93" s="334"/>
      <c r="J93" s="284"/>
      <c r="K93" s="294">
        <f>M93+P93+U93+R93+T93</f>
        <v>7.4974810000000005</v>
      </c>
      <c r="L93" s="182">
        <v>0</v>
      </c>
      <c r="M93" s="80">
        <f>-W93</f>
        <v>0</v>
      </c>
      <c r="N93" s="80">
        <f>-X93</f>
        <v>6</v>
      </c>
      <c r="O93" s="80">
        <v>0</v>
      </c>
      <c r="P93" s="80">
        <f>-AB93</f>
        <v>2.9974810000000001</v>
      </c>
      <c r="Q93" s="80">
        <f>-AC93</f>
        <v>3.0025189999999999</v>
      </c>
      <c r="R93" s="80">
        <f>-AG93</f>
        <v>4.5</v>
      </c>
      <c r="S93" s="80">
        <f>-AI93</f>
        <v>4.2</v>
      </c>
      <c r="T93" s="80">
        <f>-AJ93</f>
        <v>0</v>
      </c>
      <c r="U93" s="401">
        <f>-AQ93</f>
        <v>0</v>
      </c>
      <c r="V93" s="573">
        <v>0</v>
      </c>
      <c r="W93" s="326">
        <v>0</v>
      </c>
      <c r="X93" s="207">
        <v>-6</v>
      </c>
      <c r="Y93" s="367">
        <v>0</v>
      </c>
      <c r="Z93" s="367">
        <v>0</v>
      </c>
      <c r="AA93" s="468">
        <v>0</v>
      </c>
      <c r="AB93" s="207">
        <v>-2.9974810000000001</v>
      </c>
      <c r="AC93" s="207">
        <v>-3.0025189999999999</v>
      </c>
      <c r="AD93" s="367">
        <v>0</v>
      </c>
      <c r="AE93" s="468">
        <v>0</v>
      </c>
      <c r="AF93" s="468">
        <v>-3.0025189999999999</v>
      </c>
      <c r="AG93" s="468">
        <v>-4.5</v>
      </c>
      <c r="AH93" s="468">
        <v>-4.5</v>
      </c>
      <c r="AI93" s="387">
        <v>-4.2</v>
      </c>
      <c r="AJ93" s="207">
        <v>0</v>
      </c>
      <c r="AK93" s="367">
        <v>0</v>
      </c>
      <c r="AL93" s="367">
        <v>0</v>
      </c>
      <c r="AM93" s="367">
        <v>0</v>
      </c>
      <c r="AN93" s="367">
        <v>0</v>
      </c>
      <c r="AO93" s="295">
        <v>0</v>
      </c>
      <c r="AP93" s="295">
        <v>0</v>
      </c>
      <c r="AQ93" s="295">
        <v>0</v>
      </c>
      <c r="AR93" s="387">
        <v>0</v>
      </c>
      <c r="AS93" s="896">
        <f t="shared" si="270"/>
        <v>0</v>
      </c>
      <c r="AT93" s="408" t="s">
        <v>2016</v>
      </c>
    </row>
    <row r="94" spans="1:46" ht="18.5" collapsed="1" x14ac:dyDescent="0.35">
      <c r="A94" s="436">
        <v>8</v>
      </c>
      <c r="B94" s="618" t="s">
        <v>165</v>
      </c>
      <c r="C94" s="599"/>
      <c r="D94" s="345"/>
      <c r="E94" s="429"/>
      <c r="F94" s="478"/>
      <c r="G94" s="378" t="s">
        <v>1727</v>
      </c>
      <c r="H94" s="379" t="s">
        <v>1727</v>
      </c>
      <c r="I94" s="346"/>
      <c r="J94" s="381"/>
      <c r="K94" s="347">
        <f>SUM(K95:K105)</f>
        <v>248.14908993</v>
      </c>
      <c r="L94" s="363">
        <f>SUM(L95:L105)</f>
        <v>150</v>
      </c>
      <c r="M94" s="363">
        <f>SUM(M95:M105)</f>
        <v>50.124114689999999</v>
      </c>
      <c r="N94" s="363">
        <f t="shared" ref="N94:T94" si="271">SUM(N95:N105)</f>
        <v>111.71219864000001</v>
      </c>
      <c r="O94" s="363">
        <f t="shared" si="271"/>
        <v>111.71219864000001</v>
      </c>
      <c r="P94" s="363">
        <f t="shared" si="271"/>
        <v>83.737523469999999</v>
      </c>
      <c r="Q94" s="363">
        <f t="shared" ref="Q94" si="272">SUM(Q95:Q105)</f>
        <v>93.381503620000004</v>
      </c>
      <c r="R94" s="363">
        <f t="shared" si="271"/>
        <v>93.381503620000004</v>
      </c>
      <c r="S94" s="363">
        <f t="shared" ref="S94" si="273">SUM(S95:S105)</f>
        <v>68.161741370000001</v>
      </c>
      <c r="T94" s="363">
        <f t="shared" si="271"/>
        <v>20.90594815</v>
      </c>
      <c r="U94" s="364">
        <f>SUM(U95:U105)</f>
        <v>0</v>
      </c>
      <c r="V94" s="572">
        <f>SUM(V95:V105)</f>
        <v>-50</v>
      </c>
      <c r="W94" s="347">
        <f>SUM(W95:W105)</f>
        <v>-50.124114689999999</v>
      </c>
      <c r="X94" s="363">
        <f t="shared" ref="X94:AA94" si="274">SUM(X95:X105)</f>
        <v>-111.71219864000001</v>
      </c>
      <c r="Y94" s="365">
        <f t="shared" si="274"/>
        <v>-44.369986400000002</v>
      </c>
      <c r="Z94" s="365">
        <f t="shared" si="274"/>
        <v>-87.320313810000002</v>
      </c>
      <c r="AA94" s="567">
        <f t="shared" si="274"/>
        <v>-99.515328640000007</v>
      </c>
      <c r="AB94" s="350">
        <f>SUM(AB95:AB105)</f>
        <v>-83.737523469999999</v>
      </c>
      <c r="AC94" s="363">
        <f>SUM(AC95:AC105)</f>
        <v>-93.381503620000004</v>
      </c>
      <c r="AD94" s="365">
        <f>SUM(AD95:AD105)</f>
        <v>-20.29602049</v>
      </c>
      <c r="AE94" s="467">
        <f>SUM(AE95:AE105)</f>
        <v>-28.798262709999999</v>
      </c>
      <c r="AF94" s="467">
        <f t="shared" ref="AF94:AS94" si="275">SUM(AF95:AF105)</f>
        <v>-50.187529690000005</v>
      </c>
      <c r="AG94" s="467">
        <f t="shared" si="275"/>
        <v>-50.187529690000005</v>
      </c>
      <c r="AH94" s="467">
        <f t="shared" ref="AH94:AI94" si="276">SUM(AH95:AH105)</f>
        <v>-50.187529690000005</v>
      </c>
      <c r="AI94" s="347">
        <f t="shared" si="276"/>
        <v>-68.161741370000001</v>
      </c>
      <c r="AJ94" s="363">
        <f t="shared" si="275"/>
        <v>-20.90594815</v>
      </c>
      <c r="AK94" s="365">
        <f t="shared" si="275"/>
        <v>-5.6883287600000001</v>
      </c>
      <c r="AL94" s="365">
        <f t="shared" ref="AL94:AP94" si="277">SUM(AL95:AL105)</f>
        <v>-5.6883287600000001</v>
      </c>
      <c r="AM94" s="365">
        <f t="shared" si="277"/>
        <v>-20.90594815</v>
      </c>
      <c r="AN94" s="365">
        <f t="shared" ref="AN94" si="278">SUM(AN95:AN105)</f>
        <v>-20.90594815</v>
      </c>
      <c r="AO94" s="364">
        <f t="shared" si="277"/>
        <v>0</v>
      </c>
      <c r="AP94" s="364">
        <f t="shared" si="277"/>
        <v>0</v>
      </c>
      <c r="AQ94" s="364">
        <f t="shared" si="275"/>
        <v>0</v>
      </c>
      <c r="AR94" s="347">
        <f t="shared" si="275"/>
        <v>-15.359197999999999</v>
      </c>
      <c r="AS94" s="364">
        <f t="shared" si="275"/>
        <v>15.359197999999999</v>
      </c>
      <c r="AT94" s="348"/>
    </row>
    <row r="95" spans="1:46" ht="256" hidden="1" customHeight="1" outlineLevel="1" x14ac:dyDescent="0.35">
      <c r="A95" s="590">
        <v>1</v>
      </c>
      <c r="B95" s="612" t="s">
        <v>165</v>
      </c>
      <c r="C95" s="604" t="s">
        <v>165</v>
      </c>
      <c r="D95" s="63">
        <v>43951</v>
      </c>
      <c r="E95" s="432" t="s">
        <v>166</v>
      </c>
      <c r="F95" s="480" t="s">
        <v>310</v>
      </c>
      <c r="G95" s="71" t="s">
        <v>38</v>
      </c>
      <c r="H95" s="309" t="s">
        <v>171</v>
      </c>
      <c r="I95" s="334"/>
      <c r="J95" s="284"/>
      <c r="K95" s="294">
        <f>M95+P95+U95+R95+T95</f>
        <v>91.095139310000008</v>
      </c>
      <c r="L95" s="182">
        <v>150</v>
      </c>
      <c r="M95" s="80">
        <v>50.124114689999999</v>
      </c>
      <c r="N95" s="80">
        <v>41.89352452</v>
      </c>
      <c r="O95" s="80">
        <v>41.89352452</v>
      </c>
      <c r="P95" s="80">
        <f>-AB95</f>
        <v>39.888791619999999</v>
      </c>
      <c r="Q95" s="80">
        <v>1.082233</v>
      </c>
      <c r="R95" s="80">
        <v>1.082233</v>
      </c>
      <c r="S95" s="80">
        <f>-AI95</f>
        <v>0</v>
      </c>
      <c r="T95" s="80">
        <v>0</v>
      </c>
      <c r="U95" s="401">
        <v>0</v>
      </c>
      <c r="V95" s="573">
        <v>-50</v>
      </c>
      <c r="W95" s="326">
        <v>-50.124114689999999</v>
      </c>
      <c r="X95" s="207">
        <v>-41.89352452</v>
      </c>
      <c r="Y95" s="132">
        <v>-44.369986400000002</v>
      </c>
      <c r="Z95" s="132">
        <f>X95</f>
        <v>-41.89352452</v>
      </c>
      <c r="AA95" s="132">
        <f>X95</f>
        <v>-41.89352452</v>
      </c>
      <c r="AB95" s="907">
        <f>-39.88879162</f>
        <v>-39.888791619999999</v>
      </c>
      <c r="AC95" s="207">
        <v>-1.082233</v>
      </c>
      <c r="AD95" s="132">
        <v>-1.082233</v>
      </c>
      <c r="AE95" s="132">
        <v>-1.082233</v>
      </c>
      <c r="AF95" s="132">
        <v>-1.082233</v>
      </c>
      <c r="AG95" s="132">
        <v>-1.082233</v>
      </c>
      <c r="AH95" s="132">
        <v>-1.082233</v>
      </c>
      <c r="AI95" s="917">
        <v>0</v>
      </c>
      <c r="AJ95" s="207">
        <v>0</v>
      </c>
      <c r="AK95" s="367">
        <v>0</v>
      </c>
      <c r="AL95" s="367">
        <v>0</v>
      </c>
      <c r="AM95" s="367">
        <v>0</v>
      </c>
      <c r="AN95" s="367">
        <v>0</v>
      </c>
      <c r="AO95" s="295">
        <v>0</v>
      </c>
      <c r="AP95" s="295">
        <v>0</v>
      </c>
      <c r="AQ95" s="295">
        <v>0</v>
      </c>
      <c r="AR95" s="917">
        <v>0</v>
      </c>
      <c r="AS95" s="295">
        <f>-AR95</f>
        <v>0</v>
      </c>
      <c r="AT95" s="415" t="s">
        <v>624</v>
      </c>
    </row>
    <row r="96" spans="1:46" ht="72.650000000000006" hidden="1" customHeight="1" outlineLevel="1" x14ac:dyDescent="0.35">
      <c r="A96" s="590">
        <v>2</v>
      </c>
      <c r="B96" s="612" t="s">
        <v>165</v>
      </c>
      <c r="C96" s="604" t="s">
        <v>165</v>
      </c>
      <c r="D96" s="63">
        <v>44273</v>
      </c>
      <c r="E96" s="432" t="s">
        <v>1438</v>
      </c>
      <c r="F96" s="480" t="s">
        <v>1360</v>
      </c>
      <c r="G96" s="71" t="s">
        <v>38</v>
      </c>
      <c r="H96" s="310" t="s">
        <v>171</v>
      </c>
      <c r="I96" s="1118"/>
      <c r="J96" s="287"/>
      <c r="K96" s="1135">
        <f>M96+P96+U96+R96+T96</f>
        <v>87.987805040000012</v>
      </c>
      <c r="L96" s="1123">
        <v>0</v>
      </c>
      <c r="M96" s="1088">
        <v>0</v>
      </c>
      <c r="N96" s="1088">
        <f>-X96</f>
        <v>69.818674120000011</v>
      </c>
      <c r="O96" s="1088">
        <f>-X96</f>
        <v>69.818674120000011</v>
      </c>
      <c r="P96" s="1088">
        <f>-AB96</f>
        <v>43.84873185</v>
      </c>
      <c r="Q96" s="1088">
        <f>-AC96</f>
        <v>44.139073190000005</v>
      </c>
      <c r="R96" s="1088">
        <f>-AC96</f>
        <v>44.139073190000005</v>
      </c>
      <c r="S96" s="1088">
        <f>-AI96</f>
        <v>0</v>
      </c>
      <c r="T96" s="1088">
        <f>-AJ96</f>
        <v>0</v>
      </c>
      <c r="U96" s="1128">
        <f>-AQ96</f>
        <v>0</v>
      </c>
      <c r="V96" s="1267">
        <v>0</v>
      </c>
      <c r="W96" s="1077">
        <v>0</v>
      </c>
      <c r="X96" s="1269">
        <f>-17.402049-10.833108-7.10643678-9.9888951-4.66647824-7.624837-8.138093-1.930396-2.128381</f>
        <v>-69.818674120000011</v>
      </c>
      <c r="Y96" s="1100">
        <v>0</v>
      </c>
      <c r="Z96" s="1100">
        <v>-45.426789290000002</v>
      </c>
      <c r="AA96" s="1100">
        <v>-57.621804120000007</v>
      </c>
      <c r="AB96" s="1103">
        <f>-43.55416885 -0.294563</f>
        <v>-43.84873185</v>
      </c>
      <c r="AC96" s="1271">
        <f>-5.183348-3.186226-1.88037575-8.96383774-3.68359822-4.818644-13.741388-2.68165548</f>
        <v>-44.139073190000005</v>
      </c>
      <c r="AD96" s="1100">
        <v>-19.213787490000001</v>
      </c>
      <c r="AE96" s="1100">
        <v>-27.716029710000001</v>
      </c>
      <c r="AF96" s="1100">
        <v>-49.105296690000003</v>
      </c>
      <c r="AG96" s="1100">
        <v>-49.105296690000003</v>
      </c>
      <c r="AH96" s="1100">
        <v>-49.105296690000003</v>
      </c>
      <c r="AI96" s="1106">
        <f>0</f>
        <v>0</v>
      </c>
      <c r="AJ96" s="1092">
        <v>0</v>
      </c>
      <c r="AK96" s="1146">
        <v>0</v>
      </c>
      <c r="AL96" s="1146">
        <v>0</v>
      </c>
      <c r="AM96" s="1146">
        <v>0</v>
      </c>
      <c r="AN96" s="1146">
        <v>0</v>
      </c>
      <c r="AO96" s="1168">
        <v>0</v>
      </c>
      <c r="AP96" s="1168">
        <v>0</v>
      </c>
      <c r="AQ96" s="1168">
        <v>0</v>
      </c>
      <c r="AR96" s="1106">
        <f>0</f>
        <v>0</v>
      </c>
      <c r="AS96" s="1168">
        <f>-AR96</f>
        <v>0</v>
      </c>
      <c r="AT96" s="408" t="s">
        <v>1441</v>
      </c>
    </row>
    <row r="97" spans="1:46" ht="72.650000000000006" hidden="1" customHeight="1" outlineLevel="1" x14ac:dyDescent="0.35">
      <c r="A97" s="590">
        <v>3</v>
      </c>
      <c r="B97" s="612" t="s">
        <v>165</v>
      </c>
      <c r="C97" s="604" t="s">
        <v>165</v>
      </c>
      <c r="D97" s="63">
        <v>44321</v>
      </c>
      <c r="E97" s="432" t="s">
        <v>1439</v>
      </c>
      <c r="F97" s="480" t="s">
        <v>1360</v>
      </c>
      <c r="G97" s="71" t="s">
        <v>38</v>
      </c>
      <c r="H97" s="310" t="s">
        <v>171</v>
      </c>
      <c r="I97" s="1118"/>
      <c r="J97" s="287"/>
      <c r="K97" s="1160"/>
      <c r="L97" s="1172"/>
      <c r="M97" s="1167"/>
      <c r="N97" s="1167"/>
      <c r="O97" s="1167"/>
      <c r="P97" s="1167"/>
      <c r="Q97" s="1167"/>
      <c r="R97" s="1167"/>
      <c r="S97" s="1167"/>
      <c r="T97" s="1167"/>
      <c r="U97" s="1266"/>
      <c r="V97" s="1268"/>
      <c r="W97" s="1078"/>
      <c r="X97" s="1270"/>
      <c r="Y97" s="1102"/>
      <c r="Z97" s="1102"/>
      <c r="AA97" s="1102"/>
      <c r="AB97" s="1104"/>
      <c r="AC97" s="1272"/>
      <c r="AD97" s="1102"/>
      <c r="AE97" s="1102"/>
      <c r="AF97" s="1102"/>
      <c r="AG97" s="1102"/>
      <c r="AH97" s="1102"/>
      <c r="AI97" s="1107"/>
      <c r="AJ97" s="1105"/>
      <c r="AK97" s="1185"/>
      <c r="AL97" s="1185"/>
      <c r="AM97" s="1185"/>
      <c r="AN97" s="1185"/>
      <c r="AO97" s="1186"/>
      <c r="AP97" s="1186"/>
      <c r="AQ97" s="1186"/>
      <c r="AR97" s="1107"/>
      <c r="AS97" s="1186"/>
      <c r="AT97" s="408" t="s">
        <v>1442</v>
      </c>
    </row>
    <row r="98" spans="1:46" ht="72.650000000000006" hidden="1" customHeight="1" outlineLevel="1" x14ac:dyDescent="0.35">
      <c r="A98" s="590">
        <v>4</v>
      </c>
      <c r="B98" s="612" t="s">
        <v>165</v>
      </c>
      <c r="C98" s="604" t="s">
        <v>165</v>
      </c>
      <c r="D98" s="63">
        <v>44347</v>
      </c>
      <c r="E98" s="432" t="s">
        <v>1440</v>
      </c>
      <c r="F98" s="480" t="s">
        <v>1360</v>
      </c>
      <c r="G98" s="71" t="s">
        <v>38</v>
      </c>
      <c r="H98" s="310" t="s">
        <v>171</v>
      </c>
      <c r="I98" s="1118"/>
      <c r="J98" s="287"/>
      <c r="K98" s="1160"/>
      <c r="L98" s="1172"/>
      <c r="M98" s="1167"/>
      <c r="N98" s="1167"/>
      <c r="O98" s="1167"/>
      <c r="P98" s="1167"/>
      <c r="Q98" s="1167"/>
      <c r="R98" s="1167"/>
      <c r="S98" s="1167"/>
      <c r="T98" s="1167"/>
      <c r="U98" s="1266"/>
      <c r="V98" s="1268"/>
      <c r="W98" s="1078"/>
      <c r="X98" s="1270"/>
      <c r="Y98" s="1102"/>
      <c r="Z98" s="1102"/>
      <c r="AA98" s="1102"/>
      <c r="AB98" s="1104"/>
      <c r="AC98" s="1272"/>
      <c r="AD98" s="1102"/>
      <c r="AE98" s="1102"/>
      <c r="AF98" s="1102"/>
      <c r="AG98" s="1102"/>
      <c r="AH98" s="1102"/>
      <c r="AI98" s="1107"/>
      <c r="AJ98" s="1105"/>
      <c r="AK98" s="1185"/>
      <c r="AL98" s="1185"/>
      <c r="AM98" s="1185"/>
      <c r="AN98" s="1185"/>
      <c r="AO98" s="1186"/>
      <c r="AP98" s="1186"/>
      <c r="AQ98" s="1186"/>
      <c r="AR98" s="1107"/>
      <c r="AS98" s="1186"/>
      <c r="AT98" s="408" t="s">
        <v>1443</v>
      </c>
    </row>
    <row r="99" spans="1:46" ht="164.15" hidden="1" customHeight="1" outlineLevel="1" x14ac:dyDescent="0.35">
      <c r="A99" s="590">
        <v>5</v>
      </c>
      <c r="B99" s="612" t="s">
        <v>165</v>
      </c>
      <c r="C99" s="604" t="s">
        <v>165</v>
      </c>
      <c r="D99" s="63" t="s">
        <v>1580</v>
      </c>
      <c r="E99" s="432" t="s">
        <v>1547</v>
      </c>
      <c r="F99" s="480" t="s">
        <v>1360</v>
      </c>
      <c r="G99" s="71" t="s">
        <v>38</v>
      </c>
      <c r="H99" s="310" t="s">
        <v>171</v>
      </c>
      <c r="I99" s="1118"/>
      <c r="J99" s="287"/>
      <c r="K99" s="1160"/>
      <c r="L99" s="1172"/>
      <c r="M99" s="1167"/>
      <c r="N99" s="1167"/>
      <c r="O99" s="1167"/>
      <c r="P99" s="1167"/>
      <c r="Q99" s="1167"/>
      <c r="R99" s="1167"/>
      <c r="S99" s="1167"/>
      <c r="T99" s="1167"/>
      <c r="U99" s="1266"/>
      <c r="V99" s="1268"/>
      <c r="W99" s="1078"/>
      <c r="X99" s="1270"/>
      <c r="Y99" s="1102"/>
      <c r="Z99" s="1102"/>
      <c r="AA99" s="1102"/>
      <c r="AB99" s="1104"/>
      <c r="AC99" s="1272"/>
      <c r="AD99" s="1102"/>
      <c r="AE99" s="1102"/>
      <c r="AF99" s="1102"/>
      <c r="AG99" s="1102"/>
      <c r="AH99" s="1102"/>
      <c r="AI99" s="1107"/>
      <c r="AJ99" s="1105"/>
      <c r="AK99" s="1185"/>
      <c r="AL99" s="1185"/>
      <c r="AM99" s="1185"/>
      <c r="AN99" s="1185"/>
      <c r="AO99" s="1186"/>
      <c r="AP99" s="1186"/>
      <c r="AQ99" s="1186"/>
      <c r="AR99" s="1107"/>
      <c r="AS99" s="1186"/>
      <c r="AT99" s="408" t="s">
        <v>1582</v>
      </c>
    </row>
    <row r="100" spans="1:46" ht="120.65" hidden="1" customHeight="1" outlineLevel="1" x14ac:dyDescent="0.35">
      <c r="A100" s="590">
        <v>6</v>
      </c>
      <c r="B100" s="612" t="s">
        <v>165</v>
      </c>
      <c r="C100" s="604" t="s">
        <v>165</v>
      </c>
      <c r="D100" s="63">
        <v>44425</v>
      </c>
      <c r="E100" s="432" t="s">
        <v>1579</v>
      </c>
      <c r="F100" s="480" t="s">
        <v>1360</v>
      </c>
      <c r="G100" s="71" t="s">
        <v>38</v>
      </c>
      <c r="H100" s="310" t="s">
        <v>171</v>
      </c>
      <c r="I100" s="1118"/>
      <c r="J100" s="287"/>
      <c r="K100" s="1160"/>
      <c r="L100" s="1172"/>
      <c r="M100" s="1167"/>
      <c r="N100" s="1167"/>
      <c r="O100" s="1167"/>
      <c r="P100" s="1167"/>
      <c r="Q100" s="1167"/>
      <c r="R100" s="1167"/>
      <c r="S100" s="1167"/>
      <c r="T100" s="1167"/>
      <c r="U100" s="1266"/>
      <c r="V100" s="1268"/>
      <c r="W100" s="1078"/>
      <c r="X100" s="1270"/>
      <c r="Y100" s="1102"/>
      <c r="Z100" s="1102"/>
      <c r="AA100" s="1102"/>
      <c r="AB100" s="1104"/>
      <c r="AC100" s="1272"/>
      <c r="AD100" s="1102"/>
      <c r="AE100" s="1102"/>
      <c r="AF100" s="1102"/>
      <c r="AG100" s="1102"/>
      <c r="AH100" s="1102"/>
      <c r="AI100" s="1107"/>
      <c r="AJ100" s="1105"/>
      <c r="AK100" s="1185"/>
      <c r="AL100" s="1185"/>
      <c r="AM100" s="1185"/>
      <c r="AN100" s="1185"/>
      <c r="AO100" s="1186"/>
      <c r="AP100" s="1186"/>
      <c r="AQ100" s="1186"/>
      <c r="AR100" s="1107"/>
      <c r="AS100" s="1186"/>
      <c r="AT100" s="408" t="s">
        <v>1581</v>
      </c>
    </row>
    <row r="101" spans="1:46" ht="120.65" hidden="1" customHeight="1" outlineLevel="1" x14ac:dyDescent="0.35">
      <c r="A101" s="590">
        <v>7</v>
      </c>
      <c r="B101" s="612" t="s">
        <v>165</v>
      </c>
      <c r="C101" s="604" t="s">
        <v>165</v>
      </c>
      <c r="D101" s="63">
        <v>44439</v>
      </c>
      <c r="E101" s="439" t="s">
        <v>1602</v>
      </c>
      <c r="F101" s="480" t="s">
        <v>1360</v>
      </c>
      <c r="G101" s="71" t="s">
        <v>38</v>
      </c>
      <c r="H101" s="310" t="s">
        <v>171</v>
      </c>
      <c r="I101" s="1118"/>
      <c r="J101" s="287"/>
      <c r="K101" s="1160"/>
      <c r="L101" s="1172"/>
      <c r="M101" s="1167"/>
      <c r="N101" s="1167"/>
      <c r="O101" s="1167"/>
      <c r="P101" s="1167"/>
      <c r="Q101" s="1167"/>
      <c r="R101" s="1167"/>
      <c r="S101" s="1167"/>
      <c r="T101" s="1167"/>
      <c r="U101" s="1266"/>
      <c r="V101" s="1268"/>
      <c r="W101" s="1078"/>
      <c r="X101" s="1270"/>
      <c r="Y101" s="1102"/>
      <c r="Z101" s="1102"/>
      <c r="AA101" s="1102"/>
      <c r="AB101" s="1104"/>
      <c r="AC101" s="1272"/>
      <c r="AD101" s="1102"/>
      <c r="AE101" s="1102"/>
      <c r="AF101" s="1102"/>
      <c r="AG101" s="1102"/>
      <c r="AH101" s="1102"/>
      <c r="AI101" s="1107"/>
      <c r="AJ101" s="1105"/>
      <c r="AK101" s="1185"/>
      <c r="AL101" s="1185"/>
      <c r="AM101" s="1185"/>
      <c r="AN101" s="1185"/>
      <c r="AO101" s="1186"/>
      <c r="AP101" s="1186"/>
      <c r="AQ101" s="1186"/>
      <c r="AR101" s="1107"/>
      <c r="AS101" s="1186"/>
      <c r="AT101" s="408" t="s">
        <v>1601</v>
      </c>
    </row>
    <row r="102" spans="1:46" ht="182.15" hidden="1" customHeight="1" outlineLevel="1" x14ac:dyDescent="0.35">
      <c r="A102" s="590">
        <v>8</v>
      </c>
      <c r="B102" s="612" t="s">
        <v>165</v>
      </c>
      <c r="C102" s="604" t="s">
        <v>165</v>
      </c>
      <c r="D102" s="63">
        <v>44475</v>
      </c>
      <c r="E102" s="432" t="s">
        <v>1843</v>
      </c>
      <c r="F102" s="480" t="s">
        <v>1360</v>
      </c>
      <c r="G102" s="71" t="s">
        <v>38</v>
      </c>
      <c r="H102" s="310" t="s">
        <v>171</v>
      </c>
      <c r="I102" s="1118"/>
      <c r="J102" s="287"/>
      <c r="K102" s="1160"/>
      <c r="L102" s="1172"/>
      <c r="M102" s="1167"/>
      <c r="N102" s="1167"/>
      <c r="O102" s="1167"/>
      <c r="P102" s="1167"/>
      <c r="Q102" s="1167"/>
      <c r="R102" s="1167"/>
      <c r="S102" s="1167"/>
      <c r="T102" s="1167"/>
      <c r="U102" s="1266"/>
      <c r="V102" s="1268"/>
      <c r="W102" s="1078"/>
      <c r="X102" s="1270"/>
      <c r="Y102" s="1102"/>
      <c r="Z102" s="1102"/>
      <c r="AA102" s="1102"/>
      <c r="AB102" s="1104"/>
      <c r="AC102" s="1272"/>
      <c r="AD102" s="1102"/>
      <c r="AE102" s="1102"/>
      <c r="AF102" s="1102"/>
      <c r="AG102" s="1102"/>
      <c r="AH102" s="1102"/>
      <c r="AI102" s="1107"/>
      <c r="AJ102" s="1105"/>
      <c r="AK102" s="1185"/>
      <c r="AL102" s="1185"/>
      <c r="AM102" s="1185"/>
      <c r="AN102" s="1185"/>
      <c r="AO102" s="1186"/>
      <c r="AP102" s="1186"/>
      <c r="AQ102" s="1186"/>
      <c r="AR102" s="1107"/>
      <c r="AS102" s="1186"/>
      <c r="AT102" s="408" t="s">
        <v>1842</v>
      </c>
    </row>
    <row r="103" spans="1:46" ht="137.15" hidden="1" customHeight="1" outlineLevel="1" x14ac:dyDescent="0.35">
      <c r="A103" s="590">
        <v>9</v>
      </c>
      <c r="B103" s="612" t="s">
        <v>165</v>
      </c>
      <c r="C103" s="604" t="s">
        <v>165</v>
      </c>
      <c r="D103" s="63">
        <v>44496</v>
      </c>
      <c r="E103" s="432" t="s">
        <v>1844</v>
      </c>
      <c r="F103" s="480" t="s">
        <v>1360</v>
      </c>
      <c r="G103" s="71" t="s">
        <v>38</v>
      </c>
      <c r="H103" s="310" t="s">
        <v>171</v>
      </c>
      <c r="I103" s="1118"/>
      <c r="J103" s="287"/>
      <c r="K103" s="1160"/>
      <c r="L103" s="1172"/>
      <c r="M103" s="1167"/>
      <c r="N103" s="1167"/>
      <c r="O103" s="1167"/>
      <c r="P103" s="1167"/>
      <c r="Q103" s="1167"/>
      <c r="R103" s="1167"/>
      <c r="S103" s="1167"/>
      <c r="T103" s="1167"/>
      <c r="U103" s="1266"/>
      <c r="V103" s="1268"/>
      <c r="W103" s="1078"/>
      <c r="X103" s="1270"/>
      <c r="Y103" s="1102"/>
      <c r="Z103" s="1102"/>
      <c r="AA103" s="1102"/>
      <c r="AB103" s="1104"/>
      <c r="AC103" s="1272"/>
      <c r="AD103" s="1102"/>
      <c r="AE103" s="1102"/>
      <c r="AF103" s="1102"/>
      <c r="AG103" s="1102"/>
      <c r="AH103" s="1102"/>
      <c r="AI103" s="1107"/>
      <c r="AJ103" s="1105"/>
      <c r="AK103" s="1185"/>
      <c r="AL103" s="1185"/>
      <c r="AM103" s="1185"/>
      <c r="AN103" s="1185"/>
      <c r="AO103" s="1186"/>
      <c r="AP103" s="1186"/>
      <c r="AQ103" s="1186"/>
      <c r="AR103" s="1107"/>
      <c r="AS103" s="1186"/>
      <c r="AT103" s="1264" t="s">
        <v>1841</v>
      </c>
    </row>
    <row r="104" spans="1:46" ht="137.15" hidden="1" customHeight="1" outlineLevel="1" x14ac:dyDescent="0.35">
      <c r="A104" s="590">
        <v>10</v>
      </c>
      <c r="B104" s="612" t="s">
        <v>165</v>
      </c>
      <c r="C104" s="604" t="s">
        <v>165</v>
      </c>
      <c r="D104" s="63">
        <v>44530</v>
      </c>
      <c r="E104" s="439" t="s">
        <v>1846</v>
      </c>
      <c r="F104" s="480" t="s">
        <v>1360</v>
      </c>
      <c r="G104" s="71" t="s">
        <v>38</v>
      </c>
      <c r="H104" s="310" t="s">
        <v>171</v>
      </c>
      <c r="I104" s="1118"/>
      <c r="J104" s="287"/>
      <c r="K104" s="1160"/>
      <c r="L104" s="1172"/>
      <c r="M104" s="1167"/>
      <c r="N104" s="1167"/>
      <c r="O104" s="1167"/>
      <c r="P104" s="1167"/>
      <c r="Q104" s="1167"/>
      <c r="R104" s="1167"/>
      <c r="S104" s="1167"/>
      <c r="T104" s="1167"/>
      <c r="U104" s="1266"/>
      <c r="V104" s="1268"/>
      <c r="W104" s="1078"/>
      <c r="X104" s="1270"/>
      <c r="Y104" s="1102"/>
      <c r="Z104" s="1102"/>
      <c r="AA104" s="1102"/>
      <c r="AB104" s="1104"/>
      <c r="AC104" s="1272"/>
      <c r="AD104" s="1102"/>
      <c r="AE104" s="1102"/>
      <c r="AF104" s="1102"/>
      <c r="AG104" s="1102"/>
      <c r="AH104" s="1102"/>
      <c r="AI104" s="1107"/>
      <c r="AJ104" s="1105"/>
      <c r="AK104" s="1185"/>
      <c r="AL104" s="1185"/>
      <c r="AM104" s="1185"/>
      <c r="AN104" s="1185"/>
      <c r="AO104" s="1186"/>
      <c r="AP104" s="1186"/>
      <c r="AQ104" s="1186"/>
      <c r="AR104" s="1107"/>
      <c r="AS104" s="1186"/>
      <c r="AT104" s="1265"/>
    </row>
    <row r="105" spans="1:46" ht="136.5" hidden="1" customHeight="1" outlineLevel="1" x14ac:dyDescent="0.35">
      <c r="A105" s="590">
        <v>11</v>
      </c>
      <c r="B105" s="612" t="s">
        <v>165</v>
      </c>
      <c r="C105" s="604" t="s">
        <v>165</v>
      </c>
      <c r="D105" s="63" t="s">
        <v>2340</v>
      </c>
      <c r="E105" s="439" t="s">
        <v>2341</v>
      </c>
      <c r="F105" s="869" t="s">
        <v>1360</v>
      </c>
      <c r="G105" s="71" t="s">
        <v>38</v>
      </c>
      <c r="H105" s="310" t="s">
        <v>171</v>
      </c>
      <c r="I105" s="334"/>
      <c r="J105" s="287"/>
      <c r="K105" s="294">
        <f>M105+P105+U105+R105+T105</f>
        <v>69.066145579999997</v>
      </c>
      <c r="L105" s="182">
        <v>0</v>
      </c>
      <c r="M105" s="80">
        <v>0</v>
      </c>
      <c r="N105" s="80">
        <v>0</v>
      </c>
      <c r="O105" s="80">
        <v>0</v>
      </c>
      <c r="P105" s="80">
        <v>0</v>
      </c>
      <c r="Q105" s="80">
        <f>-AC105</f>
        <v>48.160197429999997</v>
      </c>
      <c r="R105" s="80">
        <f>-AC105</f>
        <v>48.160197429999997</v>
      </c>
      <c r="S105" s="80">
        <f>-AI105</f>
        <v>68.161741370000001</v>
      </c>
      <c r="T105" s="80">
        <f>-AJ105</f>
        <v>20.90594815</v>
      </c>
      <c r="U105" s="401">
        <v>0</v>
      </c>
      <c r="V105" s="573">
        <v>0</v>
      </c>
      <c r="W105" s="326">
        <v>0</v>
      </c>
      <c r="X105" s="207">
        <v>0</v>
      </c>
      <c r="Y105" s="132">
        <v>0</v>
      </c>
      <c r="Z105" s="132">
        <f>X105</f>
        <v>0</v>
      </c>
      <c r="AA105" s="132">
        <f>X105</f>
        <v>0</v>
      </c>
      <c r="AB105" s="907">
        <v>0</v>
      </c>
      <c r="AC105" s="895">
        <f>-12.67375983-8.11950798-10.11589164-5.02694944-3.94193522-8.1975592-0.08459412</f>
        <v>-48.160197429999997</v>
      </c>
      <c r="AD105" s="132">
        <v>0</v>
      </c>
      <c r="AE105" s="132">
        <v>0</v>
      </c>
      <c r="AF105" s="132">
        <v>0</v>
      </c>
      <c r="AG105" s="132">
        <v>0</v>
      </c>
      <c r="AH105" s="132">
        <v>0</v>
      </c>
      <c r="AI105" s="926">
        <f>-68.16174137</f>
        <v>-68.161741370000001</v>
      </c>
      <c r="AJ105" s="207">
        <f>-5.68832876-2.80198586-1.73888967-2.94819925-1.31023487-6.33371562-0.08459412</f>
        <v>-20.90594815</v>
      </c>
      <c r="AK105" s="367">
        <v>-5.6883287600000001</v>
      </c>
      <c r="AL105" s="367">
        <v>-5.6883287600000001</v>
      </c>
      <c r="AM105" s="367">
        <v>-20.90594815</v>
      </c>
      <c r="AN105" s="367">
        <v>-20.90594815</v>
      </c>
      <c r="AO105" s="295">
        <v>0</v>
      </c>
      <c r="AP105" s="295">
        <v>0</v>
      </c>
      <c r="AQ105" s="295">
        <v>0</v>
      </c>
      <c r="AR105" s="926">
        <v>-15.359197999999999</v>
      </c>
      <c r="AS105" s="295">
        <f>-AR105</f>
        <v>15.359197999999999</v>
      </c>
      <c r="AT105" s="408" t="s">
        <v>1845</v>
      </c>
    </row>
    <row r="106" spans="1:46" ht="18.5" collapsed="1" x14ac:dyDescent="0.35">
      <c r="A106" s="307" t="s">
        <v>52</v>
      </c>
      <c r="B106" s="616"/>
      <c r="C106" s="12"/>
      <c r="D106" s="13"/>
      <c r="E106" s="414"/>
      <c r="F106" s="491"/>
      <c r="G106" s="376" t="s">
        <v>1727</v>
      </c>
      <c r="H106" s="380" t="s">
        <v>1727</v>
      </c>
      <c r="I106" s="332"/>
      <c r="J106" s="507"/>
      <c r="K106" s="508">
        <f t="shared" ref="K106:AS106" ca="1" si="279">K107+K263+K281+K316+K346+K351+K386+K390</f>
        <v>3094.6832073599999</v>
      </c>
      <c r="L106" s="515">
        <f t="shared" si="279"/>
        <v>661.15502700000002</v>
      </c>
      <c r="M106" s="511">
        <f t="shared" si="279"/>
        <v>631.83905000000004</v>
      </c>
      <c r="N106" s="511">
        <f t="shared" si="279"/>
        <v>2148.6091774000001</v>
      </c>
      <c r="O106" s="512">
        <f t="shared" si="279"/>
        <v>2148.6091774000001</v>
      </c>
      <c r="P106" s="511">
        <f t="shared" si="279"/>
        <v>1497.2107644100001</v>
      </c>
      <c r="Q106" s="511">
        <f t="shared" si="279"/>
        <v>977.46527494999998</v>
      </c>
      <c r="R106" s="511">
        <f t="shared" si="279"/>
        <v>977.46527494999998</v>
      </c>
      <c r="S106" s="511">
        <f t="shared" ref="S106" si="280">S107+S263+S281+S316+S346+S351+S386+S390</f>
        <v>594.38529026999981</v>
      </c>
      <c r="T106" s="511">
        <f t="shared" si="279"/>
        <v>63.402514999999994</v>
      </c>
      <c r="U106" s="513">
        <f t="shared" si="279"/>
        <v>5.330508</v>
      </c>
      <c r="V106" s="574">
        <f t="shared" si="279"/>
        <v>-661.15502700000002</v>
      </c>
      <c r="W106" s="323">
        <f t="shared" si="279"/>
        <v>-622.37720810999997</v>
      </c>
      <c r="X106" s="510">
        <f t="shared" si="279"/>
        <v>-2074.8341184000001</v>
      </c>
      <c r="Y106" s="514">
        <f t="shared" si="279"/>
        <v>-1491.2843250000001</v>
      </c>
      <c r="Z106" s="514">
        <f t="shared" si="279"/>
        <v>-1698.4713390000002</v>
      </c>
      <c r="AA106" s="524">
        <f t="shared" si="279"/>
        <v>-1604.4489189999999</v>
      </c>
      <c r="AB106" s="510">
        <f t="shared" si="279"/>
        <v>-1456.25409341</v>
      </c>
      <c r="AC106" s="511">
        <f t="shared" si="279"/>
        <v>-997.51195084999983</v>
      </c>
      <c r="AD106" s="514">
        <f t="shared" si="279"/>
        <v>-241.84095399999998</v>
      </c>
      <c r="AE106" s="514">
        <f t="shared" si="279"/>
        <v>-263.09965195000001</v>
      </c>
      <c r="AF106" s="514">
        <f t="shared" si="279"/>
        <v>-515.5037629499999</v>
      </c>
      <c r="AG106" s="514">
        <f t="shared" si="279"/>
        <v>-690.13277084999982</v>
      </c>
      <c r="AH106" s="514">
        <f t="shared" si="279"/>
        <v>-674.73277084999984</v>
      </c>
      <c r="AI106" s="508">
        <f t="shared" ref="AI106" si="281">AI107+AI263+AI281+AI316+AI346+AI351+AI386+AI390</f>
        <v>-623.97303616999989</v>
      </c>
      <c r="AJ106" s="511">
        <f t="shared" si="279"/>
        <v>-97.271488949999991</v>
      </c>
      <c r="AK106" s="638">
        <f t="shared" si="279"/>
        <v>-93.194263939999999</v>
      </c>
      <c r="AL106" s="638">
        <f t="shared" si="279"/>
        <v>-93.194263939999999</v>
      </c>
      <c r="AM106" s="638">
        <f t="shared" ref="AM106:AP106" si="282">AM107+AM263+AM281+AM316+AM346+AM351+AM386+AM390</f>
        <v>-97.271488949999991</v>
      </c>
      <c r="AN106" s="638">
        <f t="shared" ref="AN106" si="283">AN107+AN263+AN281+AN316+AN346+AN351+AN386+AN390</f>
        <v>-97.271488949999991</v>
      </c>
      <c r="AO106" s="513">
        <f t="shared" si="282"/>
        <v>-7.4185970000000001</v>
      </c>
      <c r="AP106" s="513">
        <f t="shared" si="282"/>
        <v>-5.330508</v>
      </c>
      <c r="AQ106" s="513">
        <f t="shared" si="279"/>
        <v>-5.330508</v>
      </c>
      <c r="AR106" s="508">
        <f t="shared" si="279"/>
        <v>-72.03926899999999</v>
      </c>
      <c r="AS106" s="908">
        <f t="shared" si="279"/>
        <v>53.14683999999999</v>
      </c>
      <c r="AT106" s="416"/>
    </row>
    <row r="107" spans="1:46" ht="18.5" x14ac:dyDescent="0.35">
      <c r="A107" s="436">
        <v>1</v>
      </c>
      <c r="B107" s="618" t="s">
        <v>1721</v>
      </c>
      <c r="C107" s="599"/>
      <c r="D107" s="345"/>
      <c r="E107" s="429"/>
      <c r="F107" s="478"/>
      <c r="G107" s="378" t="s">
        <v>1727</v>
      </c>
      <c r="H107" s="379" t="s">
        <v>1727</v>
      </c>
      <c r="I107" s="346"/>
      <c r="J107" s="381"/>
      <c r="K107" s="523">
        <f t="shared" ref="K107:AS107" si="284">SUM(K108:K262)</f>
        <v>1353.5727390000002</v>
      </c>
      <c r="L107" s="363">
        <f t="shared" si="284"/>
        <v>146.38430100000002</v>
      </c>
      <c r="M107" s="363">
        <f t="shared" si="284"/>
        <v>133.10977500000001</v>
      </c>
      <c r="N107" s="363">
        <f t="shared" si="284"/>
        <v>822.69843800000024</v>
      </c>
      <c r="O107" s="363">
        <f t="shared" si="284"/>
        <v>822.69843800000024</v>
      </c>
      <c r="P107" s="363">
        <f t="shared" si="284"/>
        <v>578.44283900000016</v>
      </c>
      <c r="Q107" s="363">
        <f t="shared" si="284"/>
        <v>573.287102</v>
      </c>
      <c r="R107" s="363">
        <f t="shared" si="284"/>
        <v>573.287102</v>
      </c>
      <c r="S107" s="363">
        <f t="shared" ref="S107" si="285">SUM(S108:S262)</f>
        <v>378.4128495999999</v>
      </c>
      <c r="T107" s="363">
        <f t="shared" si="284"/>
        <v>63.402514999999994</v>
      </c>
      <c r="U107" s="364">
        <f t="shared" si="284"/>
        <v>5.330508</v>
      </c>
      <c r="V107" s="572">
        <f t="shared" si="284"/>
        <v>-146.38430100000002</v>
      </c>
      <c r="W107" s="347">
        <f t="shared" si="284"/>
        <v>-123.64793311000001</v>
      </c>
      <c r="X107" s="363">
        <f t="shared" si="284"/>
        <v>-748.92337900000018</v>
      </c>
      <c r="Y107" s="365">
        <f t="shared" si="284"/>
        <v>-668.92453400000011</v>
      </c>
      <c r="Z107" s="365">
        <f t="shared" si="284"/>
        <v>-546.83624500000008</v>
      </c>
      <c r="AA107" s="567">
        <f t="shared" si="284"/>
        <v>-463.79582499999992</v>
      </c>
      <c r="AB107" s="350">
        <f t="shared" si="284"/>
        <v>-538.17287899999985</v>
      </c>
      <c r="AC107" s="363">
        <f t="shared" si="284"/>
        <v>-606.11478289999991</v>
      </c>
      <c r="AD107" s="365">
        <f t="shared" si="284"/>
        <v>-143.936308</v>
      </c>
      <c r="AE107" s="467">
        <f t="shared" si="284"/>
        <v>-170.32769500000001</v>
      </c>
      <c r="AF107" s="467">
        <f t="shared" si="284"/>
        <v>-326.50993699999998</v>
      </c>
      <c r="AG107" s="467">
        <f t="shared" si="284"/>
        <v>-452.28068689999986</v>
      </c>
      <c r="AH107" s="467">
        <f t="shared" si="284"/>
        <v>-436.88068689999989</v>
      </c>
      <c r="AI107" s="347">
        <f t="shared" ref="AI107" si="286">SUM(AI108:AI262)</f>
        <v>-408.00059549999992</v>
      </c>
      <c r="AJ107" s="363">
        <f t="shared" si="284"/>
        <v>-83.803772949999995</v>
      </c>
      <c r="AK107" s="365">
        <f t="shared" si="284"/>
        <v>-79.726547940000003</v>
      </c>
      <c r="AL107" s="365">
        <f t="shared" si="284"/>
        <v>-79.726547940000003</v>
      </c>
      <c r="AM107" s="365">
        <f t="shared" ref="AM107:AP107" si="287">SUM(AM108:AM262)</f>
        <v>-83.803772949999995</v>
      </c>
      <c r="AN107" s="365">
        <f t="shared" ref="AN107" si="288">SUM(AN108:AN262)</f>
        <v>-83.803772949999995</v>
      </c>
      <c r="AO107" s="364">
        <f t="shared" si="287"/>
        <v>-7.4185970000000001</v>
      </c>
      <c r="AP107" s="364">
        <f t="shared" si="287"/>
        <v>-5.330508</v>
      </c>
      <c r="AQ107" s="364">
        <f t="shared" si="284"/>
        <v>-5.330508</v>
      </c>
      <c r="AR107" s="347">
        <f t="shared" si="284"/>
        <v>-67.974075999999997</v>
      </c>
      <c r="AS107" s="909">
        <f t="shared" si="284"/>
        <v>49.081646999999997</v>
      </c>
      <c r="AT107" s="348"/>
    </row>
    <row r="108" spans="1:46" ht="43.5" hidden="1" customHeight="1" outlineLevel="1" x14ac:dyDescent="0.35">
      <c r="A108" s="590">
        <v>1</v>
      </c>
      <c r="B108" s="612" t="s">
        <v>69</v>
      </c>
      <c r="C108" s="607" t="s">
        <v>1730</v>
      </c>
      <c r="D108" s="86">
        <v>43893</v>
      </c>
      <c r="E108" s="432" t="s">
        <v>63</v>
      </c>
      <c r="F108" s="480" t="s">
        <v>344</v>
      </c>
      <c r="G108" s="95" t="s">
        <v>24</v>
      </c>
      <c r="H108" s="310" t="s">
        <v>171</v>
      </c>
      <c r="I108" s="334"/>
      <c r="J108" s="283"/>
      <c r="K108" s="294">
        <f>M108+P108+U108+R108+T108</f>
        <v>0.88189099999999998</v>
      </c>
      <c r="L108" s="182">
        <f>-V108</f>
        <v>0.88580499999999995</v>
      </c>
      <c r="M108" s="80">
        <v>0.88189099999999998</v>
      </c>
      <c r="N108" s="80">
        <v>0</v>
      </c>
      <c r="O108" s="80">
        <v>0</v>
      </c>
      <c r="P108" s="80">
        <v>0</v>
      </c>
      <c r="Q108" s="80">
        <v>0</v>
      </c>
      <c r="R108" s="80">
        <v>0</v>
      </c>
      <c r="S108" s="80">
        <v>0</v>
      </c>
      <c r="T108" s="80">
        <v>0</v>
      </c>
      <c r="U108" s="401">
        <v>0</v>
      </c>
      <c r="V108" s="893">
        <v>-0.88580499999999995</v>
      </c>
      <c r="W108" s="387">
        <v>-0.34000999999999998</v>
      </c>
      <c r="X108" s="207">
        <v>-0.54188099999999995</v>
      </c>
      <c r="Y108" s="367">
        <v>0</v>
      </c>
      <c r="Z108" s="367">
        <v>-0.54188099999999995</v>
      </c>
      <c r="AA108" s="468">
        <v>-0.54188099999999995</v>
      </c>
      <c r="AB108" s="910">
        <f>-0.455547</f>
        <v>-0.45554699999999998</v>
      </c>
      <c r="AC108" s="207">
        <v>0</v>
      </c>
      <c r="AD108" s="367">
        <v>0</v>
      </c>
      <c r="AE108" s="468">
        <v>0</v>
      </c>
      <c r="AF108" s="468">
        <v>0</v>
      </c>
      <c r="AG108" s="468">
        <v>0</v>
      </c>
      <c r="AH108" s="468">
        <v>0</v>
      </c>
      <c r="AI108" s="911">
        <v>0</v>
      </c>
      <c r="AJ108" s="207">
        <v>-8.6333999999999994E-2</v>
      </c>
      <c r="AK108" s="367">
        <v>-8.6333999999999994E-2</v>
      </c>
      <c r="AL108" s="367">
        <v>-8.6333999999999994E-2</v>
      </c>
      <c r="AM108" s="367">
        <v>-8.6333999999999994E-2</v>
      </c>
      <c r="AN108" s="367">
        <v>-8.6333999999999994E-2</v>
      </c>
      <c r="AO108" s="295">
        <v>0</v>
      </c>
      <c r="AP108" s="295">
        <v>0</v>
      </c>
      <c r="AQ108" s="295">
        <v>0</v>
      </c>
      <c r="AR108" s="911">
        <v>-3.0625099999999999E-2</v>
      </c>
      <c r="AS108" s="896">
        <v>0</v>
      </c>
      <c r="AT108" s="408" t="s">
        <v>581</v>
      </c>
    </row>
    <row r="109" spans="1:46" ht="58" hidden="1" customHeight="1" outlineLevel="1" x14ac:dyDescent="0.35">
      <c r="A109" s="590">
        <v>2</v>
      </c>
      <c r="B109" s="612" t="s">
        <v>69</v>
      </c>
      <c r="C109" s="607" t="s">
        <v>1730</v>
      </c>
      <c r="D109" s="86">
        <v>43930</v>
      </c>
      <c r="E109" s="432" t="s">
        <v>66</v>
      </c>
      <c r="F109" s="480" t="s">
        <v>45</v>
      </c>
      <c r="G109" s="95" t="s">
        <v>24</v>
      </c>
      <c r="H109" s="310" t="s">
        <v>171</v>
      </c>
      <c r="I109" s="334"/>
      <c r="J109" s="283"/>
      <c r="K109" s="294">
        <f>M109+P109+U109+R109+T109</f>
        <v>14.108836999999999</v>
      </c>
      <c r="L109" s="182">
        <f>-V109</f>
        <v>14.108836999999999</v>
      </c>
      <c r="M109" s="80">
        <v>14.108836999999999</v>
      </c>
      <c r="N109" s="80">
        <v>0</v>
      </c>
      <c r="O109" s="80">
        <v>0</v>
      </c>
      <c r="P109" s="80">
        <v>0</v>
      </c>
      <c r="Q109" s="80">
        <v>0</v>
      </c>
      <c r="R109" s="80">
        <v>0</v>
      </c>
      <c r="S109" s="80">
        <v>0</v>
      </c>
      <c r="T109" s="80">
        <v>0</v>
      </c>
      <c r="U109" s="401">
        <v>0</v>
      </c>
      <c r="V109" s="893">
        <v>-14.108836999999999</v>
      </c>
      <c r="W109" s="387">
        <v>-8.5886549999999993</v>
      </c>
      <c r="X109" s="207">
        <v>-5.2165590000000002</v>
      </c>
      <c r="Y109" s="367">
        <v>0</v>
      </c>
      <c r="Z109" s="367">
        <v>-5.2165590000000002</v>
      </c>
      <c r="AA109" s="468">
        <v>-5.2165590000000002</v>
      </c>
      <c r="AB109" s="207">
        <v>-4.3190679999999997</v>
      </c>
      <c r="AC109" s="207">
        <v>-1.019274</v>
      </c>
      <c r="AD109" s="367">
        <v>-0.30362299999999998</v>
      </c>
      <c r="AE109" s="468">
        <v>-0.30362299999999998</v>
      </c>
      <c r="AF109" s="468">
        <v>-1.201114</v>
      </c>
      <c r="AG109" s="468">
        <v>-1.019274</v>
      </c>
      <c r="AH109" s="468">
        <v>-1.019274</v>
      </c>
      <c r="AI109" s="939">
        <v>-0.96244399999999997</v>
      </c>
      <c r="AJ109" s="207">
        <v>-0.23866999999999999</v>
      </c>
      <c r="AK109" s="367">
        <v>-0.181839</v>
      </c>
      <c r="AL109" s="367">
        <v>-0.181839</v>
      </c>
      <c r="AM109" s="367">
        <v>-0.23866999999999999</v>
      </c>
      <c r="AN109" s="367">
        <v>-0.23866999999999999</v>
      </c>
      <c r="AO109" s="295">
        <v>0</v>
      </c>
      <c r="AP109" s="295">
        <v>0</v>
      </c>
      <c r="AQ109" s="295">
        <v>0</v>
      </c>
      <c r="AR109" s="939">
        <v>-5.3830999999999997E-2</v>
      </c>
      <c r="AS109" s="896">
        <v>0</v>
      </c>
      <c r="AT109" s="408" t="s">
        <v>580</v>
      </c>
    </row>
    <row r="110" spans="1:46" ht="58" hidden="1" customHeight="1" outlineLevel="1" x14ac:dyDescent="0.35">
      <c r="A110" s="590">
        <v>3</v>
      </c>
      <c r="B110" s="612" t="s">
        <v>69</v>
      </c>
      <c r="C110" s="607" t="s">
        <v>1730</v>
      </c>
      <c r="D110" s="86">
        <v>44090</v>
      </c>
      <c r="E110" s="440" t="s">
        <v>590</v>
      </c>
      <c r="F110" s="480" t="s">
        <v>1362</v>
      </c>
      <c r="G110" s="95" t="s">
        <v>24</v>
      </c>
      <c r="H110" s="310" t="s">
        <v>171</v>
      </c>
      <c r="I110" s="334"/>
      <c r="J110" s="283"/>
      <c r="K110" s="294">
        <f>M110+P110+U110+R110+T110</f>
        <v>6.2208500000000004</v>
      </c>
      <c r="L110" s="182">
        <f>-V110</f>
        <v>0</v>
      </c>
      <c r="M110" s="80">
        <v>6.2208500000000004</v>
      </c>
      <c r="N110" s="80">
        <v>0</v>
      </c>
      <c r="O110" s="80">
        <v>0</v>
      </c>
      <c r="P110" s="80">
        <v>0</v>
      </c>
      <c r="Q110" s="80">
        <v>0</v>
      </c>
      <c r="R110" s="80">
        <v>0</v>
      </c>
      <c r="S110" s="80">
        <v>0</v>
      </c>
      <c r="T110" s="80">
        <v>0</v>
      </c>
      <c r="U110" s="401">
        <v>0</v>
      </c>
      <c r="V110" s="893">
        <v>0</v>
      </c>
      <c r="W110" s="387">
        <v>-2.7677761099999998</v>
      </c>
      <c r="X110" s="207">
        <v>-3.4227569999999998</v>
      </c>
      <c r="Y110" s="367">
        <v>0</v>
      </c>
      <c r="Z110" s="367">
        <v>-3.4227569999999998</v>
      </c>
      <c r="AA110" s="468">
        <v>-3.4227569999999998</v>
      </c>
      <c r="AB110" s="207">
        <v>-3.453074</v>
      </c>
      <c r="AC110" s="207">
        <v>0</v>
      </c>
      <c r="AD110" s="367">
        <v>0</v>
      </c>
      <c r="AE110" s="468">
        <v>0</v>
      </c>
      <c r="AF110" s="468">
        <v>0</v>
      </c>
      <c r="AG110" s="468">
        <v>0</v>
      </c>
      <c r="AH110" s="468">
        <v>0</v>
      </c>
      <c r="AI110" s="387">
        <v>0</v>
      </c>
      <c r="AJ110" s="207">
        <v>0</v>
      </c>
      <c r="AK110" s="367">
        <v>0</v>
      </c>
      <c r="AL110" s="367">
        <v>0</v>
      </c>
      <c r="AM110" s="367">
        <v>0</v>
      </c>
      <c r="AN110" s="367">
        <v>0</v>
      </c>
      <c r="AO110" s="295">
        <v>0</v>
      </c>
      <c r="AP110" s="295">
        <v>0</v>
      </c>
      <c r="AQ110" s="295">
        <v>0</v>
      </c>
      <c r="AR110" s="387">
        <v>0</v>
      </c>
      <c r="AS110" s="896">
        <v>0</v>
      </c>
      <c r="AT110" s="408" t="s">
        <v>1363</v>
      </c>
    </row>
    <row r="111" spans="1:46" ht="43.5" hidden="1" customHeight="1" outlineLevel="1" x14ac:dyDescent="0.35">
      <c r="A111" s="590">
        <v>4</v>
      </c>
      <c r="B111" s="612" t="s">
        <v>69</v>
      </c>
      <c r="C111" s="607" t="s">
        <v>1731</v>
      </c>
      <c r="D111" s="86">
        <v>43910</v>
      </c>
      <c r="E111" s="432" t="s">
        <v>67</v>
      </c>
      <c r="F111" s="480" t="s">
        <v>46</v>
      </c>
      <c r="G111" s="95" t="s">
        <v>27</v>
      </c>
      <c r="H111" s="310" t="s">
        <v>129</v>
      </c>
      <c r="I111" s="334"/>
      <c r="J111" s="283"/>
      <c r="K111" s="294">
        <f>M111+P111+U111+R111+T111</f>
        <v>0.25803599999999999</v>
      </c>
      <c r="L111" s="182">
        <f>-V111</f>
        <v>0.25803599999999999</v>
      </c>
      <c r="M111" s="80">
        <f>-W111</f>
        <v>0.25803599999999999</v>
      </c>
      <c r="N111" s="80">
        <f>-X111</f>
        <v>0</v>
      </c>
      <c r="O111" s="80">
        <f>-X111</f>
        <v>0</v>
      </c>
      <c r="P111" s="80">
        <f>-AB111</f>
        <v>0</v>
      </c>
      <c r="Q111" s="80">
        <f>-AC111</f>
        <v>0</v>
      </c>
      <c r="R111" s="80">
        <f>-AC111</f>
        <v>0</v>
      </c>
      <c r="S111" s="80">
        <f>-AI111</f>
        <v>0</v>
      </c>
      <c r="T111" s="80">
        <f>-AJ111</f>
        <v>0</v>
      </c>
      <c r="U111" s="401">
        <f>-AQ111</f>
        <v>0</v>
      </c>
      <c r="V111" s="893">
        <v>-0.25803599999999999</v>
      </c>
      <c r="W111" s="387">
        <v>-0.25803599999999999</v>
      </c>
      <c r="X111" s="207">
        <v>0</v>
      </c>
      <c r="Y111" s="367">
        <v>0</v>
      </c>
      <c r="Z111" s="367">
        <v>0</v>
      </c>
      <c r="AA111" s="468">
        <v>0</v>
      </c>
      <c r="AB111" s="207">
        <v>0</v>
      </c>
      <c r="AC111" s="207">
        <v>0</v>
      </c>
      <c r="AD111" s="367">
        <v>0</v>
      </c>
      <c r="AE111" s="468">
        <v>0</v>
      </c>
      <c r="AF111" s="468">
        <v>0</v>
      </c>
      <c r="AG111" s="468">
        <v>0</v>
      </c>
      <c r="AH111" s="468">
        <v>0</v>
      </c>
      <c r="AI111" s="387">
        <v>0</v>
      </c>
      <c r="AJ111" s="207">
        <v>0</v>
      </c>
      <c r="AK111" s="367">
        <v>0</v>
      </c>
      <c r="AL111" s="367">
        <v>0</v>
      </c>
      <c r="AM111" s="367">
        <v>0</v>
      </c>
      <c r="AN111" s="367">
        <v>0</v>
      </c>
      <c r="AO111" s="295">
        <v>0</v>
      </c>
      <c r="AP111" s="295">
        <v>0</v>
      </c>
      <c r="AQ111" s="295">
        <v>0</v>
      </c>
      <c r="AR111" s="387">
        <v>0</v>
      </c>
      <c r="AS111" s="896">
        <f>-AR111</f>
        <v>0</v>
      </c>
      <c r="AT111" s="408" t="s">
        <v>366</v>
      </c>
    </row>
    <row r="112" spans="1:46" ht="43.5" hidden="1" customHeight="1" outlineLevel="1" x14ac:dyDescent="0.35">
      <c r="A112" s="590">
        <v>5</v>
      </c>
      <c r="B112" s="612" t="s">
        <v>69</v>
      </c>
      <c r="C112" s="607" t="s">
        <v>1731</v>
      </c>
      <c r="D112" s="1121" t="s">
        <v>1850</v>
      </c>
      <c r="E112" s="432" t="s">
        <v>582</v>
      </c>
      <c r="F112" s="492" t="s">
        <v>345</v>
      </c>
      <c r="G112" s="95" t="s">
        <v>142</v>
      </c>
      <c r="H112" s="310" t="s">
        <v>129</v>
      </c>
      <c r="I112" s="1119"/>
      <c r="J112" s="283"/>
      <c r="K112" s="1135">
        <f>M112+P112+U112+R112+T112</f>
        <v>49.916459000000003</v>
      </c>
      <c r="L112" s="1123">
        <f>-V112</f>
        <v>45.734760000000001</v>
      </c>
      <c r="M112" s="1088">
        <f>-W112</f>
        <v>35.740115000000003</v>
      </c>
      <c r="N112" s="1088">
        <f>-X112</f>
        <v>12.743799000000001</v>
      </c>
      <c r="O112" s="1088">
        <f>-X112</f>
        <v>12.743799000000001</v>
      </c>
      <c r="P112" s="1088">
        <f>-AB112</f>
        <v>14.176344</v>
      </c>
      <c r="Q112" s="1088">
        <f>-AC112</f>
        <v>0</v>
      </c>
      <c r="R112" s="1088">
        <f>-AC112</f>
        <v>0</v>
      </c>
      <c r="S112" s="1088">
        <f>-AI112</f>
        <v>0</v>
      </c>
      <c r="T112" s="1088">
        <f>-AJ112</f>
        <v>0</v>
      </c>
      <c r="U112" s="1128">
        <f>-AQ112</f>
        <v>0</v>
      </c>
      <c r="V112" s="1098">
        <v>-45.734760000000001</v>
      </c>
      <c r="W112" s="1077">
        <v>-35.740115000000003</v>
      </c>
      <c r="X112" s="1092">
        <f>-12.431357-0.312442</f>
        <v>-12.743799000000001</v>
      </c>
      <c r="Y112" s="1146">
        <v>-12.431357</v>
      </c>
      <c r="Z112" s="1146">
        <v>-12.431357</v>
      </c>
      <c r="AA112" s="1095">
        <v>-12.431357</v>
      </c>
      <c r="AB112" s="1094">
        <f>-14.176344</f>
        <v>-14.176344</v>
      </c>
      <c r="AC112" s="1092">
        <v>0</v>
      </c>
      <c r="AD112" s="1146">
        <v>0</v>
      </c>
      <c r="AE112" s="1082">
        <v>0</v>
      </c>
      <c r="AF112" s="1082">
        <v>0</v>
      </c>
      <c r="AG112" s="1082">
        <v>0</v>
      </c>
      <c r="AH112" s="1082">
        <v>0</v>
      </c>
      <c r="AI112" s="1077">
        <v>0</v>
      </c>
      <c r="AJ112" s="1092">
        <v>0</v>
      </c>
      <c r="AK112" s="1146">
        <v>0</v>
      </c>
      <c r="AL112" s="1146">
        <v>0</v>
      </c>
      <c r="AM112" s="1146">
        <v>0</v>
      </c>
      <c r="AN112" s="1146">
        <v>0</v>
      </c>
      <c r="AO112" s="1168">
        <v>0</v>
      </c>
      <c r="AP112" s="1168">
        <v>0</v>
      </c>
      <c r="AQ112" s="1168">
        <v>0</v>
      </c>
      <c r="AR112" s="1077">
        <v>0</v>
      </c>
      <c r="AS112" s="1170">
        <f>-AR112</f>
        <v>0</v>
      </c>
      <c r="AT112" s="1173" t="s">
        <v>1849</v>
      </c>
    </row>
    <row r="113" spans="1:46" ht="43.5" hidden="1" customHeight="1" outlineLevel="1" x14ac:dyDescent="0.35">
      <c r="A113" s="590">
        <v>6</v>
      </c>
      <c r="B113" s="612" t="s">
        <v>69</v>
      </c>
      <c r="C113" s="607" t="s">
        <v>1731</v>
      </c>
      <c r="D113" s="1122"/>
      <c r="E113" s="432" t="s">
        <v>583</v>
      </c>
      <c r="F113" s="492" t="s">
        <v>345</v>
      </c>
      <c r="G113" s="95" t="s">
        <v>142</v>
      </c>
      <c r="H113" s="310" t="s">
        <v>129</v>
      </c>
      <c r="I113" s="1119"/>
      <c r="J113" s="283"/>
      <c r="K113" s="1136"/>
      <c r="L113" s="1124"/>
      <c r="M113" s="1089"/>
      <c r="N113" s="1089"/>
      <c r="O113" s="1089"/>
      <c r="P113" s="1089"/>
      <c r="Q113" s="1089"/>
      <c r="R113" s="1089"/>
      <c r="S113" s="1089"/>
      <c r="T113" s="1089"/>
      <c r="U113" s="1129"/>
      <c r="V113" s="1099"/>
      <c r="W113" s="1079"/>
      <c r="X113" s="1093"/>
      <c r="Y113" s="1147"/>
      <c r="Z113" s="1147"/>
      <c r="AA113" s="1095"/>
      <c r="AB113" s="1094"/>
      <c r="AC113" s="1093"/>
      <c r="AD113" s="1147"/>
      <c r="AE113" s="1090"/>
      <c r="AF113" s="1090"/>
      <c r="AG113" s="1090"/>
      <c r="AH113" s="1090"/>
      <c r="AI113" s="1079"/>
      <c r="AJ113" s="1093"/>
      <c r="AK113" s="1147"/>
      <c r="AL113" s="1147"/>
      <c r="AM113" s="1147"/>
      <c r="AN113" s="1147"/>
      <c r="AO113" s="1169"/>
      <c r="AP113" s="1169"/>
      <c r="AQ113" s="1169"/>
      <c r="AR113" s="1079"/>
      <c r="AS113" s="1171"/>
      <c r="AT113" s="1174"/>
    </row>
    <row r="114" spans="1:46" ht="72.650000000000006" hidden="1" customHeight="1" outlineLevel="1" x14ac:dyDescent="0.35">
      <c r="A114" s="590">
        <v>7</v>
      </c>
      <c r="B114" s="612" t="s">
        <v>69</v>
      </c>
      <c r="C114" s="607" t="s">
        <v>1731</v>
      </c>
      <c r="D114" s="87" t="s">
        <v>26</v>
      </c>
      <c r="E114" s="432" t="s">
        <v>584</v>
      </c>
      <c r="F114" s="480" t="s">
        <v>64</v>
      </c>
      <c r="G114" s="95" t="s">
        <v>24</v>
      </c>
      <c r="H114" s="310" t="s">
        <v>129</v>
      </c>
      <c r="I114" s="334"/>
      <c r="J114" s="288"/>
      <c r="K114" s="1135">
        <f>SUM(M114)+SUM(R114:R127)+SUM(T114:T127)+SUM(U114:U127)+SUM(P114:P127)</f>
        <v>125.481236</v>
      </c>
      <c r="L114" s="182">
        <f>-V114</f>
        <v>11.742419999999999</v>
      </c>
      <c r="M114" s="1088">
        <f>-W114</f>
        <v>75.900046000000003</v>
      </c>
      <c r="N114" s="80">
        <v>0</v>
      </c>
      <c r="O114" s="80">
        <v>0</v>
      </c>
      <c r="P114" s="80">
        <v>0</v>
      </c>
      <c r="Q114" s="80">
        <v>0</v>
      </c>
      <c r="R114" s="80">
        <v>0</v>
      </c>
      <c r="S114" s="80">
        <v>0</v>
      </c>
      <c r="T114" s="80">
        <v>0</v>
      </c>
      <c r="U114" s="401">
        <v>0</v>
      </c>
      <c r="V114" s="883">
        <v>-11.742419999999999</v>
      </c>
      <c r="W114" s="1181">
        <f>-82.120896+6.22085</f>
        <v>-75.900046000000003</v>
      </c>
      <c r="X114" s="207">
        <v>0</v>
      </c>
      <c r="Y114" s="367">
        <v>0</v>
      </c>
      <c r="Z114" s="367">
        <v>0</v>
      </c>
      <c r="AA114" s="468">
        <v>0</v>
      </c>
      <c r="AB114" s="207">
        <v>0</v>
      </c>
      <c r="AC114" s="207">
        <v>0</v>
      </c>
      <c r="AD114" s="367">
        <v>0</v>
      </c>
      <c r="AE114" s="468">
        <v>0</v>
      </c>
      <c r="AF114" s="468">
        <v>0</v>
      </c>
      <c r="AG114" s="468">
        <v>0</v>
      </c>
      <c r="AH114" s="468">
        <v>0</v>
      </c>
      <c r="AI114" s="388">
        <v>0</v>
      </c>
      <c r="AJ114" s="207">
        <v>0</v>
      </c>
      <c r="AK114" s="367">
        <v>0</v>
      </c>
      <c r="AL114" s="367">
        <v>0</v>
      </c>
      <c r="AM114" s="367">
        <v>0</v>
      </c>
      <c r="AN114" s="367">
        <v>0</v>
      </c>
      <c r="AO114" s="295">
        <v>0</v>
      </c>
      <c r="AP114" s="295">
        <v>0</v>
      </c>
      <c r="AQ114" s="295">
        <v>0</v>
      </c>
      <c r="AR114" s="388">
        <v>0</v>
      </c>
      <c r="AS114" s="897">
        <f t="shared" ref="AS114:AS120" si="289">-AR114</f>
        <v>0</v>
      </c>
      <c r="AT114" s="408" t="s">
        <v>585</v>
      </c>
    </row>
    <row r="115" spans="1:46" s="1" customFormat="1" ht="43.5" hidden="1" customHeight="1" outlineLevel="1" x14ac:dyDescent="0.35">
      <c r="A115" s="590">
        <v>8</v>
      </c>
      <c r="B115" s="612" t="s">
        <v>69</v>
      </c>
      <c r="C115" s="607" t="s">
        <v>1732</v>
      </c>
      <c r="D115" s="263">
        <v>43917</v>
      </c>
      <c r="E115" s="432" t="s">
        <v>268</v>
      </c>
      <c r="F115" s="480" t="s">
        <v>44</v>
      </c>
      <c r="G115" s="80" t="s">
        <v>24</v>
      </c>
      <c r="H115" s="310" t="s">
        <v>130</v>
      </c>
      <c r="I115" s="334"/>
      <c r="J115" s="288"/>
      <c r="K115" s="1160"/>
      <c r="L115" s="182">
        <f t="shared" ref="L115:L121" si="290">-V115</f>
        <v>5.4686570000000003</v>
      </c>
      <c r="M115" s="1167"/>
      <c r="N115" s="80">
        <v>0</v>
      </c>
      <c r="O115" s="80">
        <v>0</v>
      </c>
      <c r="P115" s="80">
        <v>0</v>
      </c>
      <c r="Q115" s="80">
        <v>0</v>
      </c>
      <c r="R115" s="80">
        <v>0</v>
      </c>
      <c r="S115" s="80">
        <v>0</v>
      </c>
      <c r="T115" s="80">
        <v>0</v>
      </c>
      <c r="U115" s="401">
        <v>0</v>
      </c>
      <c r="V115" s="883">
        <v>-5.4686570000000003</v>
      </c>
      <c r="W115" s="1182"/>
      <c r="X115" s="207">
        <v>0</v>
      </c>
      <c r="Y115" s="367">
        <v>0</v>
      </c>
      <c r="Z115" s="367">
        <v>0</v>
      </c>
      <c r="AA115" s="468">
        <v>0</v>
      </c>
      <c r="AB115" s="207">
        <v>0</v>
      </c>
      <c r="AC115" s="207">
        <v>0</v>
      </c>
      <c r="AD115" s="367">
        <v>0</v>
      </c>
      <c r="AE115" s="468">
        <v>0</v>
      </c>
      <c r="AF115" s="468">
        <v>0</v>
      </c>
      <c r="AG115" s="468">
        <v>0</v>
      </c>
      <c r="AH115" s="468">
        <v>0</v>
      </c>
      <c r="AI115" s="387">
        <v>0</v>
      </c>
      <c r="AJ115" s="207">
        <v>0</v>
      </c>
      <c r="AK115" s="367">
        <v>0</v>
      </c>
      <c r="AL115" s="367">
        <v>0</v>
      </c>
      <c r="AM115" s="367">
        <v>0</v>
      </c>
      <c r="AN115" s="367">
        <v>0</v>
      </c>
      <c r="AO115" s="295">
        <v>0</v>
      </c>
      <c r="AP115" s="295">
        <v>0</v>
      </c>
      <c r="AQ115" s="295">
        <v>0</v>
      </c>
      <c r="AR115" s="387">
        <v>0</v>
      </c>
      <c r="AS115" s="896">
        <f t="shared" si="289"/>
        <v>0</v>
      </c>
      <c r="AT115" s="408" t="s">
        <v>383</v>
      </c>
    </row>
    <row r="116" spans="1:46" s="1" customFormat="1" ht="58" hidden="1" customHeight="1" outlineLevel="1" x14ac:dyDescent="0.35">
      <c r="A116" s="590">
        <v>9</v>
      </c>
      <c r="B116" s="612" t="s">
        <v>69</v>
      </c>
      <c r="C116" s="607" t="s">
        <v>1733</v>
      </c>
      <c r="D116" s="63">
        <v>43956</v>
      </c>
      <c r="E116" s="432" t="s">
        <v>170</v>
      </c>
      <c r="F116" s="480" t="s">
        <v>346</v>
      </c>
      <c r="G116" s="95" t="s">
        <v>24</v>
      </c>
      <c r="H116" s="310" t="s">
        <v>129</v>
      </c>
      <c r="I116" s="334"/>
      <c r="J116" s="288"/>
      <c r="K116" s="1160"/>
      <c r="L116" s="182">
        <f t="shared" si="290"/>
        <v>1.323563</v>
      </c>
      <c r="M116" s="1167"/>
      <c r="N116" s="80">
        <v>0</v>
      </c>
      <c r="O116" s="80">
        <v>0</v>
      </c>
      <c r="P116" s="80">
        <v>0</v>
      </c>
      <c r="Q116" s="80">
        <v>0</v>
      </c>
      <c r="R116" s="80">
        <v>0</v>
      </c>
      <c r="S116" s="80">
        <v>0</v>
      </c>
      <c r="T116" s="80">
        <v>0</v>
      </c>
      <c r="U116" s="401">
        <v>0</v>
      </c>
      <c r="V116" s="883">
        <v>-1.323563</v>
      </c>
      <c r="W116" s="1182"/>
      <c r="X116" s="207">
        <v>0</v>
      </c>
      <c r="Y116" s="367">
        <v>0</v>
      </c>
      <c r="Z116" s="367">
        <v>0</v>
      </c>
      <c r="AA116" s="468">
        <v>0</v>
      </c>
      <c r="AB116" s="207">
        <v>0</v>
      </c>
      <c r="AC116" s="207">
        <v>0</v>
      </c>
      <c r="AD116" s="367">
        <v>0</v>
      </c>
      <c r="AE116" s="468">
        <v>0</v>
      </c>
      <c r="AF116" s="468">
        <v>0</v>
      </c>
      <c r="AG116" s="468">
        <v>0</v>
      </c>
      <c r="AH116" s="468">
        <v>0</v>
      </c>
      <c r="AI116" s="387">
        <v>0</v>
      </c>
      <c r="AJ116" s="207">
        <v>0</v>
      </c>
      <c r="AK116" s="367">
        <v>0</v>
      </c>
      <c r="AL116" s="367">
        <v>0</v>
      </c>
      <c r="AM116" s="367">
        <v>0</v>
      </c>
      <c r="AN116" s="367">
        <v>0</v>
      </c>
      <c r="AO116" s="295">
        <v>0</v>
      </c>
      <c r="AP116" s="295">
        <v>0</v>
      </c>
      <c r="AQ116" s="295">
        <v>0</v>
      </c>
      <c r="AR116" s="387">
        <v>0</v>
      </c>
      <c r="AS116" s="896">
        <f t="shared" si="289"/>
        <v>0</v>
      </c>
      <c r="AT116" s="408" t="s">
        <v>169</v>
      </c>
    </row>
    <row r="117" spans="1:46" s="1" customFormat="1" ht="87" hidden="1" customHeight="1" outlineLevel="1" x14ac:dyDescent="0.35">
      <c r="A117" s="590">
        <v>10</v>
      </c>
      <c r="B117" s="612" t="s">
        <v>69</v>
      </c>
      <c r="C117" s="607" t="s">
        <v>1733</v>
      </c>
      <c r="D117" s="63">
        <v>43971</v>
      </c>
      <c r="E117" s="432" t="s">
        <v>240</v>
      </c>
      <c r="F117" s="480" t="s">
        <v>274</v>
      </c>
      <c r="G117" s="95" t="s">
        <v>24</v>
      </c>
      <c r="H117" s="310" t="s">
        <v>129</v>
      </c>
      <c r="I117" s="334"/>
      <c r="J117" s="288"/>
      <c r="K117" s="1160"/>
      <c r="L117" s="182">
        <f t="shared" si="290"/>
        <v>2.1922039999999998</v>
      </c>
      <c r="M117" s="1167"/>
      <c r="N117" s="80">
        <v>0</v>
      </c>
      <c r="O117" s="80">
        <v>0</v>
      </c>
      <c r="P117" s="80">
        <v>0</v>
      </c>
      <c r="Q117" s="80">
        <v>0</v>
      </c>
      <c r="R117" s="80">
        <v>0</v>
      </c>
      <c r="S117" s="80">
        <v>0</v>
      </c>
      <c r="T117" s="80">
        <v>0</v>
      </c>
      <c r="U117" s="401">
        <v>0</v>
      </c>
      <c r="V117" s="883">
        <v>-2.1922039999999998</v>
      </c>
      <c r="W117" s="1182"/>
      <c r="X117" s="207">
        <v>0</v>
      </c>
      <c r="Y117" s="367">
        <v>0</v>
      </c>
      <c r="Z117" s="367">
        <v>0</v>
      </c>
      <c r="AA117" s="468">
        <v>0</v>
      </c>
      <c r="AB117" s="207">
        <v>0</v>
      </c>
      <c r="AC117" s="207">
        <v>0</v>
      </c>
      <c r="AD117" s="367">
        <v>0</v>
      </c>
      <c r="AE117" s="468">
        <v>0</v>
      </c>
      <c r="AF117" s="468">
        <v>0</v>
      </c>
      <c r="AG117" s="468">
        <v>0</v>
      </c>
      <c r="AH117" s="468">
        <v>0</v>
      </c>
      <c r="AI117" s="387">
        <v>0</v>
      </c>
      <c r="AJ117" s="207">
        <v>0</v>
      </c>
      <c r="AK117" s="367">
        <v>0</v>
      </c>
      <c r="AL117" s="367">
        <v>0</v>
      </c>
      <c r="AM117" s="367">
        <v>0</v>
      </c>
      <c r="AN117" s="367">
        <v>0</v>
      </c>
      <c r="AO117" s="295">
        <v>0</v>
      </c>
      <c r="AP117" s="295">
        <v>0</v>
      </c>
      <c r="AQ117" s="295">
        <v>0</v>
      </c>
      <c r="AR117" s="387">
        <v>0</v>
      </c>
      <c r="AS117" s="896">
        <f t="shared" si="289"/>
        <v>0</v>
      </c>
      <c r="AT117" s="408" t="s">
        <v>282</v>
      </c>
    </row>
    <row r="118" spans="1:46" s="1" customFormat="1" ht="58" hidden="1" customHeight="1" outlineLevel="1" x14ac:dyDescent="0.35">
      <c r="A118" s="590">
        <v>11</v>
      </c>
      <c r="B118" s="612" t="s">
        <v>69</v>
      </c>
      <c r="C118" s="607" t="s">
        <v>1733</v>
      </c>
      <c r="D118" s="63">
        <v>43991</v>
      </c>
      <c r="E118" s="432" t="s">
        <v>431</v>
      </c>
      <c r="F118" s="480" t="s">
        <v>432</v>
      </c>
      <c r="G118" s="95" t="s">
        <v>24</v>
      </c>
      <c r="H118" s="310" t="s">
        <v>129</v>
      </c>
      <c r="I118" s="334"/>
      <c r="J118" s="288"/>
      <c r="K118" s="1160"/>
      <c r="L118" s="182">
        <f t="shared" si="290"/>
        <v>16</v>
      </c>
      <c r="M118" s="1167"/>
      <c r="N118" s="80">
        <v>0</v>
      </c>
      <c r="O118" s="80">
        <v>0</v>
      </c>
      <c r="P118" s="80">
        <v>0</v>
      </c>
      <c r="Q118" s="80">
        <v>0</v>
      </c>
      <c r="R118" s="80">
        <v>0</v>
      </c>
      <c r="S118" s="80">
        <v>0</v>
      </c>
      <c r="T118" s="80">
        <v>0</v>
      </c>
      <c r="U118" s="401">
        <v>0</v>
      </c>
      <c r="V118" s="913">
        <v>-16</v>
      </c>
      <c r="W118" s="1182"/>
      <c r="X118" s="207">
        <v>0</v>
      </c>
      <c r="Y118" s="367">
        <v>0</v>
      </c>
      <c r="Z118" s="367">
        <v>0</v>
      </c>
      <c r="AA118" s="468">
        <v>0</v>
      </c>
      <c r="AB118" s="207">
        <v>0</v>
      </c>
      <c r="AC118" s="207">
        <v>0</v>
      </c>
      <c r="AD118" s="367">
        <v>0</v>
      </c>
      <c r="AE118" s="468">
        <v>0</v>
      </c>
      <c r="AF118" s="468">
        <v>0</v>
      </c>
      <c r="AG118" s="468">
        <v>0</v>
      </c>
      <c r="AH118" s="468">
        <v>0</v>
      </c>
      <c r="AI118" s="387">
        <v>0</v>
      </c>
      <c r="AJ118" s="207">
        <v>0</v>
      </c>
      <c r="AK118" s="367">
        <v>0</v>
      </c>
      <c r="AL118" s="367">
        <v>0</v>
      </c>
      <c r="AM118" s="367">
        <v>0</v>
      </c>
      <c r="AN118" s="367">
        <v>0</v>
      </c>
      <c r="AO118" s="295">
        <v>0</v>
      </c>
      <c r="AP118" s="295">
        <v>0</v>
      </c>
      <c r="AQ118" s="295">
        <v>0</v>
      </c>
      <c r="AR118" s="387">
        <v>0</v>
      </c>
      <c r="AS118" s="896">
        <f t="shared" si="289"/>
        <v>0</v>
      </c>
      <c r="AT118" s="408" t="s">
        <v>433</v>
      </c>
    </row>
    <row r="119" spans="1:46" s="1" customFormat="1" ht="101.5" hidden="1" customHeight="1" outlineLevel="1" x14ac:dyDescent="0.35">
      <c r="A119" s="590">
        <v>12</v>
      </c>
      <c r="B119" s="612" t="s">
        <v>69</v>
      </c>
      <c r="C119" s="607" t="s">
        <v>1733</v>
      </c>
      <c r="D119" s="63" t="s">
        <v>586</v>
      </c>
      <c r="E119" s="440" t="s">
        <v>587</v>
      </c>
      <c r="F119" s="480" t="s">
        <v>408</v>
      </c>
      <c r="G119" s="95" t="s">
        <v>24</v>
      </c>
      <c r="H119" s="310" t="s">
        <v>129</v>
      </c>
      <c r="I119" s="334"/>
      <c r="J119" s="288"/>
      <c r="K119" s="1160"/>
      <c r="L119" s="182">
        <f t="shared" si="290"/>
        <v>31.403148000000002</v>
      </c>
      <c r="M119" s="1167"/>
      <c r="N119" s="80">
        <v>0</v>
      </c>
      <c r="O119" s="80">
        <v>0</v>
      </c>
      <c r="P119" s="80">
        <v>0</v>
      </c>
      <c r="Q119" s="80">
        <v>0</v>
      </c>
      <c r="R119" s="80">
        <v>0</v>
      </c>
      <c r="S119" s="80">
        <v>0</v>
      </c>
      <c r="T119" s="80">
        <v>0</v>
      </c>
      <c r="U119" s="401">
        <v>0</v>
      </c>
      <c r="V119" s="913">
        <v>-31.403148000000002</v>
      </c>
      <c r="W119" s="1182"/>
      <c r="X119" s="207">
        <v>0</v>
      </c>
      <c r="Y119" s="367">
        <v>0</v>
      </c>
      <c r="Z119" s="367">
        <v>0</v>
      </c>
      <c r="AA119" s="468">
        <v>0</v>
      </c>
      <c r="AB119" s="207">
        <v>0</v>
      </c>
      <c r="AC119" s="207">
        <v>0</v>
      </c>
      <c r="AD119" s="367">
        <v>0</v>
      </c>
      <c r="AE119" s="468">
        <v>0</v>
      </c>
      <c r="AF119" s="468">
        <v>0</v>
      </c>
      <c r="AG119" s="468">
        <v>0</v>
      </c>
      <c r="AH119" s="468">
        <v>0</v>
      </c>
      <c r="AI119" s="387">
        <v>0</v>
      </c>
      <c r="AJ119" s="207">
        <v>0</v>
      </c>
      <c r="AK119" s="367">
        <v>0</v>
      </c>
      <c r="AL119" s="367">
        <v>0</v>
      </c>
      <c r="AM119" s="367">
        <v>0</v>
      </c>
      <c r="AN119" s="367">
        <v>0</v>
      </c>
      <c r="AO119" s="295">
        <v>0</v>
      </c>
      <c r="AP119" s="295">
        <v>0</v>
      </c>
      <c r="AQ119" s="295">
        <v>0</v>
      </c>
      <c r="AR119" s="387">
        <v>0</v>
      </c>
      <c r="AS119" s="896">
        <f t="shared" si="289"/>
        <v>0</v>
      </c>
      <c r="AT119" s="408" t="s">
        <v>588</v>
      </c>
    </row>
    <row r="120" spans="1:46" s="1" customFormat="1" ht="43.5" hidden="1" customHeight="1" outlineLevel="1" x14ac:dyDescent="0.35">
      <c r="A120" s="590">
        <v>13</v>
      </c>
      <c r="B120" s="612" t="s">
        <v>69</v>
      </c>
      <c r="C120" s="607" t="s">
        <v>1733</v>
      </c>
      <c r="D120" s="63">
        <v>44054</v>
      </c>
      <c r="E120" s="432" t="s">
        <v>329</v>
      </c>
      <c r="F120" s="480" t="s">
        <v>290</v>
      </c>
      <c r="G120" s="95" t="s">
        <v>24</v>
      </c>
      <c r="H120" s="310" t="s">
        <v>129</v>
      </c>
      <c r="I120" s="334"/>
      <c r="J120" s="288"/>
      <c r="K120" s="1160"/>
      <c r="L120" s="182">
        <f t="shared" si="290"/>
        <v>2.054926</v>
      </c>
      <c r="M120" s="1167"/>
      <c r="N120" s="80">
        <v>0</v>
      </c>
      <c r="O120" s="80">
        <v>0</v>
      </c>
      <c r="P120" s="80">
        <v>0</v>
      </c>
      <c r="Q120" s="80">
        <v>0</v>
      </c>
      <c r="R120" s="80">
        <v>0</v>
      </c>
      <c r="S120" s="80">
        <v>0</v>
      </c>
      <c r="T120" s="80">
        <v>0</v>
      </c>
      <c r="U120" s="401">
        <v>0</v>
      </c>
      <c r="V120" s="883">
        <v>-2.054926</v>
      </c>
      <c r="W120" s="1182"/>
      <c r="X120" s="207">
        <v>0</v>
      </c>
      <c r="Y120" s="367">
        <v>0</v>
      </c>
      <c r="Z120" s="367">
        <v>0</v>
      </c>
      <c r="AA120" s="468">
        <v>0</v>
      </c>
      <c r="AB120" s="207">
        <v>0</v>
      </c>
      <c r="AC120" s="207">
        <v>0</v>
      </c>
      <c r="AD120" s="367">
        <v>0</v>
      </c>
      <c r="AE120" s="468">
        <v>0</v>
      </c>
      <c r="AF120" s="468">
        <v>0</v>
      </c>
      <c r="AG120" s="468">
        <v>0</v>
      </c>
      <c r="AH120" s="468">
        <v>0</v>
      </c>
      <c r="AI120" s="387">
        <v>0</v>
      </c>
      <c r="AJ120" s="207">
        <v>0</v>
      </c>
      <c r="AK120" s="367">
        <v>0</v>
      </c>
      <c r="AL120" s="367">
        <v>0</v>
      </c>
      <c r="AM120" s="367">
        <v>0</v>
      </c>
      <c r="AN120" s="367">
        <v>0</v>
      </c>
      <c r="AO120" s="295">
        <v>0</v>
      </c>
      <c r="AP120" s="295">
        <v>0</v>
      </c>
      <c r="AQ120" s="295">
        <v>0</v>
      </c>
      <c r="AR120" s="387">
        <v>0</v>
      </c>
      <c r="AS120" s="896">
        <f t="shared" si="289"/>
        <v>0</v>
      </c>
      <c r="AT120" s="408" t="s">
        <v>330</v>
      </c>
    </row>
    <row r="121" spans="1:46" s="1" customFormat="1" ht="58" hidden="1" customHeight="1" outlineLevel="1" x14ac:dyDescent="0.35">
      <c r="A121" s="590">
        <v>14</v>
      </c>
      <c r="B121" s="612" t="s">
        <v>69</v>
      </c>
      <c r="C121" s="607" t="s">
        <v>1730</v>
      </c>
      <c r="D121" s="1121" t="s">
        <v>589</v>
      </c>
      <c r="E121" s="432" t="s">
        <v>591</v>
      </c>
      <c r="F121" s="480" t="s">
        <v>358</v>
      </c>
      <c r="G121" s="95" t="s">
        <v>24</v>
      </c>
      <c r="H121" s="310" t="s">
        <v>171</v>
      </c>
      <c r="I121" s="1119"/>
      <c r="J121" s="288"/>
      <c r="K121" s="1160"/>
      <c r="L121" s="1123">
        <f t="shared" si="290"/>
        <v>8.3000000000000007</v>
      </c>
      <c r="M121" s="1167"/>
      <c r="N121" s="1088">
        <v>49.291370999999998</v>
      </c>
      <c r="O121" s="1088">
        <v>49.291370999999998</v>
      </c>
      <c r="P121" s="1088">
        <f>-AB121+17.911356</f>
        <v>49.581189999999999</v>
      </c>
      <c r="Q121" s="1088">
        <v>0</v>
      </c>
      <c r="R121" s="1088">
        <v>0</v>
      </c>
      <c r="S121" s="1088">
        <v>0</v>
      </c>
      <c r="T121" s="1088">
        <v>0</v>
      </c>
      <c r="U121" s="1128">
        <f>-AQ121</f>
        <v>0</v>
      </c>
      <c r="V121" s="1179">
        <f>-8.3</f>
        <v>-8.3000000000000007</v>
      </c>
      <c r="W121" s="1182"/>
      <c r="X121" s="1092">
        <f>-15.62207-14.058465</f>
        <v>-29.680534999999999</v>
      </c>
      <c r="Y121" s="1146">
        <v>-49.3</v>
      </c>
      <c r="Z121" s="1146">
        <v>-29.680534999999999</v>
      </c>
      <c r="AA121" s="1095">
        <v>-29.680534999999999</v>
      </c>
      <c r="AB121" s="1094">
        <f>-4.77915-0.362361-9.206773-17.32155</f>
        <v>-31.669833999999998</v>
      </c>
      <c r="AC121" s="1092">
        <v>-17.691355999999999</v>
      </c>
      <c r="AD121" s="1146">
        <v>-18.452995999999999</v>
      </c>
      <c r="AE121" s="1082">
        <v>-18.452995999999999</v>
      </c>
      <c r="AF121" s="1082">
        <v>-17.911356000000001</v>
      </c>
      <c r="AG121" s="1082">
        <v>-17.691355999999999</v>
      </c>
      <c r="AH121" s="1082">
        <v>-17.691355999999999</v>
      </c>
      <c r="AI121" s="1176">
        <v>-15.925458000000001</v>
      </c>
      <c r="AJ121" s="1092">
        <v>-1.985938</v>
      </c>
      <c r="AK121" s="1146">
        <v>-0.22</v>
      </c>
      <c r="AL121" s="1146">
        <v>-0.22</v>
      </c>
      <c r="AM121" s="1146">
        <v>-1.985938</v>
      </c>
      <c r="AN121" s="1146">
        <v>-1.985938</v>
      </c>
      <c r="AO121" s="1168">
        <v>0</v>
      </c>
      <c r="AP121" s="1168">
        <v>0</v>
      </c>
      <c r="AQ121" s="1168">
        <v>0</v>
      </c>
      <c r="AR121" s="1176">
        <f>-0.935264-0.5046259-0.546048</f>
        <v>-1.9859378999999997</v>
      </c>
      <c r="AS121" s="1170">
        <v>0</v>
      </c>
      <c r="AT121" s="1173" t="s">
        <v>1364</v>
      </c>
    </row>
    <row r="122" spans="1:46" s="1" customFormat="1" ht="98.5" hidden="1" customHeight="1" outlineLevel="1" x14ac:dyDescent="0.35">
      <c r="A122" s="590">
        <v>15</v>
      </c>
      <c r="B122" s="612" t="s">
        <v>69</v>
      </c>
      <c r="C122" s="607" t="s">
        <v>1730</v>
      </c>
      <c r="D122" s="1122"/>
      <c r="E122" s="432" t="s">
        <v>592</v>
      </c>
      <c r="F122" s="480" t="s">
        <v>358</v>
      </c>
      <c r="G122" s="95" t="s">
        <v>24</v>
      </c>
      <c r="H122" s="310" t="s">
        <v>171</v>
      </c>
      <c r="I122" s="1119"/>
      <c r="J122" s="288"/>
      <c r="K122" s="1160"/>
      <c r="L122" s="1124"/>
      <c r="M122" s="1167"/>
      <c r="N122" s="1089"/>
      <c r="O122" s="1089"/>
      <c r="P122" s="1089"/>
      <c r="Q122" s="1089"/>
      <c r="R122" s="1089"/>
      <c r="S122" s="1089"/>
      <c r="T122" s="1089"/>
      <c r="U122" s="1129"/>
      <c r="V122" s="1180"/>
      <c r="W122" s="1183"/>
      <c r="X122" s="1148"/>
      <c r="Y122" s="1152"/>
      <c r="Z122" s="1152"/>
      <c r="AA122" s="1149"/>
      <c r="AB122" s="1150"/>
      <c r="AC122" s="1148"/>
      <c r="AD122" s="1152"/>
      <c r="AE122" s="1151"/>
      <c r="AF122" s="1151"/>
      <c r="AG122" s="1151"/>
      <c r="AH122" s="1151"/>
      <c r="AI122" s="1177"/>
      <c r="AJ122" s="1148"/>
      <c r="AK122" s="1152"/>
      <c r="AL122" s="1152"/>
      <c r="AM122" s="1152"/>
      <c r="AN122" s="1152"/>
      <c r="AO122" s="1175"/>
      <c r="AP122" s="1175"/>
      <c r="AQ122" s="1175"/>
      <c r="AR122" s="1177"/>
      <c r="AS122" s="1171"/>
      <c r="AT122" s="1174"/>
    </row>
    <row r="123" spans="1:46" s="1" customFormat="1" ht="43.5" hidden="1" customHeight="1" outlineLevel="1" x14ac:dyDescent="0.35">
      <c r="A123" s="590">
        <v>16</v>
      </c>
      <c r="B123" s="612" t="s">
        <v>69</v>
      </c>
      <c r="C123" s="607" t="s">
        <v>700</v>
      </c>
      <c r="D123" s="63">
        <v>44123</v>
      </c>
      <c r="E123" s="432" t="s">
        <v>389</v>
      </c>
      <c r="F123" s="493" t="s">
        <v>636</v>
      </c>
      <c r="G123" s="95" t="s">
        <v>24</v>
      </c>
      <c r="H123" s="310" t="s">
        <v>129</v>
      </c>
      <c r="I123" s="334"/>
      <c r="J123" s="288"/>
      <c r="K123" s="1160"/>
      <c r="L123" s="183">
        <f>-V123</f>
        <v>1.638064</v>
      </c>
      <c r="M123" s="1167"/>
      <c r="N123" s="94">
        <v>0</v>
      </c>
      <c r="O123" s="94">
        <v>0</v>
      </c>
      <c r="P123" s="94">
        <v>0</v>
      </c>
      <c r="Q123" s="94">
        <v>0</v>
      </c>
      <c r="R123" s="94">
        <v>0</v>
      </c>
      <c r="S123" s="94">
        <v>0</v>
      </c>
      <c r="T123" s="94">
        <v>0</v>
      </c>
      <c r="U123" s="402">
        <v>0</v>
      </c>
      <c r="V123" s="883">
        <v>-1.638064</v>
      </c>
      <c r="W123" s="1182"/>
      <c r="X123" s="207">
        <v>0</v>
      </c>
      <c r="Y123" s="367">
        <v>0</v>
      </c>
      <c r="Z123" s="367">
        <v>0</v>
      </c>
      <c r="AA123" s="468">
        <v>0</v>
      </c>
      <c r="AB123" s="207">
        <v>0</v>
      </c>
      <c r="AC123" s="207">
        <v>0</v>
      </c>
      <c r="AD123" s="367">
        <v>0</v>
      </c>
      <c r="AE123" s="468">
        <v>0</v>
      </c>
      <c r="AF123" s="468">
        <v>0</v>
      </c>
      <c r="AG123" s="468">
        <v>0</v>
      </c>
      <c r="AH123" s="468">
        <v>0</v>
      </c>
      <c r="AI123" s="387">
        <v>0</v>
      </c>
      <c r="AJ123" s="207">
        <v>0</v>
      </c>
      <c r="AK123" s="367">
        <v>0</v>
      </c>
      <c r="AL123" s="367">
        <v>0</v>
      </c>
      <c r="AM123" s="367">
        <v>0</v>
      </c>
      <c r="AN123" s="367">
        <v>0</v>
      </c>
      <c r="AO123" s="295">
        <v>0</v>
      </c>
      <c r="AP123" s="295">
        <v>0</v>
      </c>
      <c r="AQ123" s="295">
        <v>0</v>
      </c>
      <c r="AR123" s="387">
        <v>0</v>
      </c>
      <c r="AS123" s="896">
        <f t="shared" ref="AS123:AS144" si="291">-AR123</f>
        <v>0</v>
      </c>
      <c r="AT123" s="408" t="s">
        <v>387</v>
      </c>
    </row>
    <row r="124" spans="1:46" s="1" customFormat="1" ht="72.650000000000006" hidden="1" customHeight="1" outlineLevel="1" x14ac:dyDescent="0.35">
      <c r="A124" s="590">
        <v>17</v>
      </c>
      <c r="B124" s="612" t="s">
        <v>69</v>
      </c>
      <c r="C124" s="607" t="s">
        <v>1733</v>
      </c>
      <c r="D124" s="230">
        <v>44124</v>
      </c>
      <c r="E124" s="441" t="s">
        <v>594</v>
      </c>
      <c r="F124" s="480" t="s">
        <v>388</v>
      </c>
      <c r="G124" s="229" t="s">
        <v>24</v>
      </c>
      <c r="H124" s="311" t="s">
        <v>129</v>
      </c>
      <c r="I124" s="334"/>
      <c r="J124" s="288"/>
      <c r="K124" s="1160"/>
      <c r="L124" s="184">
        <f>-V124</f>
        <v>1.10124</v>
      </c>
      <c r="M124" s="1167"/>
      <c r="N124" s="226">
        <f>-X124</f>
        <v>0</v>
      </c>
      <c r="O124" s="226">
        <f>-X124</f>
        <v>0</v>
      </c>
      <c r="P124" s="226">
        <f>-AB124</f>
        <v>0</v>
      </c>
      <c r="Q124" s="226">
        <f>-AC124</f>
        <v>0</v>
      </c>
      <c r="R124" s="226">
        <f>-AC124</f>
        <v>0</v>
      </c>
      <c r="S124" s="226">
        <f>-AI124</f>
        <v>0</v>
      </c>
      <c r="T124" s="226">
        <f>-AJ124</f>
        <v>0</v>
      </c>
      <c r="U124" s="403">
        <f>-AQ124</f>
        <v>0</v>
      </c>
      <c r="V124" s="914">
        <v>-1.10124</v>
      </c>
      <c r="W124" s="1182"/>
      <c r="X124" s="211">
        <v>0</v>
      </c>
      <c r="Y124" s="863">
        <v>0</v>
      </c>
      <c r="Z124" s="367">
        <v>0</v>
      </c>
      <c r="AA124" s="468">
        <v>0</v>
      </c>
      <c r="AB124" s="207">
        <v>0</v>
      </c>
      <c r="AC124" s="211">
        <v>0</v>
      </c>
      <c r="AD124" s="863">
        <v>0</v>
      </c>
      <c r="AE124" s="864">
        <v>0</v>
      </c>
      <c r="AF124" s="864">
        <v>0</v>
      </c>
      <c r="AG124" s="864">
        <v>0</v>
      </c>
      <c r="AH124" s="864">
        <v>0</v>
      </c>
      <c r="AI124" s="388">
        <v>0</v>
      </c>
      <c r="AJ124" s="211">
        <v>0</v>
      </c>
      <c r="AK124" s="863">
        <v>0</v>
      </c>
      <c r="AL124" s="863">
        <v>0</v>
      </c>
      <c r="AM124" s="863">
        <v>0</v>
      </c>
      <c r="AN124" s="863">
        <v>0</v>
      </c>
      <c r="AO124" s="866">
        <v>0</v>
      </c>
      <c r="AP124" s="866">
        <v>0</v>
      </c>
      <c r="AQ124" s="866">
        <v>0</v>
      </c>
      <c r="AR124" s="388">
        <v>0</v>
      </c>
      <c r="AS124" s="897">
        <f t="shared" si="291"/>
        <v>0</v>
      </c>
      <c r="AT124" s="410" t="s">
        <v>637</v>
      </c>
    </row>
    <row r="125" spans="1:46" s="1" customFormat="1" ht="43.5" hidden="1" customHeight="1" outlineLevel="1" x14ac:dyDescent="0.35">
      <c r="A125" s="590">
        <v>18</v>
      </c>
      <c r="B125" s="612" t="s">
        <v>69</v>
      </c>
      <c r="C125" s="607" t="s">
        <v>700</v>
      </c>
      <c r="D125" s="63">
        <v>44124</v>
      </c>
      <c r="E125" s="442" t="s">
        <v>638</v>
      </c>
      <c r="F125" s="493" t="s">
        <v>636</v>
      </c>
      <c r="G125" s="95" t="s">
        <v>24</v>
      </c>
      <c r="H125" s="310" t="s">
        <v>129</v>
      </c>
      <c r="I125" s="334"/>
      <c r="J125" s="288"/>
      <c r="K125" s="1160"/>
      <c r="L125" s="183">
        <f>-V125</f>
        <v>0</v>
      </c>
      <c r="M125" s="1167"/>
      <c r="N125" s="94">
        <f>-X125</f>
        <v>2.6052409999999999</v>
      </c>
      <c r="O125" s="94">
        <f>-X125</f>
        <v>2.6052409999999999</v>
      </c>
      <c r="P125" s="94">
        <f>-AB125</f>
        <v>0</v>
      </c>
      <c r="Q125" s="94">
        <f>-AC125</f>
        <v>0</v>
      </c>
      <c r="R125" s="94">
        <f>-AC125</f>
        <v>0</v>
      </c>
      <c r="S125" s="94">
        <f>-AI125</f>
        <v>0</v>
      </c>
      <c r="T125" s="94">
        <f>-AJ125</f>
        <v>0</v>
      </c>
      <c r="U125" s="402">
        <f>-AQ125</f>
        <v>0</v>
      </c>
      <c r="V125" s="883">
        <v>0</v>
      </c>
      <c r="W125" s="1182"/>
      <c r="X125" s="207">
        <v>-2.6052409999999999</v>
      </c>
      <c r="Y125" s="367">
        <v>-2.6052409999999999</v>
      </c>
      <c r="Z125" s="367">
        <v>0</v>
      </c>
      <c r="AA125" s="468">
        <v>0</v>
      </c>
      <c r="AB125" s="207">
        <v>0</v>
      </c>
      <c r="AC125" s="207">
        <v>0</v>
      </c>
      <c r="AD125" s="367">
        <v>0</v>
      </c>
      <c r="AE125" s="468">
        <v>0</v>
      </c>
      <c r="AF125" s="468">
        <v>0</v>
      </c>
      <c r="AG125" s="468">
        <v>0</v>
      </c>
      <c r="AH125" s="468">
        <v>0</v>
      </c>
      <c r="AI125" s="387">
        <v>0</v>
      </c>
      <c r="AJ125" s="207">
        <v>0</v>
      </c>
      <c r="AK125" s="367">
        <v>0</v>
      </c>
      <c r="AL125" s="367">
        <v>0</v>
      </c>
      <c r="AM125" s="367">
        <v>0</v>
      </c>
      <c r="AN125" s="367">
        <v>0</v>
      </c>
      <c r="AO125" s="295">
        <v>0</v>
      </c>
      <c r="AP125" s="295">
        <v>0</v>
      </c>
      <c r="AQ125" s="295">
        <v>0</v>
      </c>
      <c r="AR125" s="387">
        <v>0</v>
      </c>
      <c r="AS125" s="896">
        <f t="shared" si="291"/>
        <v>0</v>
      </c>
      <c r="AT125" s="407" t="s">
        <v>506</v>
      </c>
    </row>
    <row r="126" spans="1:46" s="1" customFormat="1" ht="43.5" hidden="1" customHeight="1" outlineLevel="1" x14ac:dyDescent="0.35">
      <c r="A126" s="590">
        <v>19</v>
      </c>
      <c r="B126" s="612" t="s">
        <v>69</v>
      </c>
      <c r="C126" s="607" t="s">
        <v>1732</v>
      </c>
      <c r="D126" s="63">
        <v>44138</v>
      </c>
      <c r="E126" s="432" t="s">
        <v>409</v>
      </c>
      <c r="F126" s="480" t="s">
        <v>399</v>
      </c>
      <c r="G126" s="95" t="s">
        <v>24</v>
      </c>
      <c r="H126" s="310" t="s">
        <v>130</v>
      </c>
      <c r="I126" s="334"/>
      <c r="J126" s="288"/>
      <c r="K126" s="1160"/>
      <c r="L126" s="183">
        <v>1.2460709999999999</v>
      </c>
      <c r="M126" s="1167"/>
      <c r="N126" s="94">
        <v>0</v>
      </c>
      <c r="O126" s="94">
        <v>0</v>
      </c>
      <c r="P126" s="94">
        <v>0</v>
      </c>
      <c r="Q126" s="94">
        <v>0</v>
      </c>
      <c r="R126" s="94">
        <v>0</v>
      </c>
      <c r="S126" s="94">
        <v>0</v>
      </c>
      <c r="T126" s="94">
        <v>0</v>
      </c>
      <c r="U126" s="402">
        <v>0</v>
      </c>
      <c r="V126" s="883">
        <v>-1.2460709999999999</v>
      </c>
      <c r="W126" s="1182"/>
      <c r="X126" s="207">
        <v>0</v>
      </c>
      <c r="Y126" s="367">
        <v>0</v>
      </c>
      <c r="Z126" s="367">
        <v>0</v>
      </c>
      <c r="AA126" s="468">
        <v>0</v>
      </c>
      <c r="AB126" s="207">
        <f>0</f>
        <v>0</v>
      </c>
      <c r="AC126" s="207">
        <v>0</v>
      </c>
      <c r="AD126" s="367">
        <v>0</v>
      </c>
      <c r="AE126" s="468">
        <v>0</v>
      </c>
      <c r="AF126" s="468">
        <v>0</v>
      </c>
      <c r="AG126" s="468">
        <v>0</v>
      </c>
      <c r="AH126" s="468">
        <v>0</v>
      </c>
      <c r="AI126" s="387">
        <f>0</f>
        <v>0</v>
      </c>
      <c r="AJ126" s="207">
        <v>0</v>
      </c>
      <c r="AK126" s="367">
        <v>0</v>
      </c>
      <c r="AL126" s="367">
        <v>0</v>
      </c>
      <c r="AM126" s="367">
        <v>0</v>
      </c>
      <c r="AN126" s="367">
        <v>0</v>
      </c>
      <c r="AO126" s="295">
        <v>0</v>
      </c>
      <c r="AP126" s="295">
        <v>0</v>
      </c>
      <c r="AQ126" s="295">
        <v>0</v>
      </c>
      <c r="AR126" s="387">
        <f>0</f>
        <v>0</v>
      </c>
      <c r="AS126" s="896">
        <f t="shared" si="291"/>
        <v>0</v>
      </c>
      <c r="AT126" s="407" t="s">
        <v>400</v>
      </c>
    </row>
    <row r="127" spans="1:46" s="1" customFormat="1" ht="58" hidden="1" customHeight="1" outlineLevel="1" x14ac:dyDescent="0.35">
      <c r="A127" s="590">
        <v>20</v>
      </c>
      <c r="B127" s="612" t="s">
        <v>69</v>
      </c>
      <c r="C127" s="607" t="s">
        <v>1732</v>
      </c>
      <c r="D127" s="63">
        <v>44141</v>
      </c>
      <c r="E127" s="432" t="s">
        <v>401</v>
      </c>
      <c r="F127" s="480" t="s">
        <v>402</v>
      </c>
      <c r="G127" s="95" t="s">
        <v>24</v>
      </c>
      <c r="H127" s="310" t="s">
        <v>130</v>
      </c>
      <c r="I127" s="334"/>
      <c r="J127" s="288"/>
      <c r="K127" s="1136"/>
      <c r="L127" s="183">
        <v>2.9265699999999999</v>
      </c>
      <c r="M127" s="1167"/>
      <c r="N127" s="94">
        <v>0</v>
      </c>
      <c r="O127" s="94">
        <v>0</v>
      </c>
      <c r="P127" s="94">
        <v>0</v>
      </c>
      <c r="Q127" s="94">
        <v>0</v>
      </c>
      <c r="R127" s="94">
        <v>0</v>
      </c>
      <c r="S127" s="94">
        <v>0</v>
      </c>
      <c r="T127" s="94">
        <v>0</v>
      </c>
      <c r="U127" s="402">
        <v>0</v>
      </c>
      <c r="V127" s="883">
        <v>-2.9265699999999999</v>
      </c>
      <c r="W127" s="1184"/>
      <c r="X127" s="207">
        <v>0</v>
      </c>
      <c r="Y127" s="367">
        <v>0</v>
      </c>
      <c r="Z127" s="367">
        <v>0</v>
      </c>
      <c r="AA127" s="468">
        <v>0</v>
      </c>
      <c r="AB127" s="207">
        <f>0</f>
        <v>0</v>
      </c>
      <c r="AC127" s="207">
        <v>0</v>
      </c>
      <c r="AD127" s="367">
        <v>0</v>
      </c>
      <c r="AE127" s="468">
        <v>0</v>
      </c>
      <c r="AF127" s="468">
        <v>0</v>
      </c>
      <c r="AG127" s="468">
        <v>0</v>
      </c>
      <c r="AH127" s="468">
        <v>0</v>
      </c>
      <c r="AI127" s="387">
        <f>0</f>
        <v>0</v>
      </c>
      <c r="AJ127" s="207">
        <v>0</v>
      </c>
      <c r="AK127" s="367">
        <v>0</v>
      </c>
      <c r="AL127" s="367">
        <v>0</v>
      </c>
      <c r="AM127" s="367">
        <v>0</v>
      </c>
      <c r="AN127" s="367">
        <v>0</v>
      </c>
      <c r="AO127" s="295">
        <v>0</v>
      </c>
      <c r="AP127" s="295">
        <v>0</v>
      </c>
      <c r="AQ127" s="295">
        <v>0</v>
      </c>
      <c r="AR127" s="387">
        <f>0</f>
        <v>0</v>
      </c>
      <c r="AS127" s="896">
        <f t="shared" si="291"/>
        <v>0</v>
      </c>
      <c r="AT127" s="407" t="s">
        <v>403</v>
      </c>
    </row>
    <row r="128" spans="1:46" s="1" customFormat="1" ht="43.5" hidden="1" customHeight="1" outlineLevel="1" x14ac:dyDescent="0.35">
      <c r="A128" s="590">
        <v>21</v>
      </c>
      <c r="B128" s="612" t="s">
        <v>69</v>
      </c>
      <c r="C128" s="607" t="s">
        <v>700</v>
      </c>
      <c r="D128" s="63">
        <v>44166</v>
      </c>
      <c r="E128" s="432" t="s">
        <v>442</v>
      </c>
      <c r="F128" s="480" t="s">
        <v>441</v>
      </c>
      <c r="G128" s="95" t="s">
        <v>24</v>
      </c>
      <c r="H128" s="310" t="s">
        <v>129</v>
      </c>
      <c r="I128" s="334"/>
      <c r="J128" s="283"/>
      <c r="K128" s="294">
        <f t="shared" ref="K128:K159" si="292">M128+P128+U128+R128+T128</f>
        <v>0</v>
      </c>
      <c r="L128" s="183">
        <f t="shared" ref="L128:N130" si="293">-V128</f>
        <v>0</v>
      </c>
      <c r="M128" s="94">
        <f t="shared" si="293"/>
        <v>0</v>
      </c>
      <c r="N128" s="94">
        <f t="shared" si="293"/>
        <v>0</v>
      </c>
      <c r="O128" s="94">
        <f>-X128</f>
        <v>0</v>
      </c>
      <c r="P128" s="94">
        <f t="shared" ref="P128:Q130" si="294">-AB128</f>
        <v>0</v>
      </c>
      <c r="Q128" s="94">
        <f t="shared" si="294"/>
        <v>0</v>
      </c>
      <c r="R128" s="94">
        <f t="shared" ref="R128:R130" si="295">-AC128</f>
        <v>0</v>
      </c>
      <c r="S128" s="94">
        <f>-AI128</f>
        <v>0</v>
      </c>
      <c r="T128" s="94">
        <f t="shared" ref="T128:T130" si="296">-AJ128</f>
        <v>0</v>
      </c>
      <c r="U128" s="402">
        <f>-AQ128</f>
        <v>0</v>
      </c>
      <c r="V128" s="893">
        <v>0</v>
      </c>
      <c r="W128" s="387">
        <v>0</v>
      </c>
      <c r="X128" s="207">
        <v>0</v>
      </c>
      <c r="Y128" s="367">
        <f>-26.770741+0.373724</f>
        <v>-26.397017000000002</v>
      </c>
      <c r="Z128" s="367">
        <v>0</v>
      </c>
      <c r="AA128" s="468">
        <v>0</v>
      </c>
      <c r="AB128" s="207">
        <v>0</v>
      </c>
      <c r="AC128" s="207">
        <v>0</v>
      </c>
      <c r="AD128" s="367">
        <v>0</v>
      </c>
      <c r="AE128" s="468">
        <v>0</v>
      </c>
      <c r="AF128" s="468">
        <v>0</v>
      </c>
      <c r="AG128" s="468">
        <v>0</v>
      </c>
      <c r="AH128" s="468">
        <v>0</v>
      </c>
      <c r="AI128" s="387">
        <v>0</v>
      </c>
      <c r="AJ128" s="207">
        <v>0</v>
      </c>
      <c r="AK128" s="367">
        <v>0</v>
      </c>
      <c r="AL128" s="367">
        <v>0</v>
      </c>
      <c r="AM128" s="367">
        <v>0</v>
      </c>
      <c r="AN128" s="367">
        <v>0</v>
      </c>
      <c r="AO128" s="295">
        <v>0</v>
      </c>
      <c r="AP128" s="295">
        <v>0</v>
      </c>
      <c r="AQ128" s="295">
        <v>0</v>
      </c>
      <c r="AR128" s="387">
        <v>0</v>
      </c>
      <c r="AS128" s="896">
        <f t="shared" si="291"/>
        <v>0</v>
      </c>
      <c r="AT128" s="407" t="s">
        <v>434</v>
      </c>
    </row>
    <row r="129" spans="1:48" s="1" customFormat="1" ht="116.15" hidden="1" customHeight="1" outlineLevel="1" x14ac:dyDescent="0.35">
      <c r="A129" s="590">
        <v>22</v>
      </c>
      <c r="B129" s="612" t="s">
        <v>69</v>
      </c>
      <c r="C129" s="607" t="s">
        <v>1732</v>
      </c>
      <c r="D129" s="63">
        <v>44260</v>
      </c>
      <c r="E129" s="432" t="s">
        <v>1199</v>
      </c>
      <c r="F129" s="480" t="s">
        <v>428</v>
      </c>
      <c r="G129" s="95" t="s">
        <v>24</v>
      </c>
      <c r="H129" s="310" t="s">
        <v>130</v>
      </c>
      <c r="I129" s="334"/>
      <c r="J129" s="283"/>
      <c r="K129" s="294">
        <f t="shared" si="292"/>
        <v>23.491270999999998</v>
      </c>
      <c r="L129" s="183">
        <f t="shared" si="293"/>
        <v>0</v>
      </c>
      <c r="M129" s="94">
        <f t="shared" si="293"/>
        <v>0</v>
      </c>
      <c r="N129" s="94">
        <f t="shared" si="293"/>
        <v>23.491270999999998</v>
      </c>
      <c r="O129" s="94">
        <f>-X129</f>
        <v>23.491270999999998</v>
      </c>
      <c r="P129" s="94">
        <f t="shared" si="294"/>
        <v>23.491270999999998</v>
      </c>
      <c r="Q129" s="94">
        <f t="shared" si="294"/>
        <v>0</v>
      </c>
      <c r="R129" s="94">
        <f t="shared" si="295"/>
        <v>0</v>
      </c>
      <c r="S129" s="94">
        <f>-AI129</f>
        <v>0</v>
      </c>
      <c r="T129" s="94">
        <f t="shared" si="296"/>
        <v>0</v>
      </c>
      <c r="U129" s="402">
        <f>-AQ129</f>
        <v>0</v>
      </c>
      <c r="V129" s="893">
        <v>0</v>
      </c>
      <c r="W129" s="387">
        <v>0</v>
      </c>
      <c r="X129" s="207">
        <f>-32.699144+9.207873</f>
        <v>-23.491270999999998</v>
      </c>
      <c r="Y129" s="367">
        <f>-32.699144+9.207873</f>
        <v>-23.491270999999998</v>
      </c>
      <c r="Z129" s="367">
        <v>-23.491270999999998</v>
      </c>
      <c r="AA129" s="468">
        <v>-23.491270999999998</v>
      </c>
      <c r="AB129" s="207">
        <v>-23.491270999999998</v>
      </c>
      <c r="AC129" s="207">
        <v>0</v>
      </c>
      <c r="AD129" s="367">
        <v>0</v>
      </c>
      <c r="AE129" s="468">
        <v>0</v>
      </c>
      <c r="AF129" s="468">
        <v>0</v>
      </c>
      <c r="AG129" s="468">
        <v>0</v>
      </c>
      <c r="AH129" s="468">
        <v>0</v>
      </c>
      <c r="AI129" s="387">
        <v>0</v>
      </c>
      <c r="AJ129" s="207">
        <v>0</v>
      </c>
      <c r="AK129" s="367">
        <v>0</v>
      </c>
      <c r="AL129" s="367">
        <v>0</v>
      </c>
      <c r="AM129" s="367">
        <v>0</v>
      </c>
      <c r="AN129" s="367">
        <v>0</v>
      </c>
      <c r="AO129" s="295">
        <v>0</v>
      </c>
      <c r="AP129" s="295">
        <v>0</v>
      </c>
      <c r="AQ129" s="295">
        <v>0</v>
      </c>
      <c r="AR129" s="387">
        <v>0</v>
      </c>
      <c r="AS129" s="896">
        <f t="shared" si="291"/>
        <v>0</v>
      </c>
      <c r="AT129" s="407" t="s">
        <v>1200</v>
      </c>
    </row>
    <row r="130" spans="1:48" s="1" customFormat="1" ht="72.650000000000006" hidden="1" customHeight="1" outlineLevel="1" x14ac:dyDescent="0.35">
      <c r="A130" s="590">
        <v>23</v>
      </c>
      <c r="B130" s="612" t="s">
        <v>69</v>
      </c>
      <c r="C130" s="607" t="s">
        <v>1733</v>
      </c>
      <c r="D130" s="63">
        <v>44266</v>
      </c>
      <c r="E130" s="432" t="s">
        <v>1344</v>
      </c>
      <c r="F130" s="480" t="s">
        <v>1454</v>
      </c>
      <c r="G130" s="95" t="s">
        <v>24</v>
      </c>
      <c r="H130" s="310" t="s">
        <v>171</v>
      </c>
      <c r="I130" s="334"/>
      <c r="J130" s="283"/>
      <c r="K130" s="294">
        <f t="shared" si="292"/>
        <v>3.8854350000000002</v>
      </c>
      <c r="L130" s="183">
        <f t="shared" ref="L130:L164" si="297">-V130</f>
        <v>0</v>
      </c>
      <c r="M130" s="94">
        <f t="shared" si="293"/>
        <v>0</v>
      </c>
      <c r="N130" s="94">
        <f>-X130</f>
        <v>4.1723210000000002</v>
      </c>
      <c r="O130" s="94">
        <f>-X130</f>
        <v>4.1723210000000002</v>
      </c>
      <c r="P130" s="94">
        <f t="shared" si="294"/>
        <v>3.8854350000000002</v>
      </c>
      <c r="Q130" s="94">
        <f t="shared" si="294"/>
        <v>0</v>
      </c>
      <c r="R130" s="94">
        <f t="shared" si="295"/>
        <v>0</v>
      </c>
      <c r="S130" s="94">
        <f>-AI130</f>
        <v>0</v>
      </c>
      <c r="T130" s="94">
        <f t="shared" si="296"/>
        <v>0</v>
      </c>
      <c r="U130" s="402">
        <f>-AQ130</f>
        <v>0</v>
      </c>
      <c r="V130" s="893">
        <v>0</v>
      </c>
      <c r="W130" s="387">
        <v>0</v>
      </c>
      <c r="X130" s="207">
        <v>-4.1723210000000002</v>
      </c>
      <c r="Y130" s="367">
        <v>-4.1723210000000002</v>
      </c>
      <c r="Z130" s="367">
        <v>-4.1723210000000002</v>
      </c>
      <c r="AA130" s="468">
        <v>-4.1723210000000002</v>
      </c>
      <c r="AB130" s="207">
        <v>-3.8854350000000002</v>
      </c>
      <c r="AC130" s="207">
        <v>0</v>
      </c>
      <c r="AD130" s="367">
        <v>0</v>
      </c>
      <c r="AE130" s="468">
        <v>0</v>
      </c>
      <c r="AF130" s="468">
        <v>0</v>
      </c>
      <c r="AG130" s="468">
        <v>0</v>
      </c>
      <c r="AH130" s="468">
        <v>0</v>
      </c>
      <c r="AI130" s="387">
        <v>0</v>
      </c>
      <c r="AJ130" s="207">
        <v>0</v>
      </c>
      <c r="AK130" s="367">
        <v>0</v>
      </c>
      <c r="AL130" s="367">
        <v>0</v>
      </c>
      <c r="AM130" s="367">
        <v>0</v>
      </c>
      <c r="AN130" s="367">
        <v>0</v>
      </c>
      <c r="AO130" s="295">
        <v>0</v>
      </c>
      <c r="AP130" s="295">
        <v>0</v>
      </c>
      <c r="AQ130" s="295">
        <v>0</v>
      </c>
      <c r="AR130" s="387">
        <v>0</v>
      </c>
      <c r="AS130" s="896">
        <f t="shared" si="291"/>
        <v>0</v>
      </c>
      <c r="AT130" s="407" t="s">
        <v>1209</v>
      </c>
    </row>
    <row r="131" spans="1:48" s="1" customFormat="1" ht="43.5" hidden="1" customHeight="1" outlineLevel="1" x14ac:dyDescent="0.35">
      <c r="A131" s="590">
        <v>24</v>
      </c>
      <c r="B131" s="612" t="s">
        <v>69</v>
      </c>
      <c r="C131" s="607" t="s">
        <v>1730</v>
      </c>
      <c r="D131" s="63">
        <v>44266</v>
      </c>
      <c r="E131" s="432" t="s">
        <v>1326</v>
      </c>
      <c r="F131" s="480" t="s">
        <v>1207</v>
      </c>
      <c r="G131" s="95" t="s">
        <v>24</v>
      </c>
      <c r="H131" s="310" t="s">
        <v>171</v>
      </c>
      <c r="I131" s="334"/>
      <c r="J131" s="283"/>
      <c r="K131" s="294">
        <f t="shared" si="292"/>
        <v>4.0213970000000003</v>
      </c>
      <c r="L131" s="183">
        <f t="shared" si="297"/>
        <v>0</v>
      </c>
      <c r="M131" s="94">
        <v>0</v>
      </c>
      <c r="N131" s="94">
        <v>4.0213970000000003</v>
      </c>
      <c r="O131" s="94">
        <v>4.0213970000000003</v>
      </c>
      <c r="P131" s="94">
        <v>4.0213970000000003</v>
      </c>
      <c r="Q131" s="94">
        <v>0</v>
      </c>
      <c r="R131" s="94">
        <v>0</v>
      </c>
      <c r="S131" s="94">
        <v>0</v>
      </c>
      <c r="T131" s="94">
        <v>0</v>
      </c>
      <c r="U131" s="402">
        <v>0</v>
      </c>
      <c r="V131" s="893">
        <v>0</v>
      </c>
      <c r="W131" s="387">
        <v>-5.0464000000000002E-2</v>
      </c>
      <c r="X131" s="207">
        <v>-3.7386599999999999</v>
      </c>
      <c r="Y131" s="367">
        <v>-4.0213970000000003</v>
      </c>
      <c r="Z131" s="367">
        <v>-3.7386599999999999</v>
      </c>
      <c r="AA131" s="468">
        <v>-3.7386599999999999</v>
      </c>
      <c r="AB131" s="207">
        <f>-3.315769</f>
        <v>-3.315769</v>
      </c>
      <c r="AC131" s="207">
        <v>-0.42147899999999999</v>
      </c>
      <c r="AD131" s="367">
        <v>-0.23227200000000001</v>
      </c>
      <c r="AE131" s="468">
        <v>-0.23227200000000001</v>
      </c>
      <c r="AF131" s="468">
        <v>-0.65516399999999997</v>
      </c>
      <c r="AG131" s="468">
        <v>-0.42147899999999999</v>
      </c>
      <c r="AH131" s="468">
        <v>-0.42147899999999999</v>
      </c>
      <c r="AI131" s="939">
        <v>-0.41811199999999998</v>
      </c>
      <c r="AJ131" s="207">
        <v>-0.23705200000000001</v>
      </c>
      <c r="AK131" s="367">
        <v>-0.233685</v>
      </c>
      <c r="AL131" s="367">
        <v>-0.233685</v>
      </c>
      <c r="AM131" s="367">
        <v>-0.23705200000000001</v>
      </c>
      <c r="AN131" s="367">
        <v>-0.23705200000000001</v>
      </c>
      <c r="AO131" s="295">
        <v>0</v>
      </c>
      <c r="AP131" s="295">
        <v>0</v>
      </c>
      <c r="AQ131" s="295">
        <v>0</v>
      </c>
      <c r="AR131" s="939">
        <v>-3.3670000000000002E-3</v>
      </c>
      <c r="AS131" s="896">
        <v>0</v>
      </c>
      <c r="AT131" s="407" t="s">
        <v>1208</v>
      </c>
    </row>
    <row r="132" spans="1:48" s="1" customFormat="1" ht="188.5" hidden="1" customHeight="1" outlineLevel="1" x14ac:dyDescent="0.35">
      <c r="A132" s="590">
        <v>25</v>
      </c>
      <c r="B132" s="612" t="s">
        <v>69</v>
      </c>
      <c r="C132" s="607" t="s">
        <v>1733</v>
      </c>
      <c r="D132" s="63">
        <v>44173</v>
      </c>
      <c r="E132" s="432" t="s">
        <v>719</v>
      </c>
      <c r="F132" s="480" t="s">
        <v>595</v>
      </c>
      <c r="G132" s="95" t="s">
        <v>24</v>
      </c>
      <c r="H132" s="310" t="s">
        <v>439</v>
      </c>
      <c r="I132" s="334"/>
      <c r="J132" s="283"/>
      <c r="K132" s="294">
        <f t="shared" si="292"/>
        <v>0</v>
      </c>
      <c r="L132" s="183">
        <f t="shared" si="297"/>
        <v>0</v>
      </c>
      <c r="M132" s="80">
        <v>0</v>
      </c>
      <c r="N132" s="94">
        <f>244.578642-56.782929-0.341069-3.545726-21.617592-65.042948+32.521474</f>
        <v>129.76985200000001</v>
      </c>
      <c r="O132" s="94">
        <f>244.578642-56.782929-0.341069-3.545726-21.617592-65.042948+32.521474</f>
        <v>129.76985200000001</v>
      </c>
      <c r="P132" s="94">
        <f t="shared" ref="P132" si="298">-AB132</f>
        <v>0</v>
      </c>
      <c r="Q132" s="94">
        <v>0</v>
      </c>
      <c r="R132" s="94">
        <v>0</v>
      </c>
      <c r="S132" s="94">
        <v>0</v>
      </c>
      <c r="T132" s="94">
        <v>0</v>
      </c>
      <c r="U132" s="402">
        <v>0</v>
      </c>
      <c r="V132" s="893">
        <v>0</v>
      </c>
      <c r="W132" s="387">
        <v>0</v>
      </c>
      <c r="X132" s="910">
        <f>-183.908918+21.617592+(51.304159-8.338105)+65.042948-32.521474</f>
        <v>-86.803798</v>
      </c>
      <c r="Y132" s="915">
        <f>-183.908918+21.617592+(51.304159-8.338105)+65.042948</f>
        <v>-54.282324000000003</v>
      </c>
      <c r="Z132" s="367">
        <v>0</v>
      </c>
      <c r="AA132" s="468">
        <v>0</v>
      </c>
      <c r="AB132" s="207">
        <v>0</v>
      </c>
      <c r="AC132" s="207">
        <v>0</v>
      </c>
      <c r="AD132" s="367">
        <v>0</v>
      </c>
      <c r="AE132" s="468">
        <v>0</v>
      </c>
      <c r="AF132" s="468">
        <v>0</v>
      </c>
      <c r="AG132" s="468">
        <v>0</v>
      </c>
      <c r="AH132" s="468">
        <v>0</v>
      </c>
      <c r="AI132" s="387">
        <v>0</v>
      </c>
      <c r="AJ132" s="207">
        <v>0</v>
      </c>
      <c r="AK132" s="367">
        <v>0</v>
      </c>
      <c r="AL132" s="367">
        <v>0</v>
      </c>
      <c r="AM132" s="367">
        <v>0</v>
      </c>
      <c r="AN132" s="367">
        <v>0</v>
      </c>
      <c r="AO132" s="295">
        <v>0</v>
      </c>
      <c r="AP132" s="295">
        <v>0</v>
      </c>
      <c r="AQ132" s="295">
        <v>0</v>
      </c>
      <c r="AR132" s="387">
        <v>0</v>
      </c>
      <c r="AS132" s="896">
        <f t="shared" si="291"/>
        <v>0</v>
      </c>
      <c r="AT132" s="407" t="s">
        <v>1444</v>
      </c>
    </row>
    <row r="133" spans="1:48" s="1" customFormat="1" ht="116.15" hidden="1" customHeight="1" outlineLevel="1" x14ac:dyDescent="0.35">
      <c r="A133" s="590">
        <v>26</v>
      </c>
      <c r="B133" s="612" t="s">
        <v>69</v>
      </c>
      <c r="C133" s="607" t="s">
        <v>1734</v>
      </c>
      <c r="D133" s="63" t="s">
        <v>1345</v>
      </c>
      <c r="E133" s="432" t="s">
        <v>1346</v>
      </c>
      <c r="F133" s="480" t="s">
        <v>518</v>
      </c>
      <c r="G133" s="71" t="s">
        <v>25</v>
      </c>
      <c r="H133" s="310" t="s">
        <v>129</v>
      </c>
      <c r="I133" s="334"/>
      <c r="J133" s="283"/>
      <c r="K133" s="294">
        <f t="shared" si="292"/>
        <v>1.844959</v>
      </c>
      <c r="L133" s="20">
        <f t="shared" si="297"/>
        <v>0</v>
      </c>
      <c r="M133" s="95">
        <f t="shared" ref="M133:N134" si="299">-W133</f>
        <v>0</v>
      </c>
      <c r="N133" s="94">
        <f t="shared" si="299"/>
        <v>2.11</v>
      </c>
      <c r="O133" s="94">
        <f>-X133</f>
        <v>2.11</v>
      </c>
      <c r="P133" s="94">
        <f t="shared" ref="P133:P164" si="300">-AB133</f>
        <v>1.844959</v>
      </c>
      <c r="Q133" s="94">
        <f>-AC133</f>
        <v>0</v>
      </c>
      <c r="R133" s="94">
        <f t="shared" ref="R133:R165" si="301">-AC133</f>
        <v>0</v>
      </c>
      <c r="S133" s="94">
        <f>-AI133</f>
        <v>0</v>
      </c>
      <c r="T133" s="94">
        <f t="shared" ref="T133:T165" si="302">-AJ133</f>
        <v>0</v>
      </c>
      <c r="U133" s="402">
        <f t="shared" ref="U133:U165" si="303">-AQ133</f>
        <v>0</v>
      </c>
      <c r="V133" s="573">
        <v>0</v>
      </c>
      <c r="W133" s="326">
        <v>0</v>
      </c>
      <c r="X133" s="207">
        <v>-2.11</v>
      </c>
      <c r="Y133" s="367">
        <v>-2.11</v>
      </c>
      <c r="Z133" s="367">
        <v>-2.11</v>
      </c>
      <c r="AA133" s="468">
        <v>-2.11</v>
      </c>
      <c r="AB133" s="207">
        <f>-1.844959</f>
        <v>-1.844959</v>
      </c>
      <c r="AC133" s="207">
        <v>0</v>
      </c>
      <c r="AD133" s="367">
        <v>0</v>
      </c>
      <c r="AE133" s="468">
        <v>0</v>
      </c>
      <c r="AF133" s="468">
        <v>0</v>
      </c>
      <c r="AG133" s="468">
        <v>0</v>
      </c>
      <c r="AH133" s="468">
        <v>0</v>
      </c>
      <c r="AI133" s="387">
        <v>0</v>
      </c>
      <c r="AJ133" s="207">
        <v>0</v>
      </c>
      <c r="AK133" s="367">
        <v>0</v>
      </c>
      <c r="AL133" s="367">
        <v>0</v>
      </c>
      <c r="AM133" s="367">
        <v>0</v>
      </c>
      <c r="AN133" s="367">
        <v>0</v>
      </c>
      <c r="AO133" s="295">
        <v>0</v>
      </c>
      <c r="AP133" s="295">
        <v>0</v>
      </c>
      <c r="AQ133" s="295">
        <v>0</v>
      </c>
      <c r="AR133" s="387">
        <v>0</v>
      </c>
      <c r="AS133" s="896">
        <f t="shared" si="291"/>
        <v>0</v>
      </c>
      <c r="AT133" s="411" t="s">
        <v>692</v>
      </c>
    </row>
    <row r="134" spans="1:48" s="1" customFormat="1" ht="58" hidden="1" customHeight="1" outlineLevel="1" x14ac:dyDescent="0.35">
      <c r="A134" s="590">
        <v>27</v>
      </c>
      <c r="B134" s="612" t="s">
        <v>69</v>
      </c>
      <c r="C134" s="607" t="s">
        <v>1733</v>
      </c>
      <c r="D134" s="63" t="s">
        <v>1529</v>
      </c>
      <c r="E134" s="432" t="s">
        <v>639</v>
      </c>
      <c r="F134" s="480" t="s">
        <v>504</v>
      </c>
      <c r="G134" s="95" t="s">
        <v>24</v>
      </c>
      <c r="H134" s="310" t="s">
        <v>129</v>
      </c>
      <c r="I134" s="334"/>
      <c r="J134" s="283"/>
      <c r="K134" s="294">
        <f t="shared" si="292"/>
        <v>1.3237000000000001E-2</v>
      </c>
      <c r="L134" s="183">
        <f t="shared" si="297"/>
        <v>0</v>
      </c>
      <c r="M134" s="94">
        <f t="shared" si="299"/>
        <v>0</v>
      </c>
      <c r="N134" s="94">
        <f t="shared" si="299"/>
        <v>17.857221000000003</v>
      </c>
      <c r="O134" s="94">
        <f>-X134</f>
        <v>17.857221000000003</v>
      </c>
      <c r="P134" s="94">
        <f t="shared" si="300"/>
        <v>1.3237000000000001E-2</v>
      </c>
      <c r="Q134" s="94">
        <f>-AC134</f>
        <v>0</v>
      </c>
      <c r="R134" s="94">
        <f t="shared" si="301"/>
        <v>0</v>
      </c>
      <c r="S134" s="94">
        <f>-AI134</f>
        <v>0</v>
      </c>
      <c r="T134" s="94">
        <f t="shared" si="302"/>
        <v>0</v>
      </c>
      <c r="U134" s="402">
        <f t="shared" si="303"/>
        <v>0</v>
      </c>
      <c r="V134" s="893">
        <v>0</v>
      </c>
      <c r="W134" s="387">
        <v>0</v>
      </c>
      <c r="X134" s="916">
        <f>-65.081781+7.905455+32.521474+3.673822+3.123809</f>
        <v>-17.857221000000003</v>
      </c>
      <c r="Y134" s="915">
        <v>-65.081781000000007</v>
      </c>
      <c r="Z134" s="367">
        <v>0</v>
      </c>
      <c r="AA134" s="468">
        <v>0</v>
      </c>
      <c r="AB134" s="207">
        <f>-0.013237</f>
        <v>-1.3237000000000001E-2</v>
      </c>
      <c r="AC134" s="207">
        <v>0</v>
      </c>
      <c r="AD134" s="367">
        <v>0</v>
      </c>
      <c r="AE134" s="468">
        <v>0</v>
      </c>
      <c r="AF134" s="468">
        <v>0</v>
      </c>
      <c r="AG134" s="468">
        <v>0</v>
      </c>
      <c r="AH134" s="468">
        <v>0</v>
      </c>
      <c r="AI134" s="387">
        <v>0</v>
      </c>
      <c r="AJ134" s="207">
        <v>0</v>
      </c>
      <c r="AK134" s="367">
        <v>0</v>
      </c>
      <c r="AL134" s="367">
        <v>0</v>
      </c>
      <c r="AM134" s="367">
        <v>0</v>
      </c>
      <c r="AN134" s="367">
        <v>0</v>
      </c>
      <c r="AO134" s="295">
        <v>0</v>
      </c>
      <c r="AP134" s="295">
        <v>0</v>
      </c>
      <c r="AQ134" s="295">
        <v>0</v>
      </c>
      <c r="AR134" s="387">
        <v>0</v>
      </c>
      <c r="AS134" s="896">
        <f t="shared" si="291"/>
        <v>0</v>
      </c>
      <c r="AT134" s="407" t="s">
        <v>1530</v>
      </c>
    </row>
    <row r="135" spans="1:48" s="1" customFormat="1" ht="58" hidden="1" customHeight="1" outlineLevel="1" x14ac:dyDescent="0.35">
      <c r="A135" s="590">
        <v>28</v>
      </c>
      <c r="B135" s="612" t="s">
        <v>69</v>
      </c>
      <c r="C135" s="607" t="s">
        <v>1733</v>
      </c>
      <c r="D135" s="63">
        <v>44182</v>
      </c>
      <c r="E135" s="432" t="s">
        <v>639</v>
      </c>
      <c r="F135" s="480" t="s">
        <v>504</v>
      </c>
      <c r="G135" s="95" t="s">
        <v>24</v>
      </c>
      <c r="H135" s="310" t="s">
        <v>129</v>
      </c>
      <c r="I135" s="334"/>
      <c r="J135" s="283"/>
      <c r="K135" s="294">
        <f t="shared" si="292"/>
        <v>2.507123</v>
      </c>
      <c r="L135" s="183">
        <f t="shared" si="297"/>
        <v>0</v>
      </c>
      <c r="M135" s="94">
        <f>-W135</f>
        <v>0</v>
      </c>
      <c r="N135" s="94">
        <f>-X135</f>
        <v>11.680956999999999</v>
      </c>
      <c r="O135" s="94">
        <f>-X135</f>
        <v>11.680956999999999</v>
      </c>
      <c r="P135" s="94">
        <f t="shared" si="300"/>
        <v>2.507123</v>
      </c>
      <c r="Q135" s="94">
        <f>-AC135</f>
        <v>0</v>
      </c>
      <c r="R135" s="94">
        <f t="shared" si="301"/>
        <v>0</v>
      </c>
      <c r="S135" s="94">
        <f>-AI135</f>
        <v>0</v>
      </c>
      <c r="T135" s="94">
        <f t="shared" si="302"/>
        <v>0</v>
      </c>
      <c r="U135" s="402">
        <f t="shared" si="303"/>
        <v>0</v>
      </c>
      <c r="V135" s="893">
        <v>0</v>
      </c>
      <c r="W135" s="387">
        <v>0</v>
      </c>
      <c r="X135" s="910">
        <v>-11.680956999999999</v>
      </c>
      <c r="Y135" s="915">
        <v>-11.680956999999999</v>
      </c>
      <c r="Z135" s="367">
        <v>-11.680956999999999</v>
      </c>
      <c r="AA135" s="468">
        <v>-11.680956999999999</v>
      </c>
      <c r="AB135" s="207">
        <f>-2.132484-0.374639</f>
        <v>-2.507123</v>
      </c>
      <c r="AC135" s="207">
        <v>0</v>
      </c>
      <c r="AD135" s="367">
        <v>0</v>
      </c>
      <c r="AE135" s="468">
        <v>0</v>
      </c>
      <c r="AF135" s="468">
        <v>0</v>
      </c>
      <c r="AG135" s="468">
        <v>0</v>
      </c>
      <c r="AH135" s="468">
        <v>0</v>
      </c>
      <c r="AI135" s="387">
        <v>0</v>
      </c>
      <c r="AJ135" s="207">
        <v>0</v>
      </c>
      <c r="AK135" s="367">
        <v>0</v>
      </c>
      <c r="AL135" s="367">
        <v>0</v>
      </c>
      <c r="AM135" s="367">
        <v>0</v>
      </c>
      <c r="AN135" s="367">
        <v>0</v>
      </c>
      <c r="AO135" s="295">
        <v>0</v>
      </c>
      <c r="AP135" s="295">
        <v>0</v>
      </c>
      <c r="AQ135" s="295">
        <v>0</v>
      </c>
      <c r="AR135" s="387">
        <v>0</v>
      </c>
      <c r="AS135" s="896">
        <f t="shared" si="291"/>
        <v>0</v>
      </c>
      <c r="AT135" s="407" t="s">
        <v>505</v>
      </c>
    </row>
    <row r="136" spans="1:48" s="1" customFormat="1" ht="58" hidden="1" customHeight="1" outlineLevel="1" x14ac:dyDescent="0.35">
      <c r="A136" s="590">
        <v>29</v>
      </c>
      <c r="B136" s="612" t="s">
        <v>69</v>
      </c>
      <c r="C136" s="607" t="s">
        <v>1730</v>
      </c>
      <c r="D136" s="63">
        <v>44201</v>
      </c>
      <c r="E136" s="432" t="s">
        <v>546</v>
      </c>
      <c r="F136" s="480" t="s">
        <v>548</v>
      </c>
      <c r="G136" s="95" t="s">
        <v>24</v>
      </c>
      <c r="H136" s="310" t="s">
        <v>171</v>
      </c>
      <c r="I136" s="334"/>
      <c r="J136" s="283"/>
      <c r="K136" s="294">
        <f t="shared" si="292"/>
        <v>4.7614479999999997</v>
      </c>
      <c r="L136" s="183">
        <f t="shared" si="297"/>
        <v>0</v>
      </c>
      <c r="M136" s="94">
        <v>0</v>
      </c>
      <c r="N136" s="94">
        <v>4.7614479999999997</v>
      </c>
      <c r="O136" s="94">
        <v>4.7614479999999997</v>
      </c>
      <c r="P136" s="94">
        <v>4.7614479999999997</v>
      </c>
      <c r="Q136" s="94">
        <v>0</v>
      </c>
      <c r="R136" s="94">
        <v>0</v>
      </c>
      <c r="S136" s="94">
        <v>0</v>
      </c>
      <c r="T136" s="94">
        <v>0</v>
      </c>
      <c r="U136" s="402">
        <v>0</v>
      </c>
      <c r="V136" s="893">
        <v>0</v>
      </c>
      <c r="W136" s="387">
        <v>-2.8310000000000002E-3</v>
      </c>
      <c r="X136" s="910">
        <v>-4.3561249999999996</v>
      </c>
      <c r="Y136" s="915">
        <v>-4.7614479999999997</v>
      </c>
      <c r="Z136" s="367">
        <v>-4.3561249999999996</v>
      </c>
      <c r="AA136" s="468">
        <v>-4.3561249999999996</v>
      </c>
      <c r="AB136" s="207">
        <f>-3.412796</f>
        <v>-3.4127960000000002</v>
      </c>
      <c r="AC136" s="207">
        <v>-0.93901699999999999</v>
      </c>
      <c r="AD136" s="367">
        <v>-0.40249099999999999</v>
      </c>
      <c r="AE136" s="468">
        <v>-0.40249099999999999</v>
      </c>
      <c r="AF136" s="468">
        <v>-1.3458209999999999</v>
      </c>
      <c r="AG136" s="468">
        <v>-0.93901699999999999</v>
      </c>
      <c r="AH136" s="468">
        <v>-0.93901699999999999</v>
      </c>
      <c r="AI136" s="939">
        <v>-0.934836</v>
      </c>
      <c r="AJ136" s="207">
        <v>-0.41098499999999999</v>
      </c>
      <c r="AK136" s="367">
        <v>-0.406804</v>
      </c>
      <c r="AL136" s="367">
        <v>-0.406804</v>
      </c>
      <c r="AM136" s="367">
        <v>-0.41098499999999999</v>
      </c>
      <c r="AN136" s="367">
        <v>-0.41098499999999999</v>
      </c>
      <c r="AO136" s="295">
        <v>0</v>
      </c>
      <c r="AP136" s="295">
        <v>0</v>
      </c>
      <c r="AQ136" s="295">
        <v>0</v>
      </c>
      <c r="AR136" s="939">
        <v>-4.1809999999999998E-3</v>
      </c>
      <c r="AS136" s="896">
        <v>0</v>
      </c>
      <c r="AT136" s="407" t="s">
        <v>547</v>
      </c>
    </row>
    <row r="137" spans="1:48" s="1" customFormat="1" ht="43.5" hidden="1" customHeight="1" outlineLevel="1" x14ac:dyDescent="0.35">
      <c r="A137" s="590">
        <v>30</v>
      </c>
      <c r="B137" s="612" t="s">
        <v>69</v>
      </c>
      <c r="C137" s="607" t="s">
        <v>1733</v>
      </c>
      <c r="D137" s="63">
        <v>44201</v>
      </c>
      <c r="E137" s="432" t="s">
        <v>549</v>
      </c>
      <c r="F137" s="480" t="s">
        <v>550</v>
      </c>
      <c r="G137" s="95" t="s">
        <v>24</v>
      </c>
      <c r="H137" s="310" t="s">
        <v>129</v>
      </c>
      <c r="I137" s="334"/>
      <c r="J137" s="283"/>
      <c r="K137" s="294">
        <f t="shared" si="292"/>
        <v>6.9761749999999996</v>
      </c>
      <c r="L137" s="183">
        <f t="shared" si="297"/>
        <v>0</v>
      </c>
      <c r="M137" s="94">
        <f t="shared" ref="M137:M164" si="304">-W137</f>
        <v>0</v>
      </c>
      <c r="N137" s="94">
        <f t="shared" ref="N137:N151" si="305">-X137</f>
        <v>6.9761749999999996</v>
      </c>
      <c r="O137" s="94">
        <f t="shared" ref="O137:O151" si="306">-X137</f>
        <v>6.9761749999999996</v>
      </c>
      <c r="P137" s="94">
        <f t="shared" si="300"/>
        <v>6.9761749999999996</v>
      </c>
      <c r="Q137" s="94">
        <f t="shared" ref="Q137:Q151" si="307">-AC137</f>
        <v>0</v>
      </c>
      <c r="R137" s="94">
        <f t="shared" si="301"/>
        <v>0</v>
      </c>
      <c r="S137" s="94">
        <f t="shared" ref="S137:S151" si="308">-AI137</f>
        <v>0</v>
      </c>
      <c r="T137" s="94">
        <f t="shared" si="302"/>
        <v>0</v>
      </c>
      <c r="U137" s="402">
        <f t="shared" si="303"/>
        <v>0</v>
      </c>
      <c r="V137" s="893">
        <v>0</v>
      </c>
      <c r="W137" s="387">
        <v>0</v>
      </c>
      <c r="X137" s="910">
        <v>-6.9761749999999996</v>
      </c>
      <c r="Y137" s="915">
        <v>-6.9761749999999996</v>
      </c>
      <c r="Z137" s="367">
        <v>-6.9761749999999996</v>
      </c>
      <c r="AA137" s="468">
        <v>-6.9761749999999996</v>
      </c>
      <c r="AB137" s="207">
        <v>-6.9761749999999996</v>
      </c>
      <c r="AC137" s="207">
        <v>0</v>
      </c>
      <c r="AD137" s="367">
        <v>0</v>
      </c>
      <c r="AE137" s="468">
        <v>0</v>
      </c>
      <c r="AF137" s="468">
        <v>0</v>
      </c>
      <c r="AG137" s="468">
        <v>0</v>
      </c>
      <c r="AH137" s="468">
        <v>0</v>
      </c>
      <c r="AI137" s="387">
        <v>0</v>
      </c>
      <c r="AJ137" s="207">
        <v>0</v>
      </c>
      <c r="AK137" s="367">
        <v>0</v>
      </c>
      <c r="AL137" s="367">
        <v>0</v>
      </c>
      <c r="AM137" s="367">
        <v>0</v>
      </c>
      <c r="AN137" s="367">
        <v>0</v>
      </c>
      <c r="AO137" s="295">
        <v>0</v>
      </c>
      <c r="AP137" s="295">
        <v>0</v>
      </c>
      <c r="AQ137" s="295">
        <v>0</v>
      </c>
      <c r="AR137" s="387">
        <v>0</v>
      </c>
      <c r="AS137" s="896">
        <f t="shared" si="291"/>
        <v>0</v>
      </c>
      <c r="AT137" s="407" t="s">
        <v>551</v>
      </c>
      <c r="AV137" s="565"/>
    </row>
    <row r="138" spans="1:48" s="1" customFormat="1" ht="29.15" hidden="1" customHeight="1" outlineLevel="1" x14ac:dyDescent="0.35">
      <c r="A138" s="590">
        <v>31</v>
      </c>
      <c r="B138" s="612" t="s">
        <v>69</v>
      </c>
      <c r="C138" s="607" t="s">
        <v>700</v>
      </c>
      <c r="D138" s="63">
        <v>44204</v>
      </c>
      <c r="E138" s="432" t="s">
        <v>720</v>
      </c>
      <c r="F138" s="480" t="s">
        <v>614</v>
      </c>
      <c r="G138" s="95" t="s">
        <v>24</v>
      </c>
      <c r="H138" s="310" t="s">
        <v>129</v>
      </c>
      <c r="I138" s="334"/>
      <c r="J138" s="283"/>
      <c r="K138" s="294">
        <f t="shared" si="292"/>
        <v>0</v>
      </c>
      <c r="L138" s="183">
        <f t="shared" si="297"/>
        <v>0</v>
      </c>
      <c r="M138" s="94">
        <f t="shared" si="304"/>
        <v>0</v>
      </c>
      <c r="N138" s="94">
        <f t="shared" si="305"/>
        <v>0</v>
      </c>
      <c r="O138" s="94">
        <f t="shared" si="306"/>
        <v>0</v>
      </c>
      <c r="P138" s="94">
        <f t="shared" si="300"/>
        <v>0</v>
      </c>
      <c r="Q138" s="94">
        <f t="shared" si="307"/>
        <v>0</v>
      </c>
      <c r="R138" s="94">
        <f t="shared" si="301"/>
        <v>0</v>
      </c>
      <c r="S138" s="94">
        <f t="shared" si="308"/>
        <v>0</v>
      </c>
      <c r="T138" s="94">
        <f t="shared" si="302"/>
        <v>0</v>
      </c>
      <c r="U138" s="402">
        <f t="shared" si="303"/>
        <v>0</v>
      </c>
      <c r="V138" s="893">
        <v>0</v>
      </c>
      <c r="W138" s="387">
        <v>0</v>
      </c>
      <c r="X138" s="910">
        <v>0</v>
      </c>
      <c r="Y138" s="915">
        <v>-23.076008999999999</v>
      </c>
      <c r="Z138" s="367">
        <v>0</v>
      </c>
      <c r="AA138" s="468">
        <v>0</v>
      </c>
      <c r="AB138" s="207">
        <v>0</v>
      </c>
      <c r="AC138" s="207">
        <v>0</v>
      </c>
      <c r="AD138" s="367">
        <v>0</v>
      </c>
      <c r="AE138" s="468">
        <v>0</v>
      </c>
      <c r="AF138" s="468">
        <v>0</v>
      </c>
      <c r="AG138" s="468">
        <v>0</v>
      </c>
      <c r="AH138" s="468">
        <v>0</v>
      </c>
      <c r="AI138" s="387">
        <v>0</v>
      </c>
      <c r="AJ138" s="207">
        <v>0</v>
      </c>
      <c r="AK138" s="367">
        <v>0</v>
      </c>
      <c r="AL138" s="367">
        <v>0</v>
      </c>
      <c r="AM138" s="367">
        <v>0</v>
      </c>
      <c r="AN138" s="367">
        <v>0</v>
      </c>
      <c r="AO138" s="295">
        <v>0</v>
      </c>
      <c r="AP138" s="295">
        <v>0</v>
      </c>
      <c r="AQ138" s="295">
        <v>0</v>
      </c>
      <c r="AR138" s="387">
        <v>0</v>
      </c>
      <c r="AS138" s="896">
        <f t="shared" si="291"/>
        <v>0</v>
      </c>
      <c r="AT138" s="411" t="s">
        <v>614</v>
      </c>
    </row>
    <row r="139" spans="1:48" s="1" customFormat="1" ht="72.650000000000006" hidden="1" customHeight="1" outlineLevel="1" x14ac:dyDescent="0.35">
      <c r="A139" s="590">
        <v>32</v>
      </c>
      <c r="B139" s="612" t="s">
        <v>69</v>
      </c>
      <c r="C139" s="607" t="s">
        <v>1735</v>
      </c>
      <c r="D139" s="63" t="s">
        <v>1148</v>
      </c>
      <c r="E139" s="432" t="s">
        <v>1147</v>
      </c>
      <c r="F139" s="480" t="s">
        <v>705</v>
      </c>
      <c r="G139" s="95" t="s">
        <v>142</v>
      </c>
      <c r="H139" s="310" t="s">
        <v>129</v>
      </c>
      <c r="I139" s="334"/>
      <c r="J139" s="283"/>
      <c r="K139" s="294">
        <f t="shared" si="292"/>
        <v>0</v>
      </c>
      <c r="L139" s="183">
        <f t="shared" si="297"/>
        <v>0</v>
      </c>
      <c r="M139" s="94">
        <f t="shared" si="304"/>
        <v>0</v>
      </c>
      <c r="N139" s="94">
        <f t="shared" si="305"/>
        <v>2.2567490000000001</v>
      </c>
      <c r="O139" s="94">
        <f t="shared" si="306"/>
        <v>2.2567490000000001</v>
      </c>
      <c r="P139" s="94">
        <f t="shared" si="300"/>
        <v>0</v>
      </c>
      <c r="Q139" s="94">
        <f t="shared" si="307"/>
        <v>0</v>
      </c>
      <c r="R139" s="94">
        <f t="shared" si="301"/>
        <v>0</v>
      </c>
      <c r="S139" s="94">
        <f t="shared" si="308"/>
        <v>0</v>
      </c>
      <c r="T139" s="94">
        <f t="shared" si="302"/>
        <v>0</v>
      </c>
      <c r="U139" s="402">
        <f t="shared" si="303"/>
        <v>0</v>
      </c>
      <c r="V139" s="893">
        <v>0</v>
      </c>
      <c r="W139" s="387">
        <v>0</v>
      </c>
      <c r="X139" s="910">
        <f>-0.621799-1.63495</f>
        <v>-2.2567490000000001</v>
      </c>
      <c r="Y139" s="915">
        <f>-0.621799-1.63495</f>
        <v>-2.2567490000000001</v>
      </c>
      <c r="Z139" s="367">
        <v>-2.2567490000000001</v>
      </c>
      <c r="AA139" s="468">
        <v>-2.2567490000000001</v>
      </c>
      <c r="AB139" s="207">
        <v>0</v>
      </c>
      <c r="AC139" s="207">
        <v>0</v>
      </c>
      <c r="AD139" s="367">
        <v>0</v>
      </c>
      <c r="AE139" s="468">
        <v>0</v>
      </c>
      <c r="AF139" s="468">
        <v>0</v>
      </c>
      <c r="AG139" s="468">
        <v>0</v>
      </c>
      <c r="AH139" s="468">
        <v>0</v>
      </c>
      <c r="AI139" s="387">
        <v>0</v>
      </c>
      <c r="AJ139" s="207">
        <v>0</v>
      </c>
      <c r="AK139" s="367">
        <v>0</v>
      </c>
      <c r="AL139" s="367">
        <v>0</v>
      </c>
      <c r="AM139" s="367">
        <v>0</v>
      </c>
      <c r="AN139" s="367">
        <v>0</v>
      </c>
      <c r="AO139" s="295">
        <v>0</v>
      </c>
      <c r="AP139" s="295">
        <v>0</v>
      </c>
      <c r="AQ139" s="295">
        <v>0</v>
      </c>
      <c r="AR139" s="387">
        <v>0</v>
      </c>
      <c r="AS139" s="896">
        <f t="shared" si="291"/>
        <v>0</v>
      </c>
      <c r="AT139" s="411" t="s">
        <v>1113</v>
      </c>
    </row>
    <row r="140" spans="1:48" s="1" customFormat="1" ht="43.5" hidden="1" customHeight="1" outlineLevel="1" x14ac:dyDescent="0.35">
      <c r="A140" s="590">
        <v>33</v>
      </c>
      <c r="B140" s="612" t="s">
        <v>69</v>
      </c>
      <c r="C140" s="607" t="s">
        <v>700</v>
      </c>
      <c r="D140" s="63">
        <v>44210</v>
      </c>
      <c r="E140" s="432" t="s">
        <v>721</v>
      </c>
      <c r="F140" s="480" t="s">
        <v>615</v>
      </c>
      <c r="G140" s="95" t="s">
        <v>24</v>
      </c>
      <c r="H140" s="310" t="s">
        <v>129</v>
      </c>
      <c r="I140" s="334"/>
      <c r="J140" s="283"/>
      <c r="K140" s="294">
        <f t="shared" si="292"/>
        <v>0</v>
      </c>
      <c r="L140" s="183">
        <f t="shared" si="297"/>
        <v>0</v>
      </c>
      <c r="M140" s="94">
        <f t="shared" si="304"/>
        <v>0</v>
      </c>
      <c r="N140" s="94">
        <f t="shared" si="305"/>
        <v>0</v>
      </c>
      <c r="O140" s="94">
        <f t="shared" si="306"/>
        <v>0</v>
      </c>
      <c r="P140" s="94">
        <f t="shared" si="300"/>
        <v>0</v>
      </c>
      <c r="Q140" s="94">
        <f t="shared" si="307"/>
        <v>0</v>
      </c>
      <c r="R140" s="94">
        <f t="shared" si="301"/>
        <v>0</v>
      </c>
      <c r="S140" s="94">
        <f t="shared" si="308"/>
        <v>0</v>
      </c>
      <c r="T140" s="94">
        <f t="shared" si="302"/>
        <v>0</v>
      </c>
      <c r="U140" s="402">
        <f t="shared" si="303"/>
        <v>0</v>
      </c>
      <c r="V140" s="893">
        <v>0</v>
      </c>
      <c r="W140" s="387">
        <v>0</v>
      </c>
      <c r="X140" s="910">
        <v>0</v>
      </c>
      <c r="Y140" s="915">
        <f>-14.180745+2.66222</f>
        <v>-11.518525</v>
      </c>
      <c r="Z140" s="367">
        <v>0</v>
      </c>
      <c r="AA140" s="468">
        <v>0</v>
      </c>
      <c r="AB140" s="895">
        <v>0</v>
      </c>
      <c r="AC140" s="207">
        <v>0</v>
      </c>
      <c r="AD140" s="367">
        <v>0</v>
      </c>
      <c r="AE140" s="468">
        <v>0</v>
      </c>
      <c r="AF140" s="468">
        <v>0</v>
      </c>
      <c r="AG140" s="468">
        <v>0</v>
      </c>
      <c r="AH140" s="468">
        <v>0</v>
      </c>
      <c r="AI140" s="917">
        <v>0</v>
      </c>
      <c r="AJ140" s="207">
        <v>0</v>
      </c>
      <c r="AK140" s="367">
        <v>0</v>
      </c>
      <c r="AL140" s="367">
        <v>0</v>
      </c>
      <c r="AM140" s="367">
        <v>0</v>
      </c>
      <c r="AN140" s="367">
        <v>0</v>
      </c>
      <c r="AO140" s="295">
        <v>0</v>
      </c>
      <c r="AP140" s="295">
        <v>0</v>
      </c>
      <c r="AQ140" s="295">
        <v>0</v>
      </c>
      <c r="AR140" s="917">
        <v>0</v>
      </c>
      <c r="AS140" s="896">
        <f t="shared" si="291"/>
        <v>0</v>
      </c>
      <c r="AT140" s="411" t="s">
        <v>615</v>
      </c>
    </row>
    <row r="141" spans="1:48" s="1" customFormat="1" ht="72.650000000000006" hidden="1" customHeight="1" outlineLevel="1" x14ac:dyDescent="0.35">
      <c r="A141" s="590">
        <v>34</v>
      </c>
      <c r="B141" s="612" t="s">
        <v>69</v>
      </c>
      <c r="C141" s="607" t="s">
        <v>1736</v>
      </c>
      <c r="D141" s="63" t="s">
        <v>1813</v>
      </c>
      <c r="E141" s="432" t="s">
        <v>557</v>
      </c>
      <c r="F141" s="480" t="s">
        <v>556</v>
      </c>
      <c r="G141" s="95" t="s">
        <v>24</v>
      </c>
      <c r="H141" s="310" t="s">
        <v>129</v>
      </c>
      <c r="I141" s="334"/>
      <c r="J141" s="283"/>
      <c r="K141" s="294">
        <f t="shared" si="292"/>
        <v>11.543699999999999</v>
      </c>
      <c r="L141" s="183">
        <f t="shared" si="297"/>
        <v>0</v>
      </c>
      <c r="M141" s="94">
        <f t="shared" si="304"/>
        <v>0</v>
      </c>
      <c r="N141" s="94">
        <f t="shared" si="305"/>
        <v>11.64306</v>
      </c>
      <c r="O141" s="94">
        <f t="shared" si="306"/>
        <v>11.64306</v>
      </c>
      <c r="P141" s="94">
        <f t="shared" si="300"/>
        <v>11.543699999999999</v>
      </c>
      <c r="Q141" s="94">
        <f t="shared" si="307"/>
        <v>0</v>
      </c>
      <c r="R141" s="94">
        <f t="shared" si="301"/>
        <v>0</v>
      </c>
      <c r="S141" s="94">
        <f t="shared" si="308"/>
        <v>0</v>
      </c>
      <c r="T141" s="94">
        <f t="shared" si="302"/>
        <v>0</v>
      </c>
      <c r="U141" s="402">
        <f t="shared" si="303"/>
        <v>0</v>
      </c>
      <c r="V141" s="893">
        <v>0</v>
      </c>
      <c r="W141" s="387">
        <v>0</v>
      </c>
      <c r="X141" s="910">
        <f>-2.43156-4.6575-4.554</f>
        <v>-11.64306</v>
      </c>
      <c r="Y141" s="915">
        <v>-2.4315600000000002</v>
      </c>
      <c r="Z141" s="367">
        <v>-7.0890599999999999</v>
      </c>
      <c r="AA141" s="468">
        <v>-7.0890599999999999</v>
      </c>
      <c r="AB141" s="207">
        <f>-11.5437</f>
        <v>-11.543699999999999</v>
      </c>
      <c r="AC141" s="207">
        <v>0</v>
      </c>
      <c r="AD141" s="367">
        <v>0</v>
      </c>
      <c r="AE141" s="468">
        <v>0</v>
      </c>
      <c r="AF141" s="468">
        <v>0</v>
      </c>
      <c r="AG141" s="468">
        <v>0</v>
      </c>
      <c r="AH141" s="468">
        <v>0</v>
      </c>
      <c r="AI141" s="387">
        <v>0</v>
      </c>
      <c r="AJ141" s="207">
        <v>0</v>
      </c>
      <c r="AK141" s="367">
        <v>0</v>
      </c>
      <c r="AL141" s="367">
        <v>0</v>
      </c>
      <c r="AM141" s="367">
        <v>0</v>
      </c>
      <c r="AN141" s="367">
        <v>0</v>
      </c>
      <c r="AO141" s="295">
        <v>0</v>
      </c>
      <c r="AP141" s="295">
        <v>0</v>
      </c>
      <c r="AQ141" s="295">
        <v>0</v>
      </c>
      <c r="AR141" s="387">
        <v>0</v>
      </c>
      <c r="AS141" s="896">
        <f t="shared" si="291"/>
        <v>0</v>
      </c>
      <c r="AT141" s="407" t="s">
        <v>1802</v>
      </c>
    </row>
    <row r="142" spans="1:48" s="1" customFormat="1" ht="145" hidden="1" customHeight="1" outlineLevel="1" x14ac:dyDescent="0.35">
      <c r="A142" s="590">
        <v>35</v>
      </c>
      <c r="B142" s="612" t="s">
        <v>69</v>
      </c>
      <c r="C142" s="607" t="s">
        <v>1733</v>
      </c>
      <c r="D142" s="63">
        <v>44215</v>
      </c>
      <c r="E142" s="432" t="s">
        <v>640</v>
      </c>
      <c r="F142" s="480" t="s">
        <v>618</v>
      </c>
      <c r="G142" s="95" t="s">
        <v>24</v>
      </c>
      <c r="H142" s="310" t="s">
        <v>127</v>
      </c>
      <c r="I142" s="334"/>
      <c r="J142" s="283"/>
      <c r="K142" s="294">
        <f t="shared" si="292"/>
        <v>3.5033529999999997</v>
      </c>
      <c r="L142" s="183">
        <f t="shared" si="297"/>
        <v>0</v>
      </c>
      <c r="M142" s="94">
        <f t="shared" si="304"/>
        <v>0</v>
      </c>
      <c r="N142" s="94">
        <f t="shared" si="305"/>
        <v>7.1112080000000004</v>
      </c>
      <c r="O142" s="94">
        <f t="shared" si="306"/>
        <v>7.1112080000000004</v>
      </c>
      <c r="P142" s="94">
        <f t="shared" si="300"/>
        <v>3.5033529999999997</v>
      </c>
      <c r="Q142" s="94">
        <f t="shared" si="307"/>
        <v>0</v>
      </c>
      <c r="R142" s="94">
        <f t="shared" si="301"/>
        <v>0</v>
      </c>
      <c r="S142" s="94">
        <f t="shared" si="308"/>
        <v>0</v>
      </c>
      <c r="T142" s="94">
        <f t="shared" si="302"/>
        <v>0</v>
      </c>
      <c r="U142" s="402">
        <f t="shared" si="303"/>
        <v>0</v>
      </c>
      <c r="V142" s="893">
        <v>0</v>
      </c>
      <c r="W142" s="387">
        <v>0</v>
      </c>
      <c r="X142" s="910">
        <v>-7.1112080000000004</v>
      </c>
      <c r="Y142" s="915">
        <v>-7.1112080000000004</v>
      </c>
      <c r="Z142" s="367">
        <v>-7.1112080000000004</v>
      </c>
      <c r="AA142" s="468">
        <v>-7.1112080000000004</v>
      </c>
      <c r="AB142" s="207">
        <f>-3.470779-0.032574</f>
        <v>-3.5033529999999997</v>
      </c>
      <c r="AC142" s="207">
        <v>0</v>
      </c>
      <c r="AD142" s="367">
        <v>0</v>
      </c>
      <c r="AE142" s="468">
        <v>0</v>
      </c>
      <c r="AF142" s="468">
        <v>0</v>
      </c>
      <c r="AG142" s="468">
        <v>0</v>
      </c>
      <c r="AH142" s="468">
        <v>0</v>
      </c>
      <c r="AI142" s="387">
        <v>0</v>
      </c>
      <c r="AJ142" s="207">
        <v>0</v>
      </c>
      <c r="AK142" s="367">
        <v>0</v>
      </c>
      <c r="AL142" s="367">
        <v>0</v>
      </c>
      <c r="AM142" s="367">
        <v>0</v>
      </c>
      <c r="AN142" s="367">
        <v>0</v>
      </c>
      <c r="AO142" s="295">
        <v>0</v>
      </c>
      <c r="AP142" s="295">
        <v>0</v>
      </c>
      <c r="AQ142" s="295">
        <v>0</v>
      </c>
      <c r="AR142" s="387">
        <v>0</v>
      </c>
      <c r="AS142" s="896">
        <f t="shared" si="291"/>
        <v>0</v>
      </c>
      <c r="AT142" s="407" t="s">
        <v>619</v>
      </c>
    </row>
    <row r="143" spans="1:48" s="1" customFormat="1" ht="43.5" hidden="1" customHeight="1" outlineLevel="1" x14ac:dyDescent="0.35">
      <c r="A143" s="590">
        <v>36</v>
      </c>
      <c r="B143" s="612" t="s">
        <v>69</v>
      </c>
      <c r="C143" s="607" t="s">
        <v>1734</v>
      </c>
      <c r="D143" s="63" t="s">
        <v>1322</v>
      </c>
      <c r="E143" s="432" t="s">
        <v>616</v>
      </c>
      <c r="F143" s="480" t="s">
        <v>617</v>
      </c>
      <c r="G143" s="95" t="s">
        <v>24</v>
      </c>
      <c r="H143" s="310" t="s">
        <v>130</v>
      </c>
      <c r="I143" s="334"/>
      <c r="J143" s="283"/>
      <c r="K143" s="294">
        <f t="shared" si="292"/>
        <v>0.33969700000000003</v>
      </c>
      <c r="L143" s="183">
        <f t="shared" si="297"/>
        <v>0</v>
      </c>
      <c r="M143" s="94">
        <f t="shared" si="304"/>
        <v>0</v>
      </c>
      <c r="N143" s="94">
        <f t="shared" si="305"/>
        <v>0.439915</v>
      </c>
      <c r="O143" s="94">
        <f t="shared" si="306"/>
        <v>0.439915</v>
      </c>
      <c r="P143" s="94">
        <f t="shared" si="300"/>
        <v>0.33969700000000003</v>
      </c>
      <c r="Q143" s="94">
        <f t="shared" si="307"/>
        <v>0</v>
      </c>
      <c r="R143" s="94">
        <f t="shared" si="301"/>
        <v>0</v>
      </c>
      <c r="S143" s="94">
        <f t="shared" si="308"/>
        <v>0</v>
      </c>
      <c r="T143" s="94">
        <f t="shared" si="302"/>
        <v>0</v>
      </c>
      <c r="U143" s="402">
        <f t="shared" si="303"/>
        <v>0</v>
      </c>
      <c r="V143" s="893">
        <v>0</v>
      </c>
      <c r="W143" s="387">
        <v>0</v>
      </c>
      <c r="X143" s="910">
        <v>-0.439915</v>
      </c>
      <c r="Y143" s="915">
        <v>-0.64180599999999999</v>
      </c>
      <c r="Z143" s="367">
        <v>-0.439915</v>
      </c>
      <c r="AA143" s="468">
        <v>-0.439915</v>
      </c>
      <c r="AB143" s="207">
        <f>-0.00242-0.131376-0.205901</f>
        <v>-0.33969700000000003</v>
      </c>
      <c r="AC143" s="207">
        <v>0</v>
      </c>
      <c r="AD143" s="367">
        <v>0</v>
      </c>
      <c r="AE143" s="468">
        <v>0</v>
      </c>
      <c r="AF143" s="468">
        <v>0</v>
      </c>
      <c r="AG143" s="468">
        <v>0</v>
      </c>
      <c r="AH143" s="468">
        <v>0</v>
      </c>
      <c r="AI143" s="387">
        <v>0</v>
      </c>
      <c r="AJ143" s="207">
        <v>0</v>
      </c>
      <c r="AK143" s="367">
        <v>0</v>
      </c>
      <c r="AL143" s="367">
        <v>0</v>
      </c>
      <c r="AM143" s="367">
        <v>0</v>
      </c>
      <c r="AN143" s="367">
        <v>0</v>
      </c>
      <c r="AO143" s="295">
        <v>0</v>
      </c>
      <c r="AP143" s="295">
        <v>0</v>
      </c>
      <c r="AQ143" s="295">
        <v>0</v>
      </c>
      <c r="AR143" s="387">
        <v>0</v>
      </c>
      <c r="AS143" s="896">
        <f t="shared" si="291"/>
        <v>0</v>
      </c>
      <c r="AT143" s="411" t="s">
        <v>617</v>
      </c>
    </row>
    <row r="144" spans="1:48" s="1" customFormat="1" ht="87" hidden="1" customHeight="1" outlineLevel="1" x14ac:dyDescent="0.35">
      <c r="A144" s="590">
        <v>37</v>
      </c>
      <c r="B144" s="612" t="s">
        <v>69</v>
      </c>
      <c r="C144" s="607" t="s">
        <v>700</v>
      </c>
      <c r="D144" s="63">
        <v>44217</v>
      </c>
      <c r="E144" s="432" t="s">
        <v>722</v>
      </c>
      <c r="F144" s="480" t="s">
        <v>676</v>
      </c>
      <c r="G144" s="95" t="s">
        <v>24</v>
      </c>
      <c r="H144" s="310" t="s">
        <v>129</v>
      </c>
      <c r="I144" s="334"/>
      <c r="J144" s="283"/>
      <c r="K144" s="294">
        <f t="shared" si="292"/>
        <v>0</v>
      </c>
      <c r="L144" s="183">
        <f t="shared" si="297"/>
        <v>0</v>
      </c>
      <c r="M144" s="94">
        <f t="shared" si="304"/>
        <v>0</v>
      </c>
      <c r="N144" s="94">
        <f t="shared" si="305"/>
        <v>0</v>
      </c>
      <c r="O144" s="94">
        <f t="shared" si="306"/>
        <v>0</v>
      </c>
      <c r="P144" s="94">
        <f t="shared" si="300"/>
        <v>0</v>
      </c>
      <c r="Q144" s="94">
        <f t="shared" si="307"/>
        <v>0</v>
      </c>
      <c r="R144" s="94">
        <f t="shared" si="301"/>
        <v>0</v>
      </c>
      <c r="S144" s="94">
        <f t="shared" si="308"/>
        <v>0</v>
      </c>
      <c r="T144" s="94">
        <f t="shared" si="302"/>
        <v>0</v>
      </c>
      <c r="U144" s="402">
        <f t="shared" si="303"/>
        <v>0</v>
      </c>
      <c r="V144" s="893">
        <v>0</v>
      </c>
      <c r="W144" s="387">
        <v>0</v>
      </c>
      <c r="X144" s="910">
        <v>0</v>
      </c>
      <c r="Y144" s="915">
        <v>-14.407487</v>
      </c>
      <c r="Z144" s="367">
        <v>0</v>
      </c>
      <c r="AA144" s="468">
        <v>0</v>
      </c>
      <c r="AB144" s="207">
        <v>0</v>
      </c>
      <c r="AC144" s="207">
        <v>0</v>
      </c>
      <c r="AD144" s="367">
        <v>0</v>
      </c>
      <c r="AE144" s="468">
        <v>0</v>
      </c>
      <c r="AF144" s="468">
        <v>0</v>
      </c>
      <c r="AG144" s="468">
        <v>0</v>
      </c>
      <c r="AH144" s="468">
        <v>0</v>
      </c>
      <c r="AI144" s="387">
        <v>0</v>
      </c>
      <c r="AJ144" s="207">
        <v>0</v>
      </c>
      <c r="AK144" s="367">
        <v>0</v>
      </c>
      <c r="AL144" s="367">
        <v>0</v>
      </c>
      <c r="AM144" s="367">
        <v>0</v>
      </c>
      <c r="AN144" s="367">
        <v>0</v>
      </c>
      <c r="AO144" s="295">
        <v>0</v>
      </c>
      <c r="AP144" s="295">
        <v>0</v>
      </c>
      <c r="AQ144" s="295">
        <v>0</v>
      </c>
      <c r="AR144" s="387">
        <v>0</v>
      </c>
      <c r="AS144" s="896">
        <f t="shared" si="291"/>
        <v>0</v>
      </c>
      <c r="AT144" s="411" t="s">
        <v>677</v>
      </c>
    </row>
    <row r="145" spans="1:48" s="1" customFormat="1" ht="114" hidden="1" customHeight="1" outlineLevel="1" x14ac:dyDescent="0.35">
      <c r="A145" s="590">
        <v>38</v>
      </c>
      <c r="B145" s="612" t="s">
        <v>69</v>
      </c>
      <c r="C145" s="607" t="s">
        <v>1732</v>
      </c>
      <c r="D145" s="63">
        <v>44217</v>
      </c>
      <c r="E145" s="432" t="s">
        <v>675</v>
      </c>
      <c r="F145" s="480" t="s">
        <v>674</v>
      </c>
      <c r="G145" s="95" t="s">
        <v>24</v>
      </c>
      <c r="H145" s="310" t="s">
        <v>130</v>
      </c>
      <c r="I145" s="334"/>
      <c r="J145" s="283"/>
      <c r="K145" s="294">
        <f t="shared" si="292"/>
        <v>46.317694000000003</v>
      </c>
      <c r="L145" s="183">
        <f t="shared" si="297"/>
        <v>0</v>
      </c>
      <c r="M145" s="94">
        <f t="shared" si="304"/>
        <v>0</v>
      </c>
      <c r="N145" s="94">
        <f t="shared" si="305"/>
        <v>46.317694000000003</v>
      </c>
      <c r="O145" s="94">
        <f t="shared" si="306"/>
        <v>46.317694000000003</v>
      </c>
      <c r="P145" s="94">
        <f t="shared" si="300"/>
        <v>46.317694000000003</v>
      </c>
      <c r="Q145" s="94">
        <f t="shared" si="307"/>
        <v>0</v>
      </c>
      <c r="R145" s="94">
        <f t="shared" si="301"/>
        <v>0</v>
      </c>
      <c r="S145" s="94">
        <f t="shared" si="308"/>
        <v>0</v>
      </c>
      <c r="T145" s="94">
        <f t="shared" si="302"/>
        <v>0</v>
      </c>
      <c r="U145" s="402">
        <f t="shared" si="303"/>
        <v>0</v>
      </c>
      <c r="V145" s="893">
        <v>0</v>
      </c>
      <c r="W145" s="387">
        <v>0</v>
      </c>
      <c r="X145" s="910">
        <f>-69.341604+23.02391</f>
        <v>-46.317694000000003</v>
      </c>
      <c r="Y145" s="915">
        <v>-69.341604000000004</v>
      </c>
      <c r="Z145" s="367">
        <v>-46.317694000000003</v>
      </c>
      <c r="AA145" s="468">
        <v>-46.317694000000003</v>
      </c>
      <c r="AB145" s="207">
        <v>-46.317694000000003</v>
      </c>
      <c r="AC145" s="207">
        <v>0</v>
      </c>
      <c r="AD145" s="367">
        <v>0</v>
      </c>
      <c r="AE145" s="468">
        <v>0</v>
      </c>
      <c r="AF145" s="468">
        <v>0</v>
      </c>
      <c r="AG145" s="468">
        <v>0</v>
      </c>
      <c r="AH145" s="468">
        <v>0</v>
      </c>
      <c r="AI145" s="387">
        <v>0</v>
      </c>
      <c r="AJ145" s="207">
        <v>0</v>
      </c>
      <c r="AK145" s="367">
        <v>0</v>
      </c>
      <c r="AL145" s="367">
        <v>0</v>
      </c>
      <c r="AM145" s="367">
        <v>0</v>
      </c>
      <c r="AN145" s="367">
        <v>0</v>
      </c>
      <c r="AO145" s="295">
        <v>0</v>
      </c>
      <c r="AP145" s="295">
        <v>0</v>
      </c>
      <c r="AQ145" s="295">
        <v>0</v>
      </c>
      <c r="AR145" s="387">
        <v>0</v>
      </c>
      <c r="AS145" s="896">
        <f t="shared" ref="AS145:AS165" si="309">-AR145</f>
        <v>0</v>
      </c>
      <c r="AT145" s="411" t="s">
        <v>1355</v>
      </c>
    </row>
    <row r="146" spans="1:48" s="1" customFormat="1" ht="165" hidden="1" customHeight="1" outlineLevel="1" x14ac:dyDescent="0.35">
      <c r="A146" s="590">
        <v>39</v>
      </c>
      <c r="B146" s="612" t="s">
        <v>69</v>
      </c>
      <c r="C146" s="607" t="s">
        <v>1734</v>
      </c>
      <c r="D146" s="63">
        <v>44224</v>
      </c>
      <c r="E146" s="432" t="s">
        <v>683</v>
      </c>
      <c r="F146" s="480" t="s">
        <v>682</v>
      </c>
      <c r="G146" s="95" t="s">
        <v>24</v>
      </c>
      <c r="H146" s="310" t="s">
        <v>130</v>
      </c>
      <c r="I146" s="334"/>
      <c r="J146" s="283"/>
      <c r="K146" s="294">
        <f t="shared" si="292"/>
        <v>0.44379299999999999</v>
      </c>
      <c r="L146" s="183">
        <f t="shared" si="297"/>
        <v>0</v>
      </c>
      <c r="M146" s="94">
        <f t="shared" si="304"/>
        <v>0</v>
      </c>
      <c r="N146" s="94">
        <f t="shared" si="305"/>
        <v>0.700797</v>
      </c>
      <c r="O146" s="94">
        <f t="shared" si="306"/>
        <v>0.700797</v>
      </c>
      <c r="P146" s="94">
        <f t="shared" si="300"/>
        <v>0.44379299999999999</v>
      </c>
      <c r="Q146" s="94">
        <f t="shared" si="307"/>
        <v>0</v>
      </c>
      <c r="R146" s="94">
        <f t="shared" si="301"/>
        <v>0</v>
      </c>
      <c r="S146" s="94">
        <f t="shared" si="308"/>
        <v>0</v>
      </c>
      <c r="T146" s="94">
        <f t="shared" si="302"/>
        <v>0</v>
      </c>
      <c r="U146" s="402">
        <f t="shared" si="303"/>
        <v>0</v>
      </c>
      <c r="V146" s="893">
        <v>0</v>
      </c>
      <c r="W146" s="387">
        <v>0</v>
      </c>
      <c r="X146" s="910">
        <f>-0.700797</f>
        <v>-0.700797</v>
      </c>
      <c r="Y146" s="915">
        <v>-0.36630000000000001</v>
      </c>
      <c r="Z146" s="367">
        <v>-0.36630000000000001</v>
      </c>
      <c r="AA146" s="468">
        <v>-0.36630000000000001</v>
      </c>
      <c r="AB146" s="207">
        <f>-0.443793</f>
        <v>-0.44379299999999999</v>
      </c>
      <c r="AC146" s="207">
        <v>0</v>
      </c>
      <c r="AD146" s="367">
        <v>0</v>
      </c>
      <c r="AE146" s="468">
        <v>0</v>
      </c>
      <c r="AF146" s="468">
        <v>0</v>
      </c>
      <c r="AG146" s="468">
        <v>0</v>
      </c>
      <c r="AH146" s="468">
        <v>0</v>
      </c>
      <c r="AI146" s="387">
        <v>0</v>
      </c>
      <c r="AJ146" s="207">
        <v>0</v>
      </c>
      <c r="AK146" s="367">
        <v>0</v>
      </c>
      <c r="AL146" s="367">
        <v>0</v>
      </c>
      <c r="AM146" s="367">
        <v>0</v>
      </c>
      <c r="AN146" s="367">
        <v>0</v>
      </c>
      <c r="AO146" s="295">
        <v>0</v>
      </c>
      <c r="AP146" s="295">
        <v>0</v>
      </c>
      <c r="AQ146" s="295">
        <v>0</v>
      </c>
      <c r="AR146" s="387">
        <v>0</v>
      </c>
      <c r="AS146" s="896">
        <f t="shared" si="309"/>
        <v>0</v>
      </c>
      <c r="AT146" s="411" t="s">
        <v>1814</v>
      </c>
    </row>
    <row r="147" spans="1:48" s="1" customFormat="1" ht="29.15" hidden="1" customHeight="1" outlineLevel="1" x14ac:dyDescent="0.35">
      <c r="A147" s="590">
        <v>40</v>
      </c>
      <c r="B147" s="612" t="s">
        <v>69</v>
      </c>
      <c r="C147" s="607" t="s">
        <v>700</v>
      </c>
      <c r="D147" s="63">
        <v>44224</v>
      </c>
      <c r="E147" s="432" t="s">
        <v>723</v>
      </c>
      <c r="F147" s="480" t="s">
        <v>700</v>
      </c>
      <c r="G147" s="95" t="s">
        <v>24</v>
      </c>
      <c r="H147" s="310" t="s">
        <v>129</v>
      </c>
      <c r="I147" s="334"/>
      <c r="J147" s="283"/>
      <c r="K147" s="294">
        <f t="shared" si="292"/>
        <v>0</v>
      </c>
      <c r="L147" s="183">
        <f t="shared" si="297"/>
        <v>0</v>
      </c>
      <c r="M147" s="94">
        <f t="shared" si="304"/>
        <v>0</v>
      </c>
      <c r="N147" s="94">
        <f t="shared" si="305"/>
        <v>0</v>
      </c>
      <c r="O147" s="94">
        <f t="shared" si="306"/>
        <v>0</v>
      </c>
      <c r="P147" s="94">
        <f t="shared" si="300"/>
        <v>0</v>
      </c>
      <c r="Q147" s="94">
        <f t="shared" si="307"/>
        <v>0</v>
      </c>
      <c r="R147" s="94">
        <f t="shared" si="301"/>
        <v>0</v>
      </c>
      <c r="S147" s="94">
        <f t="shared" si="308"/>
        <v>0</v>
      </c>
      <c r="T147" s="94">
        <f t="shared" si="302"/>
        <v>0</v>
      </c>
      <c r="U147" s="402">
        <f t="shared" si="303"/>
        <v>0</v>
      </c>
      <c r="V147" s="893">
        <v>0</v>
      </c>
      <c r="W147" s="387">
        <v>0</v>
      </c>
      <c r="X147" s="910">
        <v>0</v>
      </c>
      <c r="Y147" s="915">
        <v>-14.328989999999999</v>
      </c>
      <c r="Z147" s="367">
        <v>0</v>
      </c>
      <c r="AA147" s="468">
        <v>0</v>
      </c>
      <c r="AB147" s="207">
        <v>0</v>
      </c>
      <c r="AC147" s="207">
        <v>0</v>
      </c>
      <c r="AD147" s="367">
        <v>0</v>
      </c>
      <c r="AE147" s="468">
        <v>0</v>
      </c>
      <c r="AF147" s="468">
        <v>0</v>
      </c>
      <c r="AG147" s="468">
        <v>0</v>
      </c>
      <c r="AH147" s="468">
        <v>0</v>
      </c>
      <c r="AI147" s="387">
        <v>0</v>
      </c>
      <c r="AJ147" s="207">
        <v>0</v>
      </c>
      <c r="AK147" s="367">
        <v>0</v>
      </c>
      <c r="AL147" s="367">
        <v>0</v>
      </c>
      <c r="AM147" s="367">
        <v>0</v>
      </c>
      <c r="AN147" s="367">
        <v>0</v>
      </c>
      <c r="AO147" s="295">
        <v>0</v>
      </c>
      <c r="AP147" s="295">
        <v>0</v>
      </c>
      <c r="AQ147" s="295">
        <v>0</v>
      </c>
      <c r="AR147" s="387">
        <v>0</v>
      </c>
      <c r="AS147" s="896">
        <f t="shared" si="309"/>
        <v>0</v>
      </c>
      <c r="AT147" s="411" t="s">
        <v>698</v>
      </c>
    </row>
    <row r="148" spans="1:48" s="1" customFormat="1" ht="29.15" hidden="1" customHeight="1" outlineLevel="1" x14ac:dyDescent="0.35">
      <c r="A148" s="590">
        <v>41</v>
      </c>
      <c r="B148" s="612" t="s">
        <v>69</v>
      </c>
      <c r="C148" s="607" t="s">
        <v>700</v>
      </c>
      <c r="D148" s="63">
        <v>44224</v>
      </c>
      <c r="E148" s="432" t="s">
        <v>724</v>
      </c>
      <c r="F148" s="480" t="s">
        <v>700</v>
      </c>
      <c r="G148" s="95" t="s">
        <v>24</v>
      </c>
      <c r="H148" s="310" t="s">
        <v>129</v>
      </c>
      <c r="I148" s="334"/>
      <c r="J148" s="283"/>
      <c r="K148" s="294">
        <f t="shared" si="292"/>
        <v>0</v>
      </c>
      <c r="L148" s="183">
        <f t="shared" si="297"/>
        <v>0</v>
      </c>
      <c r="M148" s="94">
        <f t="shared" si="304"/>
        <v>0</v>
      </c>
      <c r="N148" s="94">
        <f t="shared" si="305"/>
        <v>0</v>
      </c>
      <c r="O148" s="94">
        <f t="shared" si="306"/>
        <v>0</v>
      </c>
      <c r="P148" s="94">
        <f t="shared" si="300"/>
        <v>0</v>
      </c>
      <c r="Q148" s="94">
        <f t="shared" si="307"/>
        <v>0</v>
      </c>
      <c r="R148" s="94">
        <f t="shared" si="301"/>
        <v>0</v>
      </c>
      <c r="S148" s="94">
        <f t="shared" si="308"/>
        <v>0</v>
      </c>
      <c r="T148" s="94">
        <f t="shared" si="302"/>
        <v>0</v>
      </c>
      <c r="U148" s="402">
        <f t="shared" si="303"/>
        <v>0</v>
      </c>
      <c r="V148" s="893">
        <v>0</v>
      </c>
      <c r="W148" s="387">
        <v>0</v>
      </c>
      <c r="X148" s="910">
        <v>0</v>
      </c>
      <c r="Y148" s="915">
        <v>-14.210679000000001</v>
      </c>
      <c r="Z148" s="367">
        <v>0</v>
      </c>
      <c r="AA148" s="468">
        <v>0</v>
      </c>
      <c r="AB148" s="207">
        <v>0</v>
      </c>
      <c r="AC148" s="207">
        <v>0</v>
      </c>
      <c r="AD148" s="367">
        <v>0</v>
      </c>
      <c r="AE148" s="468">
        <v>0</v>
      </c>
      <c r="AF148" s="468">
        <v>0</v>
      </c>
      <c r="AG148" s="468">
        <v>0</v>
      </c>
      <c r="AH148" s="468">
        <v>0</v>
      </c>
      <c r="AI148" s="387">
        <v>0</v>
      </c>
      <c r="AJ148" s="207">
        <v>0</v>
      </c>
      <c r="AK148" s="367">
        <v>0</v>
      </c>
      <c r="AL148" s="367">
        <v>0</v>
      </c>
      <c r="AM148" s="367">
        <v>0</v>
      </c>
      <c r="AN148" s="367">
        <v>0</v>
      </c>
      <c r="AO148" s="295">
        <v>0</v>
      </c>
      <c r="AP148" s="295">
        <v>0</v>
      </c>
      <c r="AQ148" s="295">
        <v>0</v>
      </c>
      <c r="AR148" s="387">
        <v>0</v>
      </c>
      <c r="AS148" s="896">
        <f t="shared" si="309"/>
        <v>0</v>
      </c>
      <c r="AT148" s="411" t="s">
        <v>699</v>
      </c>
    </row>
    <row r="149" spans="1:48" s="1" customFormat="1" ht="58" hidden="1" customHeight="1" outlineLevel="1" x14ac:dyDescent="0.35">
      <c r="A149" s="590">
        <v>42</v>
      </c>
      <c r="B149" s="612" t="s">
        <v>69</v>
      </c>
      <c r="C149" s="607" t="s">
        <v>1734</v>
      </c>
      <c r="D149" s="63">
        <v>44235</v>
      </c>
      <c r="E149" s="432" t="s">
        <v>725</v>
      </c>
      <c r="F149" s="480" t="s">
        <v>690</v>
      </c>
      <c r="G149" s="95" t="s">
        <v>24</v>
      </c>
      <c r="H149" s="310" t="s">
        <v>129</v>
      </c>
      <c r="I149" s="334"/>
      <c r="J149" s="283"/>
      <c r="K149" s="294">
        <f t="shared" si="292"/>
        <v>1.4487369999999999</v>
      </c>
      <c r="L149" s="183">
        <f t="shared" si="297"/>
        <v>0</v>
      </c>
      <c r="M149" s="94">
        <f t="shared" si="304"/>
        <v>0</v>
      </c>
      <c r="N149" s="94">
        <f t="shared" si="305"/>
        <v>1.4503299999999999</v>
      </c>
      <c r="O149" s="94">
        <f t="shared" si="306"/>
        <v>1.4503299999999999</v>
      </c>
      <c r="P149" s="94">
        <f t="shared" si="300"/>
        <v>1.4487369999999999</v>
      </c>
      <c r="Q149" s="94">
        <f t="shared" si="307"/>
        <v>0</v>
      </c>
      <c r="R149" s="94">
        <f t="shared" si="301"/>
        <v>0</v>
      </c>
      <c r="S149" s="94">
        <f t="shared" si="308"/>
        <v>0</v>
      </c>
      <c r="T149" s="94">
        <f t="shared" si="302"/>
        <v>0</v>
      </c>
      <c r="U149" s="402">
        <f t="shared" si="303"/>
        <v>0</v>
      </c>
      <c r="V149" s="893">
        <v>0</v>
      </c>
      <c r="W149" s="387">
        <v>0</v>
      </c>
      <c r="X149" s="910">
        <v>-1.4503299999999999</v>
      </c>
      <c r="Y149" s="915">
        <v>-1.4503299999999999</v>
      </c>
      <c r="Z149" s="367">
        <v>-1.4503299999999999</v>
      </c>
      <c r="AA149" s="468">
        <v>-1.4503299999999999</v>
      </c>
      <c r="AB149" s="207">
        <f>-1.448737</f>
        <v>-1.4487369999999999</v>
      </c>
      <c r="AC149" s="207">
        <v>0</v>
      </c>
      <c r="AD149" s="367">
        <v>0</v>
      </c>
      <c r="AE149" s="468">
        <v>0</v>
      </c>
      <c r="AF149" s="468">
        <v>0</v>
      </c>
      <c r="AG149" s="468">
        <v>0</v>
      </c>
      <c r="AH149" s="468">
        <v>0</v>
      </c>
      <c r="AI149" s="387">
        <v>0</v>
      </c>
      <c r="AJ149" s="207">
        <v>0</v>
      </c>
      <c r="AK149" s="367">
        <v>0</v>
      </c>
      <c r="AL149" s="367">
        <v>0</v>
      </c>
      <c r="AM149" s="367">
        <v>0</v>
      </c>
      <c r="AN149" s="367">
        <v>0</v>
      </c>
      <c r="AO149" s="295">
        <v>0</v>
      </c>
      <c r="AP149" s="295">
        <v>0</v>
      </c>
      <c r="AQ149" s="295">
        <v>0</v>
      </c>
      <c r="AR149" s="387">
        <v>0</v>
      </c>
      <c r="AS149" s="896">
        <f t="shared" si="309"/>
        <v>0</v>
      </c>
      <c r="AT149" s="411" t="s">
        <v>691</v>
      </c>
    </row>
    <row r="150" spans="1:48" s="1" customFormat="1" ht="29.15" hidden="1" customHeight="1" outlineLevel="1" x14ac:dyDescent="0.35">
      <c r="A150" s="590">
        <v>43</v>
      </c>
      <c r="B150" s="612" t="s">
        <v>69</v>
      </c>
      <c r="C150" s="607" t="s">
        <v>700</v>
      </c>
      <c r="D150" s="63">
        <v>44232</v>
      </c>
      <c r="E150" s="432" t="s">
        <v>726</v>
      </c>
      <c r="F150" s="480" t="s">
        <v>700</v>
      </c>
      <c r="G150" s="95" t="s">
        <v>24</v>
      </c>
      <c r="H150" s="310" t="s">
        <v>129</v>
      </c>
      <c r="I150" s="334"/>
      <c r="J150" s="283"/>
      <c r="K150" s="294">
        <f t="shared" si="292"/>
        <v>0</v>
      </c>
      <c r="L150" s="183">
        <f t="shared" si="297"/>
        <v>0</v>
      </c>
      <c r="M150" s="94">
        <f t="shared" si="304"/>
        <v>0</v>
      </c>
      <c r="N150" s="94">
        <f t="shared" si="305"/>
        <v>0</v>
      </c>
      <c r="O150" s="94">
        <f t="shared" si="306"/>
        <v>0</v>
      </c>
      <c r="P150" s="94">
        <f t="shared" si="300"/>
        <v>0</v>
      </c>
      <c r="Q150" s="94">
        <f t="shared" si="307"/>
        <v>0</v>
      </c>
      <c r="R150" s="94">
        <f t="shared" si="301"/>
        <v>0</v>
      </c>
      <c r="S150" s="94">
        <f t="shared" si="308"/>
        <v>0</v>
      </c>
      <c r="T150" s="94">
        <f t="shared" si="302"/>
        <v>0</v>
      </c>
      <c r="U150" s="402">
        <f t="shared" si="303"/>
        <v>0</v>
      </c>
      <c r="V150" s="893">
        <v>0</v>
      </c>
      <c r="W150" s="387">
        <v>0</v>
      </c>
      <c r="X150" s="910">
        <v>0</v>
      </c>
      <c r="Y150" s="915">
        <v>-4.1573349999999998</v>
      </c>
      <c r="Z150" s="367">
        <v>0</v>
      </c>
      <c r="AA150" s="468">
        <v>0</v>
      </c>
      <c r="AB150" s="207">
        <v>0</v>
      </c>
      <c r="AC150" s="207">
        <v>0</v>
      </c>
      <c r="AD150" s="367">
        <v>0</v>
      </c>
      <c r="AE150" s="468">
        <v>0</v>
      </c>
      <c r="AF150" s="468">
        <v>0</v>
      </c>
      <c r="AG150" s="468">
        <v>0</v>
      </c>
      <c r="AH150" s="468">
        <v>0</v>
      </c>
      <c r="AI150" s="387">
        <v>0</v>
      </c>
      <c r="AJ150" s="207">
        <v>0</v>
      </c>
      <c r="AK150" s="367">
        <v>0</v>
      </c>
      <c r="AL150" s="367">
        <v>0</v>
      </c>
      <c r="AM150" s="367">
        <v>0</v>
      </c>
      <c r="AN150" s="367">
        <v>0</v>
      </c>
      <c r="AO150" s="295">
        <v>0</v>
      </c>
      <c r="AP150" s="295">
        <v>0</v>
      </c>
      <c r="AQ150" s="295">
        <v>0</v>
      </c>
      <c r="AR150" s="387">
        <v>0</v>
      </c>
      <c r="AS150" s="896">
        <f t="shared" si="309"/>
        <v>0</v>
      </c>
      <c r="AT150" s="411" t="s">
        <v>701</v>
      </c>
    </row>
    <row r="151" spans="1:48" s="1" customFormat="1" ht="43.5" hidden="1" customHeight="1" outlineLevel="1" x14ac:dyDescent="0.35">
      <c r="A151" s="590">
        <v>44</v>
      </c>
      <c r="B151" s="612" t="s">
        <v>69</v>
      </c>
      <c r="C151" s="607" t="s">
        <v>1733</v>
      </c>
      <c r="D151" s="63">
        <v>44238</v>
      </c>
      <c r="E151" s="432" t="s">
        <v>727</v>
      </c>
      <c r="F151" s="480" t="s">
        <v>695</v>
      </c>
      <c r="G151" s="95" t="s">
        <v>24</v>
      </c>
      <c r="H151" s="310" t="s">
        <v>439</v>
      </c>
      <c r="I151" s="334"/>
      <c r="J151" s="283"/>
      <c r="K151" s="294">
        <f t="shared" si="292"/>
        <v>35.527549</v>
      </c>
      <c r="L151" s="183">
        <f t="shared" si="297"/>
        <v>0</v>
      </c>
      <c r="M151" s="94">
        <f t="shared" si="304"/>
        <v>0</v>
      </c>
      <c r="N151" s="94">
        <f t="shared" si="305"/>
        <v>40.254832</v>
      </c>
      <c r="O151" s="94">
        <f t="shared" si="306"/>
        <v>40.254832</v>
      </c>
      <c r="P151" s="94">
        <f t="shared" si="300"/>
        <v>35.527549</v>
      </c>
      <c r="Q151" s="94">
        <f t="shared" si="307"/>
        <v>0</v>
      </c>
      <c r="R151" s="94">
        <f t="shared" si="301"/>
        <v>0</v>
      </c>
      <c r="S151" s="94">
        <f t="shared" si="308"/>
        <v>0</v>
      </c>
      <c r="T151" s="94">
        <f t="shared" si="302"/>
        <v>0</v>
      </c>
      <c r="U151" s="402">
        <f t="shared" si="303"/>
        <v>0</v>
      </c>
      <c r="V151" s="893">
        <v>0</v>
      </c>
      <c r="W151" s="387">
        <v>0</v>
      </c>
      <c r="X151" s="910">
        <v>-40.254832</v>
      </c>
      <c r="Y151" s="915">
        <v>-40.254832</v>
      </c>
      <c r="Z151" s="367">
        <v>-40.254832</v>
      </c>
      <c r="AA151" s="468">
        <v>-40.254832</v>
      </c>
      <c r="AB151" s="207">
        <f>-22.236857-13.290692</f>
        <v>-35.527549</v>
      </c>
      <c r="AC151" s="207">
        <v>0</v>
      </c>
      <c r="AD151" s="367">
        <v>0</v>
      </c>
      <c r="AE151" s="468">
        <v>0</v>
      </c>
      <c r="AF151" s="468">
        <v>0</v>
      </c>
      <c r="AG151" s="468">
        <v>0</v>
      </c>
      <c r="AH151" s="468">
        <v>0</v>
      </c>
      <c r="AI151" s="387">
        <v>0</v>
      </c>
      <c r="AJ151" s="207">
        <v>0</v>
      </c>
      <c r="AK151" s="367">
        <v>0</v>
      </c>
      <c r="AL151" s="367">
        <v>0</v>
      </c>
      <c r="AM151" s="367">
        <v>0</v>
      </c>
      <c r="AN151" s="367">
        <v>0</v>
      </c>
      <c r="AO151" s="295">
        <v>0</v>
      </c>
      <c r="AP151" s="295">
        <v>0</v>
      </c>
      <c r="AQ151" s="295">
        <v>0</v>
      </c>
      <c r="AR151" s="387">
        <v>0</v>
      </c>
      <c r="AS151" s="896">
        <f t="shared" si="309"/>
        <v>0</v>
      </c>
      <c r="AT151" s="411" t="s">
        <v>693</v>
      </c>
      <c r="AV151" s="565"/>
    </row>
    <row r="152" spans="1:48" s="1" customFormat="1" ht="58" hidden="1" customHeight="1" outlineLevel="1" x14ac:dyDescent="0.35">
      <c r="A152" s="590">
        <v>45</v>
      </c>
      <c r="B152" s="612" t="s">
        <v>69</v>
      </c>
      <c r="C152" s="607" t="s">
        <v>1730</v>
      </c>
      <c r="D152" s="63">
        <v>44238</v>
      </c>
      <c r="E152" s="432" t="s">
        <v>728</v>
      </c>
      <c r="F152" s="480" t="s">
        <v>696</v>
      </c>
      <c r="G152" s="95" t="s">
        <v>24</v>
      </c>
      <c r="H152" s="310" t="s">
        <v>171</v>
      </c>
      <c r="I152" s="334"/>
      <c r="J152" s="283"/>
      <c r="K152" s="294">
        <f t="shared" si="292"/>
        <v>26.407684</v>
      </c>
      <c r="L152" s="183">
        <f t="shared" si="297"/>
        <v>0</v>
      </c>
      <c r="M152" s="94">
        <v>0</v>
      </c>
      <c r="N152" s="94">
        <v>26.407684</v>
      </c>
      <c r="O152" s="94">
        <v>26.407684</v>
      </c>
      <c r="P152" s="94">
        <v>26.407684</v>
      </c>
      <c r="Q152" s="94">
        <v>0</v>
      </c>
      <c r="R152" s="94">
        <v>0</v>
      </c>
      <c r="S152" s="94">
        <v>0</v>
      </c>
      <c r="T152" s="94">
        <v>0</v>
      </c>
      <c r="U152" s="402">
        <v>0</v>
      </c>
      <c r="V152" s="893">
        <v>0</v>
      </c>
      <c r="W152" s="387">
        <v>0</v>
      </c>
      <c r="X152" s="910">
        <v>-6.7163779999999997</v>
      </c>
      <c r="Y152" s="915">
        <v>-26.407684</v>
      </c>
      <c r="Z152" s="367">
        <v>-6.7163779999999997</v>
      </c>
      <c r="AA152" s="468">
        <v>-6.7163779999999997</v>
      </c>
      <c r="AB152" s="207">
        <f>-5.30637</f>
        <v>-5.3063700000000003</v>
      </c>
      <c r="AC152" s="207">
        <v>-7.0604329999999997</v>
      </c>
      <c r="AD152" s="367">
        <v>-19.691306000000001</v>
      </c>
      <c r="AE152" s="468">
        <v>-19.691306000000001</v>
      </c>
      <c r="AF152" s="468">
        <v>-20.866745000000002</v>
      </c>
      <c r="AG152" s="468">
        <v>-7.0604329999999997</v>
      </c>
      <c r="AH152" s="468">
        <v>-7.0604329999999997</v>
      </c>
      <c r="AI152" s="939">
        <v>-3.8225639999999999</v>
      </c>
      <c r="AJ152" s="207">
        <v>-17.265187999999998</v>
      </c>
      <c r="AK152" s="367">
        <v>-14.04088</v>
      </c>
      <c r="AL152" s="367">
        <v>-14.04088</v>
      </c>
      <c r="AM152" s="367">
        <v>-17.265187999999998</v>
      </c>
      <c r="AN152" s="367">
        <v>-17.265187999999998</v>
      </c>
      <c r="AO152" s="295">
        <v>0</v>
      </c>
      <c r="AP152" s="295">
        <v>0</v>
      </c>
      <c r="AQ152" s="295">
        <v>0</v>
      </c>
      <c r="AR152" s="939">
        <f>-1.192811-4.340535-11.244287</f>
        <v>-16.777633000000002</v>
      </c>
      <c r="AS152" s="896">
        <v>0</v>
      </c>
      <c r="AT152" s="411" t="s">
        <v>694</v>
      </c>
    </row>
    <row r="153" spans="1:48" s="1" customFormat="1" ht="29.15" hidden="1" customHeight="1" outlineLevel="1" x14ac:dyDescent="0.35">
      <c r="A153" s="590">
        <v>46</v>
      </c>
      <c r="B153" s="612" t="s">
        <v>69</v>
      </c>
      <c r="C153" s="607" t="s">
        <v>700</v>
      </c>
      <c r="D153" s="63">
        <v>44242</v>
      </c>
      <c r="E153" s="432" t="s">
        <v>1110</v>
      </c>
      <c r="F153" s="480" t="s">
        <v>1108</v>
      </c>
      <c r="G153" s="95" t="s">
        <v>24</v>
      </c>
      <c r="H153" s="310" t="s">
        <v>129</v>
      </c>
      <c r="I153" s="334"/>
      <c r="J153" s="283"/>
      <c r="K153" s="294">
        <f t="shared" si="292"/>
        <v>0</v>
      </c>
      <c r="L153" s="183">
        <f t="shared" si="297"/>
        <v>0</v>
      </c>
      <c r="M153" s="94">
        <f t="shared" si="304"/>
        <v>0</v>
      </c>
      <c r="N153" s="94">
        <f t="shared" ref="N153:N164" si="310">-X153</f>
        <v>0</v>
      </c>
      <c r="O153" s="94">
        <f t="shared" ref="O153:O185" si="311">-X153</f>
        <v>0</v>
      </c>
      <c r="P153" s="94">
        <f t="shared" si="300"/>
        <v>0</v>
      </c>
      <c r="Q153" s="94">
        <f>-AC153</f>
        <v>0</v>
      </c>
      <c r="R153" s="94">
        <f t="shared" si="301"/>
        <v>0</v>
      </c>
      <c r="S153" s="94">
        <f>-AI153</f>
        <v>0</v>
      </c>
      <c r="T153" s="94">
        <f t="shared" si="302"/>
        <v>0</v>
      </c>
      <c r="U153" s="402">
        <f t="shared" si="303"/>
        <v>0</v>
      </c>
      <c r="V153" s="893">
        <v>0</v>
      </c>
      <c r="W153" s="387">
        <v>0</v>
      </c>
      <c r="X153" s="910">
        <v>0</v>
      </c>
      <c r="Y153" s="915">
        <v>-0.294875</v>
      </c>
      <c r="Z153" s="367">
        <v>0</v>
      </c>
      <c r="AA153" s="468">
        <v>0</v>
      </c>
      <c r="AB153" s="207">
        <v>0</v>
      </c>
      <c r="AC153" s="207">
        <v>0</v>
      </c>
      <c r="AD153" s="367">
        <v>0</v>
      </c>
      <c r="AE153" s="468">
        <v>0</v>
      </c>
      <c r="AF153" s="468">
        <v>0</v>
      </c>
      <c r="AG153" s="468">
        <v>0</v>
      </c>
      <c r="AH153" s="468">
        <v>0</v>
      </c>
      <c r="AI153" s="387">
        <v>0</v>
      </c>
      <c r="AJ153" s="207">
        <v>0</v>
      </c>
      <c r="AK153" s="367">
        <v>0</v>
      </c>
      <c r="AL153" s="367">
        <v>0</v>
      </c>
      <c r="AM153" s="367">
        <v>0</v>
      </c>
      <c r="AN153" s="367">
        <v>0</v>
      </c>
      <c r="AO153" s="295">
        <v>0</v>
      </c>
      <c r="AP153" s="295">
        <v>0</v>
      </c>
      <c r="AQ153" s="295">
        <v>0</v>
      </c>
      <c r="AR153" s="387">
        <v>0</v>
      </c>
      <c r="AS153" s="896">
        <f t="shared" si="309"/>
        <v>0</v>
      </c>
      <c r="AT153" s="411" t="s">
        <v>1109</v>
      </c>
    </row>
    <row r="154" spans="1:48" s="1" customFormat="1" ht="58" hidden="1" customHeight="1" outlineLevel="1" x14ac:dyDescent="0.35">
      <c r="A154" s="590">
        <v>47</v>
      </c>
      <c r="B154" s="612" t="s">
        <v>69</v>
      </c>
      <c r="C154" s="607" t="s">
        <v>1734</v>
      </c>
      <c r="D154" s="63">
        <v>44245</v>
      </c>
      <c r="E154" s="432" t="s">
        <v>1095</v>
      </c>
      <c r="F154" s="480" t="s">
        <v>1094</v>
      </c>
      <c r="G154" s="95" t="s">
        <v>24</v>
      </c>
      <c r="H154" s="310" t="s">
        <v>129</v>
      </c>
      <c r="I154" s="334"/>
      <c r="J154" s="283"/>
      <c r="K154" s="294">
        <f t="shared" si="292"/>
        <v>2.0327999999999999E-2</v>
      </c>
      <c r="L154" s="183">
        <f t="shared" si="297"/>
        <v>0</v>
      </c>
      <c r="M154" s="94">
        <f t="shared" si="304"/>
        <v>0</v>
      </c>
      <c r="N154" s="94">
        <f t="shared" si="310"/>
        <v>4.8399999999999999E-2</v>
      </c>
      <c r="O154" s="94">
        <f t="shared" si="311"/>
        <v>4.8399999999999999E-2</v>
      </c>
      <c r="P154" s="94">
        <f t="shared" si="300"/>
        <v>2.0327999999999999E-2</v>
      </c>
      <c r="Q154" s="94">
        <f>-AC154</f>
        <v>0</v>
      </c>
      <c r="R154" s="94">
        <f t="shared" si="301"/>
        <v>0</v>
      </c>
      <c r="S154" s="94">
        <f>-AI154</f>
        <v>0</v>
      </c>
      <c r="T154" s="94">
        <f t="shared" si="302"/>
        <v>0</v>
      </c>
      <c r="U154" s="402">
        <f t="shared" si="303"/>
        <v>0</v>
      </c>
      <c r="V154" s="893">
        <v>0</v>
      </c>
      <c r="W154" s="387">
        <v>0</v>
      </c>
      <c r="X154" s="910">
        <v>-4.8399999999999999E-2</v>
      </c>
      <c r="Y154" s="915">
        <v>-4.8399999999999999E-2</v>
      </c>
      <c r="Z154" s="367">
        <v>-4.8399999999999999E-2</v>
      </c>
      <c r="AA154" s="468">
        <v>-4.8399999999999999E-2</v>
      </c>
      <c r="AB154" s="207">
        <f>-0.020328</f>
        <v>-2.0327999999999999E-2</v>
      </c>
      <c r="AC154" s="207">
        <v>0</v>
      </c>
      <c r="AD154" s="367">
        <v>0</v>
      </c>
      <c r="AE154" s="468">
        <v>0</v>
      </c>
      <c r="AF154" s="468">
        <v>0</v>
      </c>
      <c r="AG154" s="468">
        <v>0</v>
      </c>
      <c r="AH154" s="468">
        <v>0</v>
      </c>
      <c r="AI154" s="387">
        <v>0</v>
      </c>
      <c r="AJ154" s="207">
        <v>0</v>
      </c>
      <c r="AK154" s="367">
        <v>0</v>
      </c>
      <c r="AL154" s="367">
        <v>0</v>
      </c>
      <c r="AM154" s="367">
        <v>0</v>
      </c>
      <c r="AN154" s="367">
        <v>0</v>
      </c>
      <c r="AO154" s="295">
        <v>0</v>
      </c>
      <c r="AP154" s="295">
        <v>0</v>
      </c>
      <c r="AQ154" s="295">
        <v>0</v>
      </c>
      <c r="AR154" s="387">
        <v>0</v>
      </c>
      <c r="AS154" s="896">
        <f t="shared" si="309"/>
        <v>0</v>
      </c>
      <c r="AT154" s="411" t="s">
        <v>1096</v>
      </c>
    </row>
    <row r="155" spans="1:48" s="1" customFormat="1" ht="87" hidden="1" customHeight="1" outlineLevel="1" x14ac:dyDescent="0.35">
      <c r="A155" s="590">
        <v>48</v>
      </c>
      <c r="B155" s="612" t="s">
        <v>69</v>
      </c>
      <c r="C155" s="607" t="s">
        <v>1735</v>
      </c>
      <c r="D155" s="63">
        <v>44245</v>
      </c>
      <c r="E155" s="432" t="s">
        <v>1103</v>
      </c>
      <c r="F155" s="480" t="s">
        <v>1102</v>
      </c>
      <c r="G155" s="95" t="s">
        <v>24</v>
      </c>
      <c r="H155" s="310" t="s">
        <v>127</v>
      </c>
      <c r="I155" s="334"/>
      <c r="J155" s="283"/>
      <c r="K155" s="294">
        <f t="shared" si="292"/>
        <v>83.040419999999997</v>
      </c>
      <c r="L155" s="183">
        <f t="shared" si="297"/>
        <v>0</v>
      </c>
      <c r="M155" s="94">
        <f t="shared" si="304"/>
        <v>0</v>
      </c>
      <c r="N155" s="94">
        <f t="shared" si="310"/>
        <v>83.040419999999997</v>
      </c>
      <c r="O155" s="94">
        <f t="shared" si="311"/>
        <v>83.040419999999997</v>
      </c>
      <c r="P155" s="94">
        <f t="shared" si="300"/>
        <v>83.040419999999997</v>
      </c>
      <c r="Q155" s="94">
        <f>-AC155</f>
        <v>0</v>
      </c>
      <c r="R155" s="94">
        <f t="shared" si="301"/>
        <v>0</v>
      </c>
      <c r="S155" s="94">
        <f>-AI155</f>
        <v>0</v>
      </c>
      <c r="T155" s="94">
        <f t="shared" si="302"/>
        <v>0</v>
      </c>
      <c r="U155" s="402">
        <f t="shared" si="303"/>
        <v>0</v>
      </c>
      <c r="V155" s="893">
        <v>0</v>
      </c>
      <c r="W155" s="387">
        <v>0</v>
      </c>
      <c r="X155" s="910">
        <v>-83.040419999999997</v>
      </c>
      <c r="Y155" s="915">
        <v>-83.040419999999997</v>
      </c>
      <c r="Z155" s="367">
        <v>-83.040419999999997</v>
      </c>
      <c r="AA155" s="468">
        <v>-83.040419999999997</v>
      </c>
      <c r="AB155" s="207">
        <v>-83.040419999999997</v>
      </c>
      <c r="AC155" s="207">
        <v>0</v>
      </c>
      <c r="AD155" s="367">
        <v>0</v>
      </c>
      <c r="AE155" s="468">
        <v>0</v>
      </c>
      <c r="AF155" s="468">
        <v>0</v>
      </c>
      <c r="AG155" s="468">
        <v>0</v>
      </c>
      <c r="AH155" s="468">
        <v>0</v>
      </c>
      <c r="AI155" s="387">
        <v>0</v>
      </c>
      <c r="AJ155" s="207">
        <v>0</v>
      </c>
      <c r="AK155" s="367">
        <v>0</v>
      </c>
      <c r="AL155" s="367">
        <v>0</v>
      </c>
      <c r="AM155" s="367">
        <v>0</v>
      </c>
      <c r="AN155" s="367">
        <v>0</v>
      </c>
      <c r="AO155" s="295">
        <v>0</v>
      </c>
      <c r="AP155" s="295">
        <v>0</v>
      </c>
      <c r="AQ155" s="295">
        <v>0</v>
      </c>
      <c r="AR155" s="387">
        <v>0</v>
      </c>
      <c r="AS155" s="896">
        <f t="shared" si="309"/>
        <v>0</v>
      </c>
      <c r="AT155" s="411" t="s">
        <v>1104</v>
      </c>
    </row>
    <row r="156" spans="1:48" s="1" customFormat="1" ht="58" hidden="1" customHeight="1" outlineLevel="1" x14ac:dyDescent="0.35">
      <c r="A156" s="590">
        <v>48</v>
      </c>
      <c r="B156" s="612" t="s">
        <v>69</v>
      </c>
      <c r="C156" s="607" t="s">
        <v>1735</v>
      </c>
      <c r="D156" s="63">
        <v>44551</v>
      </c>
      <c r="E156" s="432" t="s">
        <v>1932</v>
      </c>
      <c r="F156" s="480" t="s">
        <v>1102</v>
      </c>
      <c r="G156" s="95" t="s">
        <v>24</v>
      </c>
      <c r="H156" s="310" t="s">
        <v>127</v>
      </c>
      <c r="I156" s="334"/>
      <c r="J156" s="283"/>
      <c r="K156" s="294">
        <f t="shared" si="292"/>
        <v>18.280363000000001</v>
      </c>
      <c r="L156" s="183">
        <f t="shared" ref="L156" si="312">-V156</f>
        <v>0</v>
      </c>
      <c r="M156" s="94">
        <f t="shared" ref="M156" si="313">-W156</f>
        <v>0</v>
      </c>
      <c r="N156" s="94">
        <f t="shared" ref="N156" si="314">-X156</f>
        <v>20.920743999999999</v>
      </c>
      <c r="O156" s="94">
        <f t="shared" si="311"/>
        <v>20.920743999999999</v>
      </c>
      <c r="P156" s="94">
        <f t="shared" si="300"/>
        <v>18.280363000000001</v>
      </c>
      <c r="Q156" s="94">
        <f>-AC156</f>
        <v>0</v>
      </c>
      <c r="R156" s="94">
        <f t="shared" ref="R156" si="315">-AC156</f>
        <v>0</v>
      </c>
      <c r="S156" s="94">
        <f>-AI156</f>
        <v>0</v>
      </c>
      <c r="T156" s="94">
        <f t="shared" ref="T156" si="316">-AJ156</f>
        <v>0</v>
      </c>
      <c r="U156" s="402">
        <f t="shared" ref="U156" si="317">-AQ156</f>
        <v>0</v>
      </c>
      <c r="V156" s="893">
        <v>0</v>
      </c>
      <c r="W156" s="387">
        <v>0</v>
      </c>
      <c r="X156" s="910">
        <v>-20.920743999999999</v>
      </c>
      <c r="Y156" s="915">
        <v>-83.040419999999997</v>
      </c>
      <c r="Z156" s="367">
        <v>-83.040419999999997</v>
      </c>
      <c r="AA156" s="468">
        <v>0</v>
      </c>
      <c r="AB156" s="207">
        <v>-18.280363000000001</v>
      </c>
      <c r="AC156" s="207">
        <v>0</v>
      </c>
      <c r="AD156" s="367">
        <v>0</v>
      </c>
      <c r="AE156" s="468">
        <v>0</v>
      </c>
      <c r="AF156" s="468">
        <v>0</v>
      </c>
      <c r="AG156" s="468">
        <v>0</v>
      </c>
      <c r="AH156" s="468">
        <v>0</v>
      </c>
      <c r="AI156" s="387">
        <v>0</v>
      </c>
      <c r="AJ156" s="207">
        <v>0</v>
      </c>
      <c r="AK156" s="367">
        <v>0</v>
      </c>
      <c r="AL156" s="367">
        <v>0</v>
      </c>
      <c r="AM156" s="367">
        <v>0</v>
      </c>
      <c r="AN156" s="367">
        <v>0</v>
      </c>
      <c r="AO156" s="295">
        <v>0</v>
      </c>
      <c r="AP156" s="295">
        <v>0</v>
      </c>
      <c r="AQ156" s="295">
        <v>0</v>
      </c>
      <c r="AR156" s="387">
        <v>0</v>
      </c>
      <c r="AS156" s="896">
        <f t="shared" ref="AS156" si="318">-AR156</f>
        <v>0</v>
      </c>
      <c r="AT156" s="411" t="s">
        <v>1933</v>
      </c>
    </row>
    <row r="157" spans="1:48" s="1" customFormat="1" ht="97.5" hidden="1" customHeight="1" outlineLevel="1" x14ac:dyDescent="0.35">
      <c r="A157" s="590">
        <v>49</v>
      </c>
      <c r="B157" s="612" t="s">
        <v>69</v>
      </c>
      <c r="C157" s="607" t="s">
        <v>1730</v>
      </c>
      <c r="D157" s="63">
        <v>44245</v>
      </c>
      <c r="E157" s="432" t="s">
        <v>1105</v>
      </c>
      <c r="F157" s="480" t="s">
        <v>1106</v>
      </c>
      <c r="G157" s="95" t="s">
        <v>24</v>
      </c>
      <c r="H157" s="310" t="s">
        <v>171</v>
      </c>
      <c r="I157" s="334"/>
      <c r="J157" s="283"/>
      <c r="K157" s="294">
        <f t="shared" si="292"/>
        <v>0.19208800000000001</v>
      </c>
      <c r="L157" s="183">
        <f t="shared" si="297"/>
        <v>0</v>
      </c>
      <c r="M157" s="94">
        <f t="shared" si="304"/>
        <v>0</v>
      </c>
      <c r="N157" s="94">
        <f t="shared" si="310"/>
        <v>0.19208800000000001</v>
      </c>
      <c r="O157" s="94">
        <f t="shared" si="311"/>
        <v>0.19208800000000001</v>
      </c>
      <c r="P157" s="94">
        <v>0.19208800000000001</v>
      </c>
      <c r="Q157" s="94">
        <v>0</v>
      </c>
      <c r="R157" s="94">
        <v>0</v>
      </c>
      <c r="S157" s="94">
        <v>0</v>
      </c>
      <c r="T157" s="94">
        <v>0</v>
      </c>
      <c r="U157" s="402">
        <v>0</v>
      </c>
      <c r="V157" s="893">
        <v>0</v>
      </c>
      <c r="W157" s="387">
        <v>0</v>
      </c>
      <c r="X157" s="910">
        <v>-0.19208800000000001</v>
      </c>
      <c r="Y157" s="915">
        <v>-0.19208800000000001</v>
      </c>
      <c r="Z157" s="367">
        <v>-0.19208800000000001</v>
      </c>
      <c r="AA157" s="468">
        <v>-0.19208800000000001</v>
      </c>
      <c r="AB157" s="207">
        <f>-0.125374</f>
        <v>-0.12537400000000001</v>
      </c>
      <c r="AC157" s="207">
        <v>-5.4437899999999997E-2</v>
      </c>
      <c r="AD157" s="367">
        <v>0</v>
      </c>
      <c r="AE157" s="468">
        <v>0</v>
      </c>
      <c r="AF157" s="468">
        <v>-6.6713999999999996E-2</v>
      </c>
      <c r="AG157" s="468">
        <v>-5.4437899999999997E-2</v>
      </c>
      <c r="AH157" s="468">
        <v>-5.4437899999999997E-2</v>
      </c>
      <c r="AI157" s="939">
        <v>-5.4437899999999997E-2</v>
      </c>
      <c r="AJ157" s="207">
        <v>-1.2275950000000001E-2</v>
      </c>
      <c r="AK157" s="367">
        <v>-1.2275950000000001E-2</v>
      </c>
      <c r="AL157" s="367">
        <v>-1.2275950000000001E-2</v>
      </c>
      <c r="AM157" s="367">
        <v>-1.2275950000000001E-2</v>
      </c>
      <c r="AN157" s="367">
        <v>-1.2275950000000001E-2</v>
      </c>
      <c r="AO157" s="295">
        <v>0</v>
      </c>
      <c r="AP157" s="295">
        <v>0</v>
      </c>
      <c r="AQ157" s="295">
        <v>0</v>
      </c>
      <c r="AR157" s="939">
        <v>0</v>
      </c>
      <c r="AS157" s="896">
        <v>0</v>
      </c>
      <c r="AT157" s="411" t="s">
        <v>1107</v>
      </c>
    </row>
    <row r="158" spans="1:48" s="1" customFormat="1" ht="87" hidden="1" customHeight="1" outlineLevel="1" x14ac:dyDescent="0.35">
      <c r="A158" s="590">
        <v>50</v>
      </c>
      <c r="B158" s="612" t="s">
        <v>69</v>
      </c>
      <c r="C158" s="607" t="s">
        <v>700</v>
      </c>
      <c r="D158" s="63">
        <v>44251</v>
      </c>
      <c r="E158" s="432" t="s">
        <v>1149</v>
      </c>
      <c r="F158" s="480" t="s">
        <v>700</v>
      </c>
      <c r="G158" s="95" t="s">
        <v>24</v>
      </c>
      <c r="H158" s="310" t="s">
        <v>129</v>
      </c>
      <c r="I158" s="334"/>
      <c r="J158" s="283"/>
      <c r="K158" s="294">
        <f t="shared" si="292"/>
        <v>3.0278759999999996</v>
      </c>
      <c r="L158" s="183">
        <f t="shared" si="297"/>
        <v>0</v>
      </c>
      <c r="M158" s="94">
        <f t="shared" si="304"/>
        <v>0</v>
      </c>
      <c r="N158" s="94">
        <f t="shared" si="310"/>
        <v>3.0359440000000002</v>
      </c>
      <c r="O158" s="94">
        <f t="shared" si="311"/>
        <v>3.0359440000000002</v>
      </c>
      <c r="P158" s="94">
        <f t="shared" si="300"/>
        <v>3.0278759999999996</v>
      </c>
      <c r="Q158" s="94">
        <f t="shared" ref="Q158:Q179" si="319">-AC158</f>
        <v>0</v>
      </c>
      <c r="R158" s="94">
        <f t="shared" si="301"/>
        <v>0</v>
      </c>
      <c r="S158" s="94">
        <f t="shared" ref="S158:S197" si="320">-AI158</f>
        <v>0</v>
      </c>
      <c r="T158" s="94">
        <f t="shared" si="302"/>
        <v>0</v>
      </c>
      <c r="U158" s="402">
        <f t="shared" si="303"/>
        <v>0</v>
      </c>
      <c r="V158" s="893">
        <v>0</v>
      </c>
      <c r="W158" s="387">
        <v>0</v>
      </c>
      <c r="X158" s="910">
        <v>-3.0359440000000002</v>
      </c>
      <c r="Y158" s="915">
        <v>-3.0359440000000002</v>
      </c>
      <c r="Z158" s="367">
        <v>-3.0359440000000002</v>
      </c>
      <c r="AA158" s="468">
        <v>-3.0359440000000002</v>
      </c>
      <c r="AB158" s="207">
        <f>-2.662219-0.3627-0.002957</f>
        <v>-3.0278759999999996</v>
      </c>
      <c r="AC158" s="207">
        <v>0</v>
      </c>
      <c r="AD158" s="367">
        <v>0</v>
      </c>
      <c r="AE158" s="468">
        <v>0</v>
      </c>
      <c r="AF158" s="468">
        <v>0</v>
      </c>
      <c r="AG158" s="468">
        <v>0</v>
      </c>
      <c r="AH158" s="468">
        <v>0</v>
      </c>
      <c r="AI158" s="387">
        <v>0</v>
      </c>
      <c r="AJ158" s="207">
        <v>0</v>
      </c>
      <c r="AK158" s="367">
        <v>0</v>
      </c>
      <c r="AL158" s="367">
        <v>0</v>
      </c>
      <c r="AM158" s="367">
        <v>0</v>
      </c>
      <c r="AN158" s="367">
        <v>0</v>
      </c>
      <c r="AO158" s="295">
        <v>0</v>
      </c>
      <c r="AP158" s="295">
        <v>0</v>
      </c>
      <c r="AQ158" s="295">
        <v>0</v>
      </c>
      <c r="AR158" s="387">
        <v>0</v>
      </c>
      <c r="AS158" s="896">
        <f t="shared" si="309"/>
        <v>0</v>
      </c>
      <c r="AT158" s="411" t="s">
        <v>1150</v>
      </c>
    </row>
    <row r="159" spans="1:48" s="1" customFormat="1" ht="159.65" hidden="1" customHeight="1" outlineLevel="1" x14ac:dyDescent="0.35">
      <c r="A159" s="590">
        <v>51</v>
      </c>
      <c r="B159" s="612" t="s">
        <v>69</v>
      </c>
      <c r="C159" s="607" t="s">
        <v>1733</v>
      </c>
      <c r="D159" s="63">
        <v>44273</v>
      </c>
      <c r="E159" s="432" t="s">
        <v>1327</v>
      </c>
      <c r="F159" s="480" t="s">
        <v>408</v>
      </c>
      <c r="G159" s="95" t="s">
        <v>24</v>
      </c>
      <c r="H159" s="310" t="s">
        <v>129</v>
      </c>
      <c r="I159" s="334"/>
      <c r="J159" s="283"/>
      <c r="K159" s="294">
        <f t="shared" si="292"/>
        <v>9.2483839999999997</v>
      </c>
      <c r="L159" s="183">
        <f t="shared" si="297"/>
        <v>0</v>
      </c>
      <c r="M159" s="94">
        <f t="shared" si="304"/>
        <v>0</v>
      </c>
      <c r="N159" s="94">
        <f t="shared" si="310"/>
        <v>9.2483839999999997</v>
      </c>
      <c r="O159" s="94">
        <f t="shared" si="311"/>
        <v>9.2483839999999997</v>
      </c>
      <c r="P159" s="94">
        <f t="shared" si="300"/>
        <v>9.2483839999999997</v>
      </c>
      <c r="Q159" s="94">
        <f t="shared" si="319"/>
        <v>0</v>
      </c>
      <c r="R159" s="94">
        <f t="shared" si="301"/>
        <v>0</v>
      </c>
      <c r="S159" s="94">
        <f t="shared" si="320"/>
        <v>0</v>
      </c>
      <c r="T159" s="94">
        <f t="shared" si="302"/>
        <v>0</v>
      </c>
      <c r="U159" s="402">
        <f t="shared" si="303"/>
        <v>0</v>
      </c>
      <c r="V159" s="893">
        <v>0</v>
      </c>
      <c r="W159" s="387">
        <v>0</v>
      </c>
      <c r="X159" s="910">
        <v>-9.2483839999999997</v>
      </c>
      <c r="Y159" s="915">
        <v>0</v>
      </c>
      <c r="Z159" s="367">
        <v>-9.2483839999999997</v>
      </c>
      <c r="AA159" s="468">
        <v>-9.2483839999999997</v>
      </c>
      <c r="AB159" s="207">
        <f>-9.066388-0.181996</f>
        <v>-9.2483839999999997</v>
      </c>
      <c r="AC159" s="207">
        <v>0</v>
      </c>
      <c r="AD159" s="367">
        <v>0</v>
      </c>
      <c r="AE159" s="468">
        <v>0</v>
      </c>
      <c r="AF159" s="468">
        <v>0</v>
      </c>
      <c r="AG159" s="468">
        <v>0</v>
      </c>
      <c r="AH159" s="468">
        <v>0</v>
      </c>
      <c r="AI159" s="387">
        <v>0</v>
      </c>
      <c r="AJ159" s="207">
        <v>0</v>
      </c>
      <c r="AK159" s="367">
        <v>0</v>
      </c>
      <c r="AL159" s="367">
        <v>0</v>
      </c>
      <c r="AM159" s="367">
        <v>0</v>
      </c>
      <c r="AN159" s="367">
        <v>0</v>
      </c>
      <c r="AO159" s="295">
        <v>0</v>
      </c>
      <c r="AP159" s="295">
        <v>0</v>
      </c>
      <c r="AQ159" s="295">
        <v>0</v>
      </c>
      <c r="AR159" s="387">
        <v>0</v>
      </c>
      <c r="AS159" s="896">
        <f t="shared" si="309"/>
        <v>0</v>
      </c>
      <c r="AT159" s="411" t="s">
        <v>1212</v>
      </c>
      <c r="AV159" s="566"/>
    </row>
    <row r="160" spans="1:48" s="1" customFormat="1" ht="58" hidden="1" customHeight="1" outlineLevel="1" x14ac:dyDescent="0.35">
      <c r="A160" s="590">
        <v>52</v>
      </c>
      <c r="B160" s="612" t="s">
        <v>69</v>
      </c>
      <c r="C160" s="607" t="s">
        <v>1734</v>
      </c>
      <c r="D160" s="63" t="s">
        <v>1792</v>
      </c>
      <c r="E160" s="432" t="s">
        <v>1328</v>
      </c>
      <c r="F160" s="480" t="s">
        <v>1220</v>
      </c>
      <c r="G160" s="95" t="s">
        <v>24</v>
      </c>
      <c r="H160" s="310" t="s">
        <v>129</v>
      </c>
      <c r="I160" s="334"/>
      <c r="J160" s="283"/>
      <c r="K160" s="294">
        <f t="shared" ref="K160:K192" si="321">M160+P160+U160+R160+T160</f>
        <v>1.2810680000000001</v>
      </c>
      <c r="L160" s="183">
        <f t="shared" si="297"/>
        <v>0</v>
      </c>
      <c r="M160" s="94">
        <f t="shared" si="304"/>
        <v>0</v>
      </c>
      <c r="N160" s="94">
        <f t="shared" si="310"/>
        <v>1.305007</v>
      </c>
      <c r="O160" s="94">
        <f t="shared" si="311"/>
        <v>1.305007</v>
      </c>
      <c r="P160" s="94">
        <f t="shared" si="300"/>
        <v>1.2810680000000001</v>
      </c>
      <c r="Q160" s="94">
        <f t="shared" si="319"/>
        <v>0</v>
      </c>
      <c r="R160" s="94">
        <f t="shared" si="301"/>
        <v>0</v>
      </c>
      <c r="S160" s="94">
        <f t="shared" si="320"/>
        <v>0</v>
      </c>
      <c r="T160" s="94">
        <f t="shared" si="302"/>
        <v>0</v>
      </c>
      <c r="U160" s="402">
        <f t="shared" si="303"/>
        <v>0</v>
      </c>
      <c r="V160" s="893">
        <v>0</v>
      </c>
      <c r="W160" s="387">
        <v>0</v>
      </c>
      <c r="X160" s="918">
        <f>-1.203053-0.101954</f>
        <v>-1.305007</v>
      </c>
      <c r="Y160" s="915">
        <v>0</v>
      </c>
      <c r="Z160" s="367">
        <v>-1.2030529999999999</v>
      </c>
      <c r="AA160" s="468">
        <v>-1.2030529999999999</v>
      </c>
      <c r="AB160" s="207">
        <f>-1.281068</f>
        <v>-1.2810680000000001</v>
      </c>
      <c r="AC160" s="207">
        <v>0</v>
      </c>
      <c r="AD160" s="367">
        <v>0</v>
      </c>
      <c r="AE160" s="468">
        <v>0</v>
      </c>
      <c r="AF160" s="468">
        <v>0</v>
      </c>
      <c r="AG160" s="468">
        <v>0</v>
      </c>
      <c r="AH160" s="468">
        <v>0</v>
      </c>
      <c r="AI160" s="387">
        <v>0</v>
      </c>
      <c r="AJ160" s="207">
        <v>0</v>
      </c>
      <c r="AK160" s="367">
        <v>0</v>
      </c>
      <c r="AL160" s="367">
        <v>0</v>
      </c>
      <c r="AM160" s="367">
        <v>0</v>
      </c>
      <c r="AN160" s="367">
        <v>0</v>
      </c>
      <c r="AO160" s="295">
        <v>0</v>
      </c>
      <c r="AP160" s="295">
        <v>0</v>
      </c>
      <c r="AQ160" s="295">
        <v>0</v>
      </c>
      <c r="AR160" s="387">
        <v>0</v>
      </c>
      <c r="AS160" s="896">
        <f t="shared" si="309"/>
        <v>0</v>
      </c>
      <c r="AT160" s="411" t="s">
        <v>1793</v>
      </c>
    </row>
    <row r="161" spans="1:48" s="1" customFormat="1" ht="43.5" hidden="1" customHeight="1" outlineLevel="1" x14ac:dyDescent="0.35">
      <c r="A161" s="590">
        <v>53</v>
      </c>
      <c r="B161" s="612" t="s">
        <v>69</v>
      </c>
      <c r="C161" s="607" t="s">
        <v>1734</v>
      </c>
      <c r="D161" s="63" t="s">
        <v>1790</v>
      </c>
      <c r="E161" s="1130" t="s">
        <v>1347</v>
      </c>
      <c r="F161" s="480" t="s">
        <v>1285</v>
      </c>
      <c r="G161" s="95" t="s">
        <v>24</v>
      </c>
      <c r="H161" s="310" t="s">
        <v>129</v>
      </c>
      <c r="I161" s="334"/>
      <c r="J161" s="283"/>
      <c r="K161" s="294">
        <f t="shared" si="321"/>
        <v>1.1521220000000001</v>
      </c>
      <c r="L161" s="183">
        <f t="shared" si="297"/>
        <v>0</v>
      </c>
      <c r="M161" s="94">
        <f t="shared" si="304"/>
        <v>0</v>
      </c>
      <c r="N161" s="94">
        <f>-X161</f>
        <v>1.2119219999999999</v>
      </c>
      <c r="O161" s="94">
        <f t="shared" si="311"/>
        <v>1.2119219999999999</v>
      </c>
      <c r="P161" s="94">
        <f t="shared" si="300"/>
        <v>1.1521220000000001</v>
      </c>
      <c r="Q161" s="94">
        <f t="shared" si="319"/>
        <v>0</v>
      </c>
      <c r="R161" s="94">
        <f t="shared" si="301"/>
        <v>0</v>
      </c>
      <c r="S161" s="94">
        <f t="shared" si="320"/>
        <v>0</v>
      </c>
      <c r="T161" s="94">
        <f t="shared" si="302"/>
        <v>0</v>
      </c>
      <c r="U161" s="402">
        <f t="shared" si="303"/>
        <v>0</v>
      </c>
      <c r="V161" s="893">
        <v>0</v>
      </c>
      <c r="W161" s="387">
        <v>0</v>
      </c>
      <c r="X161" s="918">
        <f>-1.036913-0.175009</f>
        <v>-1.2119219999999999</v>
      </c>
      <c r="Y161" s="915">
        <v>0</v>
      </c>
      <c r="Z161" s="367">
        <v>-1.036913</v>
      </c>
      <c r="AA161" s="468">
        <v>-1.036913</v>
      </c>
      <c r="AB161" s="207">
        <f>-1.152122</f>
        <v>-1.1521220000000001</v>
      </c>
      <c r="AC161" s="207">
        <v>0</v>
      </c>
      <c r="AD161" s="367">
        <v>0</v>
      </c>
      <c r="AE161" s="468">
        <v>0</v>
      </c>
      <c r="AF161" s="468">
        <v>0</v>
      </c>
      <c r="AG161" s="468">
        <v>0</v>
      </c>
      <c r="AH161" s="468">
        <v>0</v>
      </c>
      <c r="AI161" s="387">
        <v>0</v>
      </c>
      <c r="AJ161" s="207">
        <v>0</v>
      </c>
      <c r="AK161" s="367">
        <v>0</v>
      </c>
      <c r="AL161" s="367">
        <v>0</v>
      </c>
      <c r="AM161" s="367">
        <v>0</v>
      </c>
      <c r="AN161" s="367">
        <v>0</v>
      </c>
      <c r="AO161" s="295">
        <v>0</v>
      </c>
      <c r="AP161" s="295">
        <v>0</v>
      </c>
      <c r="AQ161" s="295">
        <v>0</v>
      </c>
      <c r="AR161" s="387">
        <v>0</v>
      </c>
      <c r="AS161" s="896">
        <f t="shared" si="309"/>
        <v>0</v>
      </c>
      <c r="AT161" s="411" t="s">
        <v>1789</v>
      </c>
    </row>
    <row r="162" spans="1:48" s="1" customFormat="1" ht="58" hidden="1" customHeight="1" outlineLevel="1" x14ac:dyDescent="0.35">
      <c r="A162" s="590">
        <v>54</v>
      </c>
      <c r="B162" s="612" t="s">
        <v>69</v>
      </c>
      <c r="C162" s="607" t="s">
        <v>1734</v>
      </c>
      <c r="D162" s="63" t="s">
        <v>1791</v>
      </c>
      <c r="E162" s="1131"/>
      <c r="F162" s="480" t="s">
        <v>1286</v>
      </c>
      <c r="G162" s="95" t="s">
        <v>708</v>
      </c>
      <c r="H162" s="310" t="s">
        <v>129</v>
      </c>
      <c r="I162" s="334"/>
      <c r="J162" s="283"/>
      <c r="K162" s="294">
        <f t="shared" si="321"/>
        <v>1.1012740000000001</v>
      </c>
      <c r="L162" s="183">
        <f t="shared" si="297"/>
        <v>0</v>
      </c>
      <c r="M162" s="94">
        <f t="shared" si="304"/>
        <v>0</v>
      </c>
      <c r="N162" s="94">
        <f t="shared" si="310"/>
        <v>1.1361589999999997</v>
      </c>
      <c r="O162" s="94">
        <f t="shared" si="311"/>
        <v>1.1361589999999997</v>
      </c>
      <c r="P162" s="94">
        <f t="shared" si="300"/>
        <v>1.1012740000000001</v>
      </c>
      <c r="Q162" s="94">
        <f t="shared" si="319"/>
        <v>0</v>
      </c>
      <c r="R162" s="94">
        <f t="shared" si="301"/>
        <v>0</v>
      </c>
      <c r="S162" s="94">
        <f t="shared" si="320"/>
        <v>0</v>
      </c>
      <c r="T162" s="94">
        <f t="shared" si="302"/>
        <v>0</v>
      </c>
      <c r="U162" s="402">
        <f t="shared" si="303"/>
        <v>0</v>
      </c>
      <c r="V162" s="893">
        <v>0</v>
      </c>
      <c r="W162" s="387">
        <v>0</v>
      </c>
      <c r="X162" s="918">
        <f>-4.550616+3.414457</f>
        <v>-1.1361589999999997</v>
      </c>
      <c r="Y162" s="915">
        <v>0</v>
      </c>
      <c r="Z162" s="367">
        <v>-4.5506159999999998</v>
      </c>
      <c r="AA162" s="468">
        <v>-4.5506159999999998</v>
      </c>
      <c r="AB162" s="207">
        <v>-1.1012740000000001</v>
      </c>
      <c r="AC162" s="207">
        <v>0</v>
      </c>
      <c r="AD162" s="367">
        <v>0</v>
      </c>
      <c r="AE162" s="468">
        <v>0</v>
      </c>
      <c r="AF162" s="468">
        <v>0</v>
      </c>
      <c r="AG162" s="468">
        <v>0</v>
      </c>
      <c r="AH162" s="468">
        <v>0</v>
      </c>
      <c r="AI162" s="387">
        <v>0</v>
      </c>
      <c r="AJ162" s="207">
        <v>0</v>
      </c>
      <c r="AK162" s="367">
        <v>0</v>
      </c>
      <c r="AL162" s="367">
        <v>0</v>
      </c>
      <c r="AM162" s="367">
        <v>0</v>
      </c>
      <c r="AN162" s="367">
        <v>0</v>
      </c>
      <c r="AO162" s="295">
        <v>0</v>
      </c>
      <c r="AP162" s="295">
        <v>0</v>
      </c>
      <c r="AQ162" s="295">
        <v>0</v>
      </c>
      <c r="AR162" s="387">
        <v>0</v>
      </c>
      <c r="AS162" s="896">
        <f t="shared" si="309"/>
        <v>0</v>
      </c>
      <c r="AT162" s="411" t="s">
        <v>1788</v>
      </c>
    </row>
    <row r="163" spans="1:48" s="1" customFormat="1" ht="191.15" hidden="1" customHeight="1" outlineLevel="1" x14ac:dyDescent="0.35">
      <c r="A163" s="590">
        <v>55</v>
      </c>
      <c r="B163" s="612" t="s">
        <v>69</v>
      </c>
      <c r="C163" s="607" t="s">
        <v>700</v>
      </c>
      <c r="D163" s="63" t="s">
        <v>1830</v>
      </c>
      <c r="E163" s="432" t="s">
        <v>1324</v>
      </c>
      <c r="F163" s="480" t="s">
        <v>1323</v>
      </c>
      <c r="G163" s="95" t="s">
        <v>24</v>
      </c>
      <c r="H163" s="310" t="s">
        <v>129</v>
      </c>
      <c r="I163" s="334"/>
      <c r="J163" s="283"/>
      <c r="K163" s="294">
        <f t="shared" si="321"/>
        <v>53.385258</v>
      </c>
      <c r="L163" s="183">
        <f t="shared" si="297"/>
        <v>0</v>
      </c>
      <c r="M163" s="94">
        <f t="shared" si="304"/>
        <v>0</v>
      </c>
      <c r="N163" s="94">
        <f t="shared" si="310"/>
        <v>53.659786000000004</v>
      </c>
      <c r="O163" s="94">
        <f t="shared" si="311"/>
        <v>53.659786000000004</v>
      </c>
      <c r="P163" s="94">
        <f t="shared" si="300"/>
        <v>53.385258</v>
      </c>
      <c r="Q163" s="94">
        <f t="shared" si="319"/>
        <v>0</v>
      </c>
      <c r="R163" s="94">
        <f t="shared" si="301"/>
        <v>0</v>
      </c>
      <c r="S163" s="94">
        <f t="shared" si="320"/>
        <v>0</v>
      </c>
      <c r="T163" s="94">
        <f t="shared" si="302"/>
        <v>0</v>
      </c>
      <c r="U163" s="402">
        <f t="shared" si="303"/>
        <v>0</v>
      </c>
      <c r="V163" s="893">
        <v>0</v>
      </c>
      <c r="W163" s="387">
        <v>0</v>
      </c>
      <c r="X163" s="910">
        <f>-52.247703-1.412083</f>
        <v>-53.659786000000004</v>
      </c>
      <c r="Y163" s="915">
        <v>0</v>
      </c>
      <c r="Z163" s="367">
        <v>-52.247703000000001</v>
      </c>
      <c r="AA163" s="468">
        <v>-52.247703000000001</v>
      </c>
      <c r="AB163" s="207">
        <f>-0.065842-0.319416-53</f>
        <v>-53.385258</v>
      </c>
      <c r="AC163" s="207">
        <v>0</v>
      </c>
      <c r="AD163" s="367">
        <v>0</v>
      </c>
      <c r="AE163" s="468">
        <v>0</v>
      </c>
      <c r="AF163" s="468">
        <v>0</v>
      </c>
      <c r="AG163" s="468">
        <v>0</v>
      </c>
      <c r="AH163" s="468">
        <v>0</v>
      </c>
      <c r="AI163" s="387">
        <v>0</v>
      </c>
      <c r="AJ163" s="207">
        <v>0</v>
      </c>
      <c r="AK163" s="367">
        <v>0</v>
      </c>
      <c r="AL163" s="367">
        <v>0</v>
      </c>
      <c r="AM163" s="367">
        <v>0</v>
      </c>
      <c r="AN163" s="367">
        <v>0</v>
      </c>
      <c r="AO163" s="295">
        <v>0</v>
      </c>
      <c r="AP163" s="295">
        <v>0</v>
      </c>
      <c r="AQ163" s="295">
        <v>0</v>
      </c>
      <c r="AR163" s="387">
        <v>0</v>
      </c>
      <c r="AS163" s="896">
        <f t="shared" si="309"/>
        <v>0</v>
      </c>
      <c r="AT163" s="411" t="s">
        <v>1831</v>
      </c>
    </row>
    <row r="164" spans="1:48" s="1" customFormat="1" ht="43.5" hidden="1" customHeight="1" outlineLevel="1" x14ac:dyDescent="0.35">
      <c r="A164" s="590">
        <v>56</v>
      </c>
      <c r="B164" s="612" t="s">
        <v>69</v>
      </c>
      <c r="C164" s="607" t="s">
        <v>700</v>
      </c>
      <c r="D164" s="63">
        <v>44306</v>
      </c>
      <c r="E164" s="432" t="s">
        <v>1324</v>
      </c>
      <c r="F164" s="480" t="s">
        <v>1323</v>
      </c>
      <c r="G164" s="95" t="s">
        <v>24</v>
      </c>
      <c r="H164" s="310" t="s">
        <v>129</v>
      </c>
      <c r="I164" s="334"/>
      <c r="J164" s="283"/>
      <c r="K164" s="294">
        <f t="shared" si="321"/>
        <v>11.674911</v>
      </c>
      <c r="L164" s="183">
        <f t="shared" si="297"/>
        <v>0</v>
      </c>
      <c r="M164" s="94">
        <f t="shared" si="304"/>
        <v>0</v>
      </c>
      <c r="N164" s="94">
        <f t="shared" si="310"/>
        <v>69.599999999999994</v>
      </c>
      <c r="O164" s="94">
        <f t="shared" si="311"/>
        <v>69.599999999999994</v>
      </c>
      <c r="P164" s="94">
        <f t="shared" si="300"/>
        <v>11.674911</v>
      </c>
      <c r="Q164" s="94">
        <f t="shared" si="319"/>
        <v>0</v>
      </c>
      <c r="R164" s="94">
        <f t="shared" si="301"/>
        <v>0</v>
      </c>
      <c r="S164" s="94">
        <f t="shared" si="320"/>
        <v>0</v>
      </c>
      <c r="T164" s="94">
        <f t="shared" si="302"/>
        <v>0</v>
      </c>
      <c r="U164" s="402">
        <f t="shared" si="303"/>
        <v>0</v>
      </c>
      <c r="V164" s="893">
        <v>0</v>
      </c>
      <c r="W164" s="387">
        <v>0</v>
      </c>
      <c r="X164" s="910">
        <v>-69.599999999999994</v>
      </c>
      <c r="Y164" s="915">
        <v>0</v>
      </c>
      <c r="Z164" s="367">
        <v>0</v>
      </c>
      <c r="AA164" s="468">
        <v>0</v>
      </c>
      <c r="AB164" s="207">
        <f>-11.674911</f>
        <v>-11.674911</v>
      </c>
      <c r="AC164" s="207">
        <v>0</v>
      </c>
      <c r="AD164" s="367">
        <v>0</v>
      </c>
      <c r="AE164" s="468">
        <v>0</v>
      </c>
      <c r="AF164" s="468">
        <v>0</v>
      </c>
      <c r="AG164" s="468">
        <v>0</v>
      </c>
      <c r="AH164" s="468">
        <v>0</v>
      </c>
      <c r="AI164" s="387">
        <v>0</v>
      </c>
      <c r="AJ164" s="207">
        <v>0</v>
      </c>
      <c r="AK164" s="367">
        <v>0</v>
      </c>
      <c r="AL164" s="367">
        <v>0</v>
      </c>
      <c r="AM164" s="367">
        <v>0</v>
      </c>
      <c r="AN164" s="367">
        <v>0</v>
      </c>
      <c r="AO164" s="295">
        <v>0</v>
      </c>
      <c r="AP164" s="295">
        <v>0</v>
      </c>
      <c r="AQ164" s="295">
        <v>0</v>
      </c>
      <c r="AR164" s="387">
        <v>0</v>
      </c>
      <c r="AS164" s="896">
        <f t="shared" si="309"/>
        <v>0</v>
      </c>
      <c r="AT164" s="411" t="s">
        <v>1648</v>
      </c>
    </row>
    <row r="165" spans="1:48" s="1" customFormat="1" ht="87" hidden="1" customHeight="1" outlineLevel="1" x14ac:dyDescent="0.35">
      <c r="A165" s="590">
        <v>57</v>
      </c>
      <c r="B165" s="612" t="s">
        <v>69</v>
      </c>
      <c r="C165" s="607" t="s">
        <v>1732</v>
      </c>
      <c r="D165" s="63" t="s">
        <v>1500</v>
      </c>
      <c r="E165" s="432" t="s">
        <v>1450</v>
      </c>
      <c r="F165" s="480" t="s">
        <v>1501</v>
      </c>
      <c r="G165" s="95" t="s">
        <v>24</v>
      </c>
      <c r="H165" s="310" t="s">
        <v>130</v>
      </c>
      <c r="I165" s="334"/>
      <c r="J165" s="283"/>
      <c r="K165" s="294">
        <f t="shared" si="321"/>
        <v>50.276038</v>
      </c>
      <c r="L165" s="183">
        <f t="shared" ref="L165:L197" si="322">-V165</f>
        <v>0</v>
      </c>
      <c r="M165" s="94">
        <f t="shared" ref="M165:M197" si="323">-W165</f>
        <v>0</v>
      </c>
      <c r="N165" s="94">
        <f t="shared" ref="N165:N175" si="324">-X165</f>
        <v>50.276038</v>
      </c>
      <c r="O165" s="94">
        <f t="shared" si="311"/>
        <v>50.276038</v>
      </c>
      <c r="P165" s="94">
        <f t="shared" ref="P165:P197" si="325">-AB165</f>
        <v>50.276038</v>
      </c>
      <c r="Q165" s="94">
        <f t="shared" si="319"/>
        <v>0</v>
      </c>
      <c r="R165" s="94">
        <f t="shared" si="301"/>
        <v>0</v>
      </c>
      <c r="S165" s="94">
        <f t="shared" si="320"/>
        <v>0</v>
      </c>
      <c r="T165" s="94">
        <f t="shared" si="302"/>
        <v>0</v>
      </c>
      <c r="U165" s="402">
        <f t="shared" si="303"/>
        <v>0</v>
      </c>
      <c r="V165" s="893">
        <v>0</v>
      </c>
      <c r="W165" s="387">
        <v>0</v>
      </c>
      <c r="X165" s="910">
        <f>-54.650795+4.374757</f>
        <v>-50.276038</v>
      </c>
      <c r="Y165" s="915">
        <v>0</v>
      </c>
      <c r="Z165" s="367">
        <v>-50.276038</v>
      </c>
      <c r="AA165" s="468">
        <v>-50.276038</v>
      </c>
      <c r="AB165" s="207">
        <v>-50.276038</v>
      </c>
      <c r="AC165" s="207">
        <v>0</v>
      </c>
      <c r="AD165" s="367">
        <v>0</v>
      </c>
      <c r="AE165" s="468">
        <v>0</v>
      </c>
      <c r="AF165" s="468">
        <v>0</v>
      </c>
      <c r="AG165" s="468">
        <v>0</v>
      </c>
      <c r="AH165" s="468">
        <v>0</v>
      </c>
      <c r="AI165" s="387">
        <v>0</v>
      </c>
      <c r="AJ165" s="207">
        <v>0</v>
      </c>
      <c r="AK165" s="367">
        <v>0</v>
      </c>
      <c r="AL165" s="367">
        <v>0</v>
      </c>
      <c r="AM165" s="367">
        <v>0</v>
      </c>
      <c r="AN165" s="367">
        <v>0</v>
      </c>
      <c r="AO165" s="295">
        <v>0</v>
      </c>
      <c r="AP165" s="295">
        <v>0</v>
      </c>
      <c r="AQ165" s="295">
        <v>0</v>
      </c>
      <c r="AR165" s="387">
        <v>0</v>
      </c>
      <c r="AS165" s="896">
        <f t="shared" si="309"/>
        <v>0</v>
      </c>
      <c r="AT165" s="411" t="s">
        <v>1502</v>
      </c>
    </row>
    <row r="166" spans="1:48" s="1" customFormat="1" ht="29.15" hidden="1" customHeight="1" outlineLevel="1" x14ac:dyDescent="0.35">
      <c r="A166" s="590">
        <v>58</v>
      </c>
      <c r="B166" s="612" t="s">
        <v>69</v>
      </c>
      <c r="C166" s="607" t="s">
        <v>700</v>
      </c>
      <c r="D166" s="63">
        <v>44329</v>
      </c>
      <c r="E166" s="432" t="s">
        <v>1415</v>
      </c>
      <c r="F166" s="480" t="s">
        <v>700</v>
      </c>
      <c r="G166" s="95" t="s">
        <v>24</v>
      </c>
      <c r="H166" s="310" t="s">
        <v>129</v>
      </c>
      <c r="I166" s="334"/>
      <c r="J166" s="283"/>
      <c r="K166" s="294">
        <f t="shared" si="321"/>
        <v>0</v>
      </c>
      <c r="L166" s="183">
        <f t="shared" si="322"/>
        <v>0</v>
      </c>
      <c r="M166" s="94">
        <f t="shared" si="323"/>
        <v>0</v>
      </c>
      <c r="N166" s="94">
        <f t="shared" si="324"/>
        <v>0</v>
      </c>
      <c r="O166" s="94">
        <f t="shared" si="311"/>
        <v>0</v>
      </c>
      <c r="P166" s="94">
        <f t="shared" si="325"/>
        <v>0</v>
      </c>
      <c r="Q166" s="94">
        <f t="shared" si="319"/>
        <v>0</v>
      </c>
      <c r="R166" s="94">
        <f t="shared" ref="R166:R176" si="326">-AC166</f>
        <v>0</v>
      </c>
      <c r="S166" s="94">
        <f t="shared" si="320"/>
        <v>0</v>
      </c>
      <c r="T166" s="94">
        <f t="shared" ref="T166:T176" si="327">-AJ166</f>
        <v>0</v>
      </c>
      <c r="U166" s="402">
        <f t="shared" ref="U166:U176" si="328">-AQ166</f>
        <v>0</v>
      </c>
      <c r="V166" s="893">
        <v>0</v>
      </c>
      <c r="W166" s="387">
        <v>0</v>
      </c>
      <c r="X166" s="910">
        <v>0</v>
      </c>
      <c r="Y166" s="915">
        <v>0</v>
      </c>
      <c r="Z166" s="367">
        <v>0</v>
      </c>
      <c r="AA166" s="468">
        <v>0</v>
      </c>
      <c r="AB166" s="207">
        <v>0</v>
      </c>
      <c r="AC166" s="207">
        <v>0</v>
      </c>
      <c r="AD166" s="367">
        <v>-50.584569000000002</v>
      </c>
      <c r="AE166" s="468">
        <v>0</v>
      </c>
      <c r="AF166" s="468">
        <v>0</v>
      </c>
      <c r="AG166" s="468">
        <v>0</v>
      </c>
      <c r="AH166" s="468">
        <v>0</v>
      </c>
      <c r="AI166" s="387">
        <v>0</v>
      </c>
      <c r="AJ166" s="207">
        <v>0</v>
      </c>
      <c r="AK166" s="367">
        <v>0</v>
      </c>
      <c r="AL166" s="367">
        <v>0</v>
      </c>
      <c r="AM166" s="367">
        <v>0</v>
      </c>
      <c r="AN166" s="367">
        <v>0</v>
      </c>
      <c r="AO166" s="295">
        <v>0</v>
      </c>
      <c r="AP166" s="295">
        <v>0</v>
      </c>
      <c r="AQ166" s="295">
        <v>0</v>
      </c>
      <c r="AR166" s="387">
        <v>0</v>
      </c>
      <c r="AS166" s="896">
        <f t="shared" ref="AS166:AS197" si="329">-AR166</f>
        <v>0</v>
      </c>
      <c r="AT166" s="411" t="s">
        <v>1649</v>
      </c>
    </row>
    <row r="167" spans="1:48" s="1" customFormat="1" ht="94" hidden="1" customHeight="1" outlineLevel="1" x14ac:dyDescent="0.35">
      <c r="A167" s="590">
        <v>59</v>
      </c>
      <c r="B167" s="612" t="s">
        <v>69</v>
      </c>
      <c r="C167" s="607" t="s">
        <v>700</v>
      </c>
      <c r="D167" s="63" t="s">
        <v>1634</v>
      </c>
      <c r="E167" s="432" t="s">
        <v>1635</v>
      </c>
      <c r="F167" s="480" t="s">
        <v>700</v>
      </c>
      <c r="G167" s="95" t="s">
        <v>24</v>
      </c>
      <c r="H167" s="310" t="s">
        <v>129</v>
      </c>
      <c r="I167" s="334"/>
      <c r="J167" s="283"/>
      <c r="K167" s="294">
        <f t="shared" si="321"/>
        <v>8.2613479999999999</v>
      </c>
      <c r="L167" s="183">
        <f t="shared" si="322"/>
        <v>0</v>
      </c>
      <c r="M167" s="94">
        <f t="shared" si="323"/>
        <v>0</v>
      </c>
      <c r="N167" s="94">
        <f t="shared" si="324"/>
        <v>0</v>
      </c>
      <c r="O167" s="94">
        <f t="shared" si="311"/>
        <v>0</v>
      </c>
      <c r="P167" s="94">
        <f t="shared" si="325"/>
        <v>0</v>
      </c>
      <c r="Q167" s="94">
        <f t="shared" si="319"/>
        <v>8.2613479999999999</v>
      </c>
      <c r="R167" s="94">
        <f t="shared" si="326"/>
        <v>8.2613479999999999</v>
      </c>
      <c r="S167" s="94">
        <f t="shared" si="320"/>
        <v>0</v>
      </c>
      <c r="T167" s="94">
        <f t="shared" si="327"/>
        <v>0</v>
      </c>
      <c r="U167" s="402">
        <f t="shared" si="328"/>
        <v>0</v>
      </c>
      <c r="V167" s="893">
        <v>0</v>
      </c>
      <c r="W167" s="387">
        <v>0</v>
      </c>
      <c r="X167" s="910">
        <v>0</v>
      </c>
      <c r="Y167" s="915">
        <v>0</v>
      </c>
      <c r="Z167" s="367">
        <v>0</v>
      </c>
      <c r="AA167" s="468">
        <v>0</v>
      </c>
      <c r="AB167" s="207">
        <v>0</v>
      </c>
      <c r="AC167" s="207">
        <v>-8.2613479999999999</v>
      </c>
      <c r="AD167" s="367">
        <v>-16.522697000000001</v>
      </c>
      <c r="AE167" s="468">
        <v>-8.2613479999999999</v>
      </c>
      <c r="AF167" s="468">
        <v>-8.2613479999999999</v>
      </c>
      <c r="AG167" s="468">
        <v>-8.2613479999999999</v>
      </c>
      <c r="AH167" s="468">
        <v>-8.2613479999999999</v>
      </c>
      <c r="AI167" s="387">
        <v>0</v>
      </c>
      <c r="AJ167" s="207">
        <v>0</v>
      </c>
      <c r="AK167" s="367">
        <v>0</v>
      </c>
      <c r="AL167" s="367">
        <v>0</v>
      </c>
      <c r="AM167" s="367">
        <v>0</v>
      </c>
      <c r="AN167" s="367">
        <v>0</v>
      </c>
      <c r="AO167" s="295">
        <v>0</v>
      </c>
      <c r="AP167" s="295">
        <v>0</v>
      </c>
      <c r="AQ167" s="295">
        <v>0</v>
      </c>
      <c r="AR167" s="387">
        <v>0</v>
      </c>
      <c r="AS167" s="896">
        <f t="shared" si="329"/>
        <v>0</v>
      </c>
      <c r="AT167" s="411" t="s">
        <v>1414</v>
      </c>
    </row>
    <row r="168" spans="1:48" s="1" customFormat="1" ht="116.15" hidden="1" customHeight="1" outlineLevel="1" x14ac:dyDescent="0.35">
      <c r="A168" s="590">
        <v>60</v>
      </c>
      <c r="B168" s="612" t="s">
        <v>69</v>
      </c>
      <c r="C168" s="607" t="s">
        <v>1732</v>
      </c>
      <c r="D168" s="63">
        <v>44334</v>
      </c>
      <c r="E168" s="432" t="s">
        <v>1451</v>
      </c>
      <c r="F168" s="480" t="s">
        <v>1370</v>
      </c>
      <c r="G168" s="95" t="s">
        <v>24</v>
      </c>
      <c r="H168" s="310" t="s">
        <v>130</v>
      </c>
      <c r="I168" s="334"/>
      <c r="J168" s="283"/>
      <c r="K168" s="294">
        <f t="shared" si="321"/>
        <v>3.6635200000000001</v>
      </c>
      <c r="L168" s="183">
        <f t="shared" si="322"/>
        <v>0</v>
      </c>
      <c r="M168" s="94">
        <f t="shared" si="323"/>
        <v>0</v>
      </c>
      <c r="N168" s="94">
        <f t="shared" si="324"/>
        <v>3.6635200000000001</v>
      </c>
      <c r="O168" s="94">
        <f t="shared" si="311"/>
        <v>3.6635200000000001</v>
      </c>
      <c r="P168" s="94">
        <f t="shared" si="325"/>
        <v>3.6635200000000001</v>
      </c>
      <c r="Q168" s="94">
        <f t="shared" si="319"/>
        <v>0</v>
      </c>
      <c r="R168" s="94">
        <f t="shared" si="326"/>
        <v>0</v>
      </c>
      <c r="S168" s="94">
        <f t="shared" si="320"/>
        <v>0</v>
      </c>
      <c r="T168" s="94">
        <f t="shared" si="327"/>
        <v>0</v>
      </c>
      <c r="U168" s="402">
        <f t="shared" si="328"/>
        <v>0</v>
      </c>
      <c r="V168" s="893">
        <v>0</v>
      </c>
      <c r="W168" s="387">
        <v>0</v>
      </c>
      <c r="X168" s="910">
        <v>-3.6635200000000001</v>
      </c>
      <c r="Y168" s="915">
        <v>0</v>
      </c>
      <c r="Z168" s="367">
        <v>-3.6635200000000001</v>
      </c>
      <c r="AA168" s="468">
        <v>-3.6635200000000001</v>
      </c>
      <c r="AB168" s="207">
        <v>-3.6635200000000001</v>
      </c>
      <c r="AC168" s="207">
        <v>0</v>
      </c>
      <c r="AD168" s="367">
        <v>0</v>
      </c>
      <c r="AE168" s="468">
        <v>0</v>
      </c>
      <c r="AF168" s="468">
        <v>0</v>
      </c>
      <c r="AG168" s="468">
        <v>0</v>
      </c>
      <c r="AH168" s="468">
        <v>0</v>
      </c>
      <c r="AI168" s="387">
        <v>0</v>
      </c>
      <c r="AJ168" s="207">
        <v>0</v>
      </c>
      <c r="AK168" s="367">
        <v>0</v>
      </c>
      <c r="AL168" s="367">
        <v>0</v>
      </c>
      <c r="AM168" s="367">
        <v>0</v>
      </c>
      <c r="AN168" s="367">
        <v>0</v>
      </c>
      <c r="AO168" s="295">
        <v>0</v>
      </c>
      <c r="AP168" s="295">
        <v>0</v>
      </c>
      <c r="AQ168" s="295">
        <v>0</v>
      </c>
      <c r="AR168" s="387">
        <v>0</v>
      </c>
      <c r="AS168" s="896">
        <f t="shared" si="329"/>
        <v>0</v>
      </c>
      <c r="AT168" s="411" t="s">
        <v>1371</v>
      </c>
    </row>
    <row r="169" spans="1:48" s="1" customFormat="1" ht="116.15" hidden="1" customHeight="1" outlineLevel="1" x14ac:dyDescent="0.35">
      <c r="A169" s="590">
        <v>61</v>
      </c>
      <c r="B169" s="612" t="s">
        <v>69</v>
      </c>
      <c r="C169" s="607" t="s">
        <v>1733</v>
      </c>
      <c r="D169" s="63">
        <v>44343</v>
      </c>
      <c r="E169" s="432" t="s">
        <v>1452</v>
      </c>
      <c r="F169" s="480" t="s">
        <v>1425</v>
      </c>
      <c r="G169" s="95" t="s">
        <v>24</v>
      </c>
      <c r="H169" s="310" t="s">
        <v>129</v>
      </c>
      <c r="I169" s="334"/>
      <c r="J169" s="283"/>
      <c r="K169" s="294">
        <f t="shared" si="321"/>
        <v>7.9054549999999999</v>
      </c>
      <c r="L169" s="183">
        <f t="shared" si="322"/>
        <v>0</v>
      </c>
      <c r="M169" s="94">
        <f t="shared" si="323"/>
        <v>0</v>
      </c>
      <c r="N169" s="94">
        <f t="shared" si="324"/>
        <v>7.9054549999999999</v>
      </c>
      <c r="O169" s="94">
        <f t="shared" si="311"/>
        <v>7.9054549999999999</v>
      </c>
      <c r="P169" s="94">
        <f t="shared" si="325"/>
        <v>7.9054549999999999</v>
      </c>
      <c r="Q169" s="94">
        <f t="shared" si="319"/>
        <v>0</v>
      </c>
      <c r="R169" s="94">
        <f t="shared" si="326"/>
        <v>0</v>
      </c>
      <c r="S169" s="94">
        <f t="shared" si="320"/>
        <v>0</v>
      </c>
      <c r="T169" s="94">
        <f t="shared" si="327"/>
        <v>0</v>
      </c>
      <c r="U169" s="402">
        <f t="shared" si="328"/>
        <v>0</v>
      </c>
      <c r="V169" s="893">
        <v>0</v>
      </c>
      <c r="W169" s="387">
        <v>0</v>
      </c>
      <c r="X169" s="910">
        <v>-7.9054549999999999</v>
      </c>
      <c r="Y169" s="915">
        <v>0</v>
      </c>
      <c r="Z169" s="367">
        <v>-7.9054549999999999</v>
      </c>
      <c r="AA169" s="468">
        <v>-7.9054549999999999</v>
      </c>
      <c r="AB169" s="207">
        <f>-0.105625-7.79983</f>
        <v>-7.9054549999999999</v>
      </c>
      <c r="AC169" s="207">
        <v>0</v>
      </c>
      <c r="AD169" s="367">
        <v>0</v>
      </c>
      <c r="AE169" s="468">
        <v>0</v>
      </c>
      <c r="AF169" s="468">
        <v>0</v>
      </c>
      <c r="AG169" s="468">
        <v>0</v>
      </c>
      <c r="AH169" s="468">
        <v>0</v>
      </c>
      <c r="AI169" s="387">
        <v>0</v>
      </c>
      <c r="AJ169" s="207">
        <v>0</v>
      </c>
      <c r="AK169" s="367">
        <v>0</v>
      </c>
      <c r="AL169" s="367">
        <v>0</v>
      </c>
      <c r="AM169" s="367">
        <v>0</v>
      </c>
      <c r="AN169" s="367">
        <v>0</v>
      </c>
      <c r="AO169" s="295">
        <v>0</v>
      </c>
      <c r="AP169" s="295">
        <v>0</v>
      </c>
      <c r="AQ169" s="295">
        <v>0</v>
      </c>
      <c r="AR169" s="387">
        <v>0</v>
      </c>
      <c r="AS169" s="896">
        <f t="shared" si="329"/>
        <v>0</v>
      </c>
      <c r="AT169" s="411" t="s">
        <v>1422</v>
      </c>
      <c r="AV169" s="566"/>
    </row>
    <row r="170" spans="1:48" s="1" customFormat="1" ht="58" hidden="1" customHeight="1" outlineLevel="1" x14ac:dyDescent="0.35">
      <c r="A170" s="590">
        <v>62</v>
      </c>
      <c r="B170" s="612" t="s">
        <v>69</v>
      </c>
      <c r="C170" s="607" t="s">
        <v>1733</v>
      </c>
      <c r="D170" s="63">
        <v>44347</v>
      </c>
      <c r="E170" s="432" t="s">
        <v>1453</v>
      </c>
      <c r="F170" s="480" t="s">
        <v>1424</v>
      </c>
      <c r="G170" s="95" t="s">
        <v>24</v>
      </c>
      <c r="H170" s="310" t="s">
        <v>129</v>
      </c>
      <c r="I170" s="334"/>
      <c r="J170" s="283"/>
      <c r="K170" s="294">
        <f t="shared" si="321"/>
        <v>1.1908620000000001</v>
      </c>
      <c r="L170" s="183">
        <f t="shared" si="322"/>
        <v>0</v>
      </c>
      <c r="M170" s="94">
        <f t="shared" si="323"/>
        <v>0</v>
      </c>
      <c r="N170" s="94">
        <f t="shared" si="324"/>
        <v>1.946132</v>
      </c>
      <c r="O170" s="94">
        <f t="shared" si="311"/>
        <v>1.946132</v>
      </c>
      <c r="P170" s="94">
        <f t="shared" si="325"/>
        <v>1.1908620000000001</v>
      </c>
      <c r="Q170" s="94">
        <f t="shared" si="319"/>
        <v>0</v>
      </c>
      <c r="R170" s="94">
        <f t="shared" si="326"/>
        <v>0</v>
      </c>
      <c r="S170" s="94">
        <f t="shared" si="320"/>
        <v>0</v>
      </c>
      <c r="T170" s="94">
        <f t="shared" si="327"/>
        <v>0</v>
      </c>
      <c r="U170" s="402">
        <f t="shared" si="328"/>
        <v>0</v>
      </c>
      <c r="V170" s="893">
        <v>0</v>
      </c>
      <c r="W170" s="387">
        <v>0</v>
      </c>
      <c r="X170" s="910">
        <v>-1.946132</v>
      </c>
      <c r="Y170" s="915">
        <v>0</v>
      </c>
      <c r="Z170" s="367">
        <v>-1.946132</v>
      </c>
      <c r="AA170" s="468">
        <v>-1.946132</v>
      </c>
      <c r="AB170" s="207">
        <f>-1.190862</f>
        <v>-1.1908620000000001</v>
      </c>
      <c r="AC170" s="207">
        <v>0</v>
      </c>
      <c r="AD170" s="367">
        <v>0</v>
      </c>
      <c r="AE170" s="468">
        <v>0</v>
      </c>
      <c r="AF170" s="468">
        <v>0</v>
      </c>
      <c r="AG170" s="468">
        <v>0</v>
      </c>
      <c r="AH170" s="468">
        <v>0</v>
      </c>
      <c r="AI170" s="387">
        <v>0</v>
      </c>
      <c r="AJ170" s="207">
        <v>0</v>
      </c>
      <c r="AK170" s="367">
        <v>0</v>
      </c>
      <c r="AL170" s="367">
        <v>0</v>
      </c>
      <c r="AM170" s="367">
        <v>0</v>
      </c>
      <c r="AN170" s="367">
        <v>0</v>
      </c>
      <c r="AO170" s="295">
        <v>0</v>
      </c>
      <c r="AP170" s="295">
        <v>0</v>
      </c>
      <c r="AQ170" s="295">
        <v>0</v>
      </c>
      <c r="AR170" s="387">
        <v>0</v>
      </c>
      <c r="AS170" s="896">
        <f t="shared" si="329"/>
        <v>0</v>
      </c>
      <c r="AT170" s="411" t="s">
        <v>1423</v>
      </c>
    </row>
    <row r="171" spans="1:48" s="1" customFormat="1" ht="104.25" hidden="1" customHeight="1" outlineLevel="1" x14ac:dyDescent="0.35">
      <c r="A171" s="590">
        <v>63</v>
      </c>
      <c r="B171" s="612" t="s">
        <v>69</v>
      </c>
      <c r="C171" s="607" t="s">
        <v>700</v>
      </c>
      <c r="D171" s="63" t="s">
        <v>1520</v>
      </c>
      <c r="E171" s="432" t="s">
        <v>1539</v>
      </c>
      <c r="F171" s="480" t="s">
        <v>1541</v>
      </c>
      <c r="G171" s="95" t="s">
        <v>24</v>
      </c>
      <c r="H171" s="310" t="s">
        <v>129</v>
      </c>
      <c r="I171" s="334"/>
      <c r="J171" s="283"/>
      <c r="K171" s="294">
        <f t="shared" si="321"/>
        <v>22.942205000000001</v>
      </c>
      <c r="L171" s="183">
        <f t="shared" si="322"/>
        <v>0</v>
      </c>
      <c r="M171" s="94">
        <f>-W171</f>
        <v>0</v>
      </c>
      <c r="N171" s="94">
        <f t="shared" si="324"/>
        <v>0</v>
      </c>
      <c r="O171" s="94">
        <f t="shared" si="311"/>
        <v>0</v>
      </c>
      <c r="P171" s="94">
        <f t="shared" si="325"/>
        <v>0</v>
      </c>
      <c r="Q171" s="94">
        <f t="shared" si="319"/>
        <v>22.942205000000001</v>
      </c>
      <c r="R171" s="94">
        <f t="shared" si="326"/>
        <v>22.942205000000001</v>
      </c>
      <c r="S171" s="94">
        <f t="shared" si="320"/>
        <v>44.779403000000002</v>
      </c>
      <c r="T171" s="94">
        <f t="shared" si="327"/>
        <v>0</v>
      </c>
      <c r="U171" s="402">
        <f t="shared" si="328"/>
        <v>0</v>
      </c>
      <c r="V171" s="893">
        <v>0</v>
      </c>
      <c r="W171" s="387">
        <v>0</v>
      </c>
      <c r="X171" s="910">
        <v>0</v>
      </c>
      <c r="Y171" s="915">
        <v>0</v>
      </c>
      <c r="Z171" s="367">
        <v>0</v>
      </c>
      <c r="AA171" s="468">
        <v>0</v>
      </c>
      <c r="AB171" s="207">
        <v>0</v>
      </c>
      <c r="AC171" s="207">
        <f t="shared" ref="AC171:AH171" si="330">-20.559973-2.382232</f>
        <v>-22.942205000000001</v>
      </c>
      <c r="AD171" s="367">
        <f t="shared" si="330"/>
        <v>-22.942205000000001</v>
      </c>
      <c r="AE171" s="468">
        <f t="shared" si="330"/>
        <v>-22.942205000000001</v>
      </c>
      <c r="AF171" s="468">
        <f t="shared" si="330"/>
        <v>-22.942205000000001</v>
      </c>
      <c r="AG171" s="468">
        <f t="shared" si="330"/>
        <v>-22.942205000000001</v>
      </c>
      <c r="AH171" s="468">
        <f t="shared" si="330"/>
        <v>-22.942205000000001</v>
      </c>
      <c r="AI171" s="623">
        <f>-44.779403</f>
        <v>-44.779403000000002</v>
      </c>
      <c r="AJ171" s="207">
        <v>0</v>
      </c>
      <c r="AK171" s="367">
        <v>0</v>
      </c>
      <c r="AL171" s="367">
        <v>0</v>
      </c>
      <c r="AM171" s="367">
        <v>0</v>
      </c>
      <c r="AN171" s="367">
        <v>0</v>
      </c>
      <c r="AO171" s="295">
        <v>0</v>
      </c>
      <c r="AP171" s="295">
        <v>0</v>
      </c>
      <c r="AQ171" s="295">
        <v>0</v>
      </c>
      <c r="AR171" s="623">
        <v>0</v>
      </c>
      <c r="AS171" s="896">
        <f t="shared" si="329"/>
        <v>0</v>
      </c>
      <c r="AT171" s="411" t="s">
        <v>1521</v>
      </c>
    </row>
    <row r="172" spans="1:48" s="1" customFormat="1" ht="107.25" hidden="1" customHeight="1" outlineLevel="1" x14ac:dyDescent="0.35">
      <c r="A172" s="590">
        <v>64</v>
      </c>
      <c r="B172" s="612" t="s">
        <v>69</v>
      </c>
      <c r="C172" s="607" t="s">
        <v>1732</v>
      </c>
      <c r="D172" s="63">
        <v>44384</v>
      </c>
      <c r="E172" s="432" t="s">
        <v>1503</v>
      </c>
      <c r="F172" s="480" t="s">
        <v>1504</v>
      </c>
      <c r="G172" s="95" t="s">
        <v>24</v>
      </c>
      <c r="H172" s="310" t="s">
        <v>130</v>
      </c>
      <c r="I172" s="334"/>
      <c r="J172" s="283"/>
      <c r="K172" s="294">
        <f t="shared" si="321"/>
        <v>18.369959999999999</v>
      </c>
      <c r="L172" s="183">
        <f t="shared" si="322"/>
        <v>0</v>
      </c>
      <c r="M172" s="94">
        <f t="shared" si="323"/>
        <v>0</v>
      </c>
      <c r="N172" s="94">
        <f t="shared" si="324"/>
        <v>18.369959999999999</v>
      </c>
      <c r="O172" s="94">
        <f t="shared" si="311"/>
        <v>18.369959999999999</v>
      </c>
      <c r="P172" s="94">
        <f t="shared" si="325"/>
        <v>18.369959999999999</v>
      </c>
      <c r="Q172" s="94">
        <f t="shared" si="319"/>
        <v>0</v>
      </c>
      <c r="R172" s="94">
        <f t="shared" si="326"/>
        <v>0</v>
      </c>
      <c r="S172" s="94">
        <f t="shared" si="320"/>
        <v>0</v>
      </c>
      <c r="T172" s="94">
        <f t="shared" si="327"/>
        <v>0</v>
      </c>
      <c r="U172" s="402">
        <f t="shared" si="328"/>
        <v>0</v>
      </c>
      <c r="V172" s="893">
        <v>0</v>
      </c>
      <c r="W172" s="387">
        <v>0</v>
      </c>
      <c r="X172" s="910">
        <f>-18.36996</f>
        <v>-18.369959999999999</v>
      </c>
      <c r="Y172" s="915">
        <v>0</v>
      </c>
      <c r="Z172" s="367">
        <v>-18.369959999999999</v>
      </c>
      <c r="AA172" s="468">
        <v>-18.369959999999999</v>
      </c>
      <c r="AB172" s="207">
        <v>-18.369959999999999</v>
      </c>
      <c r="AC172" s="207">
        <f>0</f>
        <v>0</v>
      </c>
      <c r="AD172" s="367">
        <f>0</f>
        <v>0</v>
      </c>
      <c r="AE172" s="468">
        <f>0</f>
        <v>0</v>
      </c>
      <c r="AF172" s="468">
        <f>0</f>
        <v>0</v>
      </c>
      <c r="AG172" s="468">
        <f>0</f>
        <v>0</v>
      </c>
      <c r="AH172" s="468">
        <f>0</f>
        <v>0</v>
      </c>
      <c r="AI172" s="387">
        <v>0</v>
      </c>
      <c r="AJ172" s="207">
        <v>0</v>
      </c>
      <c r="AK172" s="367">
        <v>0</v>
      </c>
      <c r="AL172" s="367">
        <v>0</v>
      </c>
      <c r="AM172" s="367">
        <v>0</v>
      </c>
      <c r="AN172" s="367">
        <v>0</v>
      </c>
      <c r="AO172" s="295">
        <v>0</v>
      </c>
      <c r="AP172" s="295">
        <v>0</v>
      </c>
      <c r="AQ172" s="295">
        <v>0</v>
      </c>
      <c r="AR172" s="387">
        <v>0</v>
      </c>
      <c r="AS172" s="896">
        <f t="shared" si="329"/>
        <v>0</v>
      </c>
      <c r="AT172" s="417" t="s">
        <v>1505</v>
      </c>
    </row>
    <row r="173" spans="1:48" s="1" customFormat="1" ht="73" hidden="1" customHeight="1" outlineLevel="1" x14ac:dyDescent="0.35">
      <c r="A173" s="590">
        <v>65</v>
      </c>
      <c r="B173" s="612" t="s">
        <v>69</v>
      </c>
      <c r="C173" s="607" t="s">
        <v>1736</v>
      </c>
      <c r="D173" s="63" t="s">
        <v>1786</v>
      </c>
      <c r="E173" s="432" t="s">
        <v>1513</v>
      </c>
      <c r="F173" s="480" t="s">
        <v>1514</v>
      </c>
      <c r="G173" s="95" t="s">
        <v>24</v>
      </c>
      <c r="H173" s="310" t="s">
        <v>129</v>
      </c>
      <c r="I173" s="334"/>
      <c r="J173" s="283"/>
      <c r="K173" s="294">
        <f t="shared" si="321"/>
        <v>0.53711200000000003</v>
      </c>
      <c r="L173" s="183">
        <f t="shared" si="322"/>
        <v>0</v>
      </c>
      <c r="M173" s="94">
        <f t="shared" si="323"/>
        <v>0</v>
      </c>
      <c r="N173" s="94">
        <f t="shared" si="324"/>
        <v>0.611043</v>
      </c>
      <c r="O173" s="94">
        <f t="shared" si="311"/>
        <v>0.611043</v>
      </c>
      <c r="P173" s="94">
        <f t="shared" si="325"/>
        <v>0.53711200000000003</v>
      </c>
      <c r="Q173" s="94">
        <f t="shared" si="319"/>
        <v>0</v>
      </c>
      <c r="R173" s="94">
        <f t="shared" si="326"/>
        <v>0</v>
      </c>
      <c r="S173" s="94">
        <f t="shared" si="320"/>
        <v>0</v>
      </c>
      <c r="T173" s="94">
        <f t="shared" si="327"/>
        <v>0</v>
      </c>
      <c r="U173" s="402">
        <f t="shared" si="328"/>
        <v>0</v>
      </c>
      <c r="V173" s="893">
        <v>0</v>
      </c>
      <c r="W173" s="387">
        <v>0</v>
      </c>
      <c r="X173" s="910">
        <f>-0.2065-0.404543</f>
        <v>-0.611043</v>
      </c>
      <c r="Y173" s="915">
        <v>0</v>
      </c>
      <c r="Z173" s="367">
        <v>-0.20649999999999999</v>
      </c>
      <c r="AA173" s="468">
        <v>-0.20649999999999999</v>
      </c>
      <c r="AB173" s="207">
        <f>-0.537112</f>
        <v>-0.53711200000000003</v>
      </c>
      <c r="AC173" s="207">
        <f>0</f>
        <v>0</v>
      </c>
      <c r="AD173" s="367">
        <f>0</f>
        <v>0</v>
      </c>
      <c r="AE173" s="468">
        <f>0</f>
        <v>0</v>
      </c>
      <c r="AF173" s="468">
        <f>0</f>
        <v>0</v>
      </c>
      <c r="AG173" s="468">
        <f>0</f>
        <v>0</v>
      </c>
      <c r="AH173" s="468">
        <f>0</f>
        <v>0</v>
      </c>
      <c r="AI173" s="387">
        <v>0</v>
      </c>
      <c r="AJ173" s="207">
        <v>0</v>
      </c>
      <c r="AK173" s="367">
        <v>0</v>
      </c>
      <c r="AL173" s="367">
        <v>0</v>
      </c>
      <c r="AM173" s="367">
        <v>0</v>
      </c>
      <c r="AN173" s="367">
        <v>0</v>
      </c>
      <c r="AO173" s="295">
        <v>0</v>
      </c>
      <c r="AP173" s="295">
        <v>0</v>
      </c>
      <c r="AQ173" s="295">
        <v>0</v>
      </c>
      <c r="AR173" s="387">
        <v>0</v>
      </c>
      <c r="AS173" s="896">
        <f t="shared" si="329"/>
        <v>0</v>
      </c>
      <c r="AT173" s="417" t="s">
        <v>1787</v>
      </c>
    </row>
    <row r="174" spans="1:48" s="1" customFormat="1" ht="56.25" hidden="1" customHeight="1" outlineLevel="1" x14ac:dyDescent="0.35">
      <c r="A174" s="590">
        <v>66</v>
      </c>
      <c r="B174" s="612" t="s">
        <v>69</v>
      </c>
      <c r="C174" s="607" t="s">
        <v>1734</v>
      </c>
      <c r="D174" s="63">
        <v>44391</v>
      </c>
      <c r="E174" s="432" t="s">
        <v>1643</v>
      </c>
      <c r="F174" s="480" t="s">
        <v>1519</v>
      </c>
      <c r="G174" s="95" t="s">
        <v>24</v>
      </c>
      <c r="H174" s="310" t="s">
        <v>129</v>
      </c>
      <c r="I174" s="334"/>
      <c r="J174" s="283"/>
      <c r="K174" s="294">
        <f t="shared" si="321"/>
        <v>6.3850000000000004E-2</v>
      </c>
      <c r="L174" s="183">
        <f t="shared" si="322"/>
        <v>0</v>
      </c>
      <c r="M174" s="94">
        <f t="shared" si="323"/>
        <v>0</v>
      </c>
      <c r="N174" s="94">
        <f t="shared" si="324"/>
        <v>0.20600399999999999</v>
      </c>
      <c r="O174" s="94">
        <f t="shared" si="311"/>
        <v>0.20600399999999999</v>
      </c>
      <c r="P174" s="94">
        <f t="shared" si="325"/>
        <v>6.3850000000000004E-2</v>
      </c>
      <c r="Q174" s="94">
        <f t="shared" si="319"/>
        <v>0</v>
      </c>
      <c r="R174" s="94">
        <f t="shared" si="326"/>
        <v>0</v>
      </c>
      <c r="S174" s="94">
        <f t="shared" si="320"/>
        <v>0</v>
      </c>
      <c r="T174" s="94">
        <f t="shared" si="327"/>
        <v>0</v>
      </c>
      <c r="U174" s="402">
        <f t="shared" si="328"/>
        <v>0</v>
      </c>
      <c r="V174" s="893">
        <v>0</v>
      </c>
      <c r="W174" s="387">
        <v>0</v>
      </c>
      <c r="X174" s="910">
        <f>-0.206004</f>
        <v>-0.20600399999999999</v>
      </c>
      <c r="Y174" s="915">
        <v>0</v>
      </c>
      <c r="Z174" s="367">
        <v>-0.20600399999999999</v>
      </c>
      <c r="AA174" s="468">
        <v>-0.20600399999999999</v>
      </c>
      <c r="AB174" s="207">
        <f>-0.06385</f>
        <v>-6.3850000000000004E-2</v>
      </c>
      <c r="AC174" s="207">
        <f>0</f>
        <v>0</v>
      </c>
      <c r="AD174" s="367">
        <f>0</f>
        <v>0</v>
      </c>
      <c r="AE174" s="468">
        <f>0</f>
        <v>0</v>
      </c>
      <c r="AF174" s="468">
        <f>0</f>
        <v>0</v>
      </c>
      <c r="AG174" s="468">
        <f>0</f>
        <v>0</v>
      </c>
      <c r="AH174" s="468">
        <f>0</f>
        <v>0</v>
      </c>
      <c r="AI174" s="387">
        <v>0</v>
      </c>
      <c r="AJ174" s="207">
        <v>0</v>
      </c>
      <c r="AK174" s="367">
        <v>0</v>
      </c>
      <c r="AL174" s="367">
        <v>0</v>
      </c>
      <c r="AM174" s="367">
        <v>0</v>
      </c>
      <c r="AN174" s="367">
        <v>0</v>
      </c>
      <c r="AO174" s="295">
        <v>0</v>
      </c>
      <c r="AP174" s="295">
        <v>0</v>
      </c>
      <c r="AQ174" s="295">
        <v>0</v>
      </c>
      <c r="AR174" s="387">
        <v>0</v>
      </c>
      <c r="AS174" s="896">
        <f t="shared" si="329"/>
        <v>0</v>
      </c>
      <c r="AT174" s="417" t="s">
        <v>1517</v>
      </c>
    </row>
    <row r="175" spans="1:48" s="1" customFormat="1" ht="62.25" hidden="1" customHeight="1" outlineLevel="1" x14ac:dyDescent="0.35">
      <c r="A175" s="590">
        <v>67</v>
      </c>
      <c r="B175" s="612" t="s">
        <v>69</v>
      </c>
      <c r="C175" s="607" t="s">
        <v>700</v>
      </c>
      <c r="D175" s="275">
        <v>44391</v>
      </c>
      <c r="E175" s="443" t="s">
        <v>1542</v>
      </c>
      <c r="F175" s="480" t="s">
        <v>1522</v>
      </c>
      <c r="G175" s="95" t="s">
        <v>24</v>
      </c>
      <c r="H175" s="310" t="s">
        <v>129</v>
      </c>
      <c r="I175" s="334"/>
      <c r="J175" s="283"/>
      <c r="K175" s="294">
        <f t="shared" si="321"/>
        <v>2.8501080000000001</v>
      </c>
      <c r="L175" s="183">
        <f t="shared" si="322"/>
        <v>0</v>
      </c>
      <c r="M175" s="94">
        <f t="shared" si="323"/>
        <v>0</v>
      </c>
      <c r="N175" s="94">
        <f t="shared" si="324"/>
        <v>0</v>
      </c>
      <c r="O175" s="94">
        <f t="shared" si="311"/>
        <v>0</v>
      </c>
      <c r="P175" s="94">
        <f t="shared" si="325"/>
        <v>0</v>
      </c>
      <c r="Q175" s="94">
        <f t="shared" si="319"/>
        <v>2.8501080000000001</v>
      </c>
      <c r="R175" s="94">
        <f t="shared" si="326"/>
        <v>2.8501080000000001</v>
      </c>
      <c r="S175" s="94">
        <f t="shared" si="320"/>
        <v>0</v>
      </c>
      <c r="T175" s="94">
        <f t="shared" si="327"/>
        <v>0</v>
      </c>
      <c r="U175" s="402">
        <f t="shared" si="328"/>
        <v>0</v>
      </c>
      <c r="V175" s="893">
        <v>0</v>
      </c>
      <c r="W175" s="387">
        <v>0</v>
      </c>
      <c r="X175" s="910">
        <f>0</f>
        <v>0</v>
      </c>
      <c r="Y175" s="915">
        <v>0</v>
      </c>
      <c r="Z175" s="367">
        <v>0</v>
      </c>
      <c r="AA175" s="468">
        <v>0</v>
      </c>
      <c r="AB175" s="207">
        <v>0</v>
      </c>
      <c r="AC175" s="207">
        <f t="shared" ref="AC175:AH175" si="331">-2.850108</f>
        <v>-2.8501080000000001</v>
      </c>
      <c r="AD175" s="367">
        <f t="shared" si="331"/>
        <v>-2.8501080000000001</v>
      </c>
      <c r="AE175" s="468">
        <f t="shared" si="331"/>
        <v>-2.8501080000000001</v>
      </c>
      <c r="AF175" s="468">
        <f t="shared" si="331"/>
        <v>-2.8501080000000001</v>
      </c>
      <c r="AG175" s="468">
        <f t="shared" si="331"/>
        <v>-2.8501080000000001</v>
      </c>
      <c r="AH175" s="468">
        <f t="shared" si="331"/>
        <v>-2.8501080000000001</v>
      </c>
      <c r="AI175" s="387">
        <v>0</v>
      </c>
      <c r="AJ175" s="207">
        <v>0</v>
      </c>
      <c r="AK175" s="367">
        <v>0</v>
      </c>
      <c r="AL175" s="367">
        <v>0</v>
      </c>
      <c r="AM175" s="367">
        <v>0</v>
      </c>
      <c r="AN175" s="367">
        <v>0</v>
      </c>
      <c r="AO175" s="295">
        <v>0</v>
      </c>
      <c r="AP175" s="295">
        <v>0</v>
      </c>
      <c r="AQ175" s="295">
        <v>0</v>
      </c>
      <c r="AR175" s="387">
        <v>0</v>
      </c>
      <c r="AS175" s="896">
        <f t="shared" si="329"/>
        <v>0</v>
      </c>
      <c r="AT175" s="417" t="s">
        <v>1540</v>
      </c>
    </row>
    <row r="176" spans="1:48" s="1" customFormat="1" ht="56.25" hidden="1" customHeight="1" outlineLevel="1" x14ac:dyDescent="0.35">
      <c r="A176" s="590">
        <v>68</v>
      </c>
      <c r="B176" s="612" t="s">
        <v>69</v>
      </c>
      <c r="C176" s="607" t="s">
        <v>1733</v>
      </c>
      <c r="D176" s="63">
        <v>44383</v>
      </c>
      <c r="E176" s="432" t="s">
        <v>1526</v>
      </c>
      <c r="F176" s="480" t="s">
        <v>1525</v>
      </c>
      <c r="G176" s="95" t="s">
        <v>24</v>
      </c>
      <c r="H176" s="310" t="s">
        <v>129</v>
      </c>
      <c r="I176" s="334"/>
      <c r="J176" s="283"/>
      <c r="K176" s="294">
        <f t="shared" si="321"/>
        <v>3.6738220000000004</v>
      </c>
      <c r="L176" s="183">
        <f t="shared" si="322"/>
        <v>0</v>
      </c>
      <c r="M176" s="94">
        <f t="shared" si="323"/>
        <v>0</v>
      </c>
      <c r="N176" s="94">
        <f>-X176</f>
        <v>3.6738219999999999</v>
      </c>
      <c r="O176" s="94">
        <f t="shared" si="311"/>
        <v>3.6738219999999999</v>
      </c>
      <c r="P176" s="94">
        <f t="shared" si="325"/>
        <v>3.6738220000000004</v>
      </c>
      <c r="Q176" s="94">
        <f t="shared" si="319"/>
        <v>0</v>
      </c>
      <c r="R176" s="94">
        <f t="shared" si="326"/>
        <v>0</v>
      </c>
      <c r="S176" s="94">
        <f t="shared" si="320"/>
        <v>0</v>
      </c>
      <c r="T176" s="94">
        <f t="shared" si="327"/>
        <v>0</v>
      </c>
      <c r="U176" s="402">
        <f t="shared" si="328"/>
        <v>0</v>
      </c>
      <c r="V176" s="893">
        <v>0</v>
      </c>
      <c r="W176" s="387">
        <v>0</v>
      </c>
      <c r="X176" s="910">
        <f>-3.673822</f>
        <v>-3.6738219999999999</v>
      </c>
      <c r="Y176" s="915">
        <v>0</v>
      </c>
      <c r="Z176" s="367">
        <v>-3.6738219999999999</v>
      </c>
      <c r="AA176" s="468">
        <v>-3.6738219999999999</v>
      </c>
      <c r="AB176" s="207">
        <f>-0.153589-3.520233</f>
        <v>-3.6738220000000004</v>
      </c>
      <c r="AC176" s="207">
        <f>0</f>
        <v>0</v>
      </c>
      <c r="AD176" s="367">
        <f>0</f>
        <v>0</v>
      </c>
      <c r="AE176" s="468">
        <f>0</f>
        <v>0</v>
      </c>
      <c r="AF176" s="468">
        <f>0</f>
        <v>0</v>
      </c>
      <c r="AG176" s="468">
        <f>0</f>
        <v>0</v>
      </c>
      <c r="AH176" s="468">
        <f>0</f>
        <v>0</v>
      </c>
      <c r="AI176" s="387">
        <v>0</v>
      </c>
      <c r="AJ176" s="207">
        <v>0</v>
      </c>
      <c r="AK176" s="367">
        <v>0</v>
      </c>
      <c r="AL176" s="367">
        <v>0</v>
      </c>
      <c r="AM176" s="367">
        <v>0</v>
      </c>
      <c r="AN176" s="367">
        <v>0</v>
      </c>
      <c r="AO176" s="295">
        <v>0</v>
      </c>
      <c r="AP176" s="295">
        <v>0</v>
      </c>
      <c r="AQ176" s="295">
        <v>0</v>
      </c>
      <c r="AR176" s="387">
        <v>0</v>
      </c>
      <c r="AS176" s="896">
        <f t="shared" si="329"/>
        <v>0</v>
      </c>
      <c r="AT176" s="417" t="s">
        <v>1524</v>
      </c>
      <c r="AV176" s="566"/>
    </row>
    <row r="177" spans="1:48" s="1" customFormat="1" ht="56.25" hidden="1" customHeight="1" outlineLevel="1" x14ac:dyDescent="0.35">
      <c r="A177" s="590">
        <v>69</v>
      </c>
      <c r="B177" s="612" t="s">
        <v>69</v>
      </c>
      <c r="C177" s="607" t="s">
        <v>1733</v>
      </c>
      <c r="D177" s="63">
        <v>44382</v>
      </c>
      <c r="E177" s="432" t="s">
        <v>1527</v>
      </c>
      <c r="F177" s="480" t="s">
        <v>1525</v>
      </c>
      <c r="G177" s="95" t="s">
        <v>24</v>
      </c>
      <c r="H177" s="310" t="s">
        <v>129</v>
      </c>
      <c r="I177" s="334"/>
      <c r="J177" s="283"/>
      <c r="K177" s="294">
        <f t="shared" si="321"/>
        <v>3.1238090000000001</v>
      </c>
      <c r="L177" s="183">
        <f t="shared" si="322"/>
        <v>0</v>
      </c>
      <c r="M177" s="94">
        <f t="shared" si="323"/>
        <v>0</v>
      </c>
      <c r="N177" s="94">
        <f t="shared" ref="N177:N197" si="332">-X177</f>
        <v>3.1238090000000001</v>
      </c>
      <c r="O177" s="94">
        <f t="shared" si="311"/>
        <v>3.1238090000000001</v>
      </c>
      <c r="P177" s="94">
        <f t="shared" si="325"/>
        <v>3.1238090000000001</v>
      </c>
      <c r="Q177" s="94">
        <f t="shared" si="319"/>
        <v>0</v>
      </c>
      <c r="R177" s="94">
        <f t="shared" ref="R177:R197" si="333">-AC177</f>
        <v>0</v>
      </c>
      <c r="S177" s="94">
        <f t="shared" si="320"/>
        <v>0</v>
      </c>
      <c r="T177" s="94">
        <f t="shared" ref="T177:T197" si="334">-AJ177</f>
        <v>0</v>
      </c>
      <c r="U177" s="402">
        <f t="shared" ref="U177:U197" si="335">-AQ177</f>
        <v>0</v>
      </c>
      <c r="V177" s="893">
        <v>0</v>
      </c>
      <c r="W177" s="387">
        <v>0</v>
      </c>
      <c r="X177" s="910">
        <f>-3.123809</f>
        <v>-3.1238090000000001</v>
      </c>
      <c r="Y177" s="915">
        <v>0</v>
      </c>
      <c r="Z177" s="367">
        <v>-3.1238090000000001</v>
      </c>
      <c r="AA177" s="468">
        <v>-3.1238090000000001</v>
      </c>
      <c r="AB177" s="207">
        <f>-0.118822-3.004987</f>
        <v>-3.1238090000000001</v>
      </c>
      <c r="AC177" s="207">
        <f>0</f>
        <v>0</v>
      </c>
      <c r="AD177" s="367">
        <f>0</f>
        <v>0</v>
      </c>
      <c r="AE177" s="468">
        <f>0</f>
        <v>0</v>
      </c>
      <c r="AF177" s="468">
        <f>0</f>
        <v>0</v>
      </c>
      <c r="AG177" s="468">
        <f>0</f>
        <v>0</v>
      </c>
      <c r="AH177" s="468">
        <f>0</f>
        <v>0</v>
      </c>
      <c r="AI177" s="387">
        <v>0</v>
      </c>
      <c r="AJ177" s="207">
        <v>0</v>
      </c>
      <c r="AK177" s="367">
        <v>0</v>
      </c>
      <c r="AL177" s="367">
        <v>0</v>
      </c>
      <c r="AM177" s="367">
        <v>0</v>
      </c>
      <c r="AN177" s="367">
        <v>0</v>
      </c>
      <c r="AO177" s="295">
        <v>0</v>
      </c>
      <c r="AP177" s="295">
        <v>0</v>
      </c>
      <c r="AQ177" s="295">
        <v>0</v>
      </c>
      <c r="AR177" s="387">
        <v>0</v>
      </c>
      <c r="AS177" s="896">
        <f t="shared" si="329"/>
        <v>0</v>
      </c>
      <c r="AT177" s="417" t="s">
        <v>1528</v>
      </c>
      <c r="AV177" s="566"/>
    </row>
    <row r="178" spans="1:48" s="1" customFormat="1" ht="56.25" hidden="1" customHeight="1" outlineLevel="1" x14ac:dyDescent="0.35">
      <c r="A178" s="590">
        <v>70</v>
      </c>
      <c r="B178" s="612" t="s">
        <v>69</v>
      </c>
      <c r="C178" s="607" t="s">
        <v>700</v>
      </c>
      <c r="D178" s="275" t="s">
        <v>1636</v>
      </c>
      <c r="E178" s="443" t="s">
        <v>1542</v>
      </c>
      <c r="F178" s="480" t="s">
        <v>1543</v>
      </c>
      <c r="G178" s="95" t="s">
        <v>24</v>
      </c>
      <c r="H178" s="310" t="s">
        <v>129</v>
      </c>
      <c r="I178" s="334"/>
      <c r="J178" s="283"/>
      <c r="K178" s="294">
        <f t="shared" si="321"/>
        <v>9.9263460000000006</v>
      </c>
      <c r="L178" s="183">
        <f t="shared" si="322"/>
        <v>0</v>
      </c>
      <c r="M178" s="94">
        <f t="shared" si="323"/>
        <v>0</v>
      </c>
      <c r="N178" s="94">
        <f t="shared" si="332"/>
        <v>0</v>
      </c>
      <c r="O178" s="94">
        <f t="shared" si="311"/>
        <v>0</v>
      </c>
      <c r="P178" s="94">
        <f t="shared" si="325"/>
        <v>0</v>
      </c>
      <c r="Q178" s="94">
        <f t="shared" si="319"/>
        <v>9.9263460000000006</v>
      </c>
      <c r="R178" s="94">
        <f t="shared" si="333"/>
        <v>9.9263460000000006</v>
      </c>
      <c r="S178" s="94">
        <f t="shared" si="320"/>
        <v>0</v>
      </c>
      <c r="T178" s="94">
        <f t="shared" si="334"/>
        <v>0</v>
      </c>
      <c r="U178" s="402">
        <f t="shared" si="335"/>
        <v>0</v>
      </c>
      <c r="V178" s="893">
        <v>0</v>
      </c>
      <c r="W178" s="387">
        <v>0</v>
      </c>
      <c r="X178" s="910">
        <f>0</f>
        <v>0</v>
      </c>
      <c r="Y178" s="915">
        <v>0</v>
      </c>
      <c r="Z178" s="367">
        <v>0</v>
      </c>
      <c r="AA178" s="468">
        <v>0</v>
      </c>
      <c r="AB178" s="207">
        <v>0</v>
      </c>
      <c r="AC178" s="207">
        <f>-9.926346</f>
        <v>-9.9263460000000006</v>
      </c>
      <c r="AD178" s="367">
        <f>-10.158374-1.795667</f>
        <v>-11.954041</v>
      </c>
      <c r="AE178" s="468">
        <f>-9.926346</f>
        <v>-9.9263460000000006</v>
      </c>
      <c r="AF178" s="468">
        <f>-9.926346</f>
        <v>-9.9263460000000006</v>
      </c>
      <c r="AG178" s="468">
        <f>-9.926346</f>
        <v>-9.9263460000000006</v>
      </c>
      <c r="AH178" s="468">
        <f>-9.926346</f>
        <v>-9.9263460000000006</v>
      </c>
      <c r="AI178" s="387">
        <v>0</v>
      </c>
      <c r="AJ178" s="207">
        <v>0</v>
      </c>
      <c r="AK178" s="367">
        <v>0</v>
      </c>
      <c r="AL178" s="367">
        <v>0</v>
      </c>
      <c r="AM178" s="367">
        <v>0</v>
      </c>
      <c r="AN178" s="367">
        <v>0</v>
      </c>
      <c r="AO178" s="295">
        <v>0</v>
      </c>
      <c r="AP178" s="295">
        <v>0</v>
      </c>
      <c r="AQ178" s="295">
        <v>0</v>
      </c>
      <c r="AR178" s="387">
        <v>0</v>
      </c>
      <c r="AS178" s="896">
        <f t="shared" si="329"/>
        <v>0</v>
      </c>
      <c r="AT178" s="417" t="s">
        <v>1660</v>
      </c>
    </row>
    <row r="179" spans="1:48" s="1" customFormat="1" ht="56.25" hidden="1" customHeight="1" outlineLevel="1" x14ac:dyDescent="0.35">
      <c r="A179" s="590">
        <v>71</v>
      </c>
      <c r="B179" s="612" t="s">
        <v>69</v>
      </c>
      <c r="C179" s="607" t="s">
        <v>1734</v>
      </c>
      <c r="D179" s="63">
        <v>44407</v>
      </c>
      <c r="E179" s="432" t="s">
        <v>1549</v>
      </c>
      <c r="F179" s="480" t="s">
        <v>1548</v>
      </c>
      <c r="G179" s="95" t="s">
        <v>24</v>
      </c>
      <c r="H179" s="310" t="s">
        <v>129</v>
      </c>
      <c r="I179" s="334"/>
      <c r="J179" s="283"/>
      <c r="K179" s="294">
        <f t="shared" si="321"/>
        <v>0</v>
      </c>
      <c r="L179" s="183">
        <f t="shared" si="322"/>
        <v>0</v>
      </c>
      <c r="M179" s="94">
        <f t="shared" si="323"/>
        <v>0</v>
      </c>
      <c r="N179" s="94">
        <f t="shared" si="332"/>
        <v>0</v>
      </c>
      <c r="O179" s="94">
        <f t="shared" si="311"/>
        <v>0</v>
      </c>
      <c r="P179" s="94">
        <f t="shared" si="325"/>
        <v>0</v>
      </c>
      <c r="Q179" s="94">
        <f t="shared" si="319"/>
        <v>0</v>
      </c>
      <c r="R179" s="94">
        <f t="shared" si="333"/>
        <v>0</v>
      </c>
      <c r="S179" s="94">
        <f t="shared" si="320"/>
        <v>0</v>
      </c>
      <c r="T179" s="94">
        <f t="shared" si="334"/>
        <v>0</v>
      </c>
      <c r="U179" s="402">
        <f t="shared" si="335"/>
        <v>0</v>
      </c>
      <c r="V179" s="893">
        <v>0</v>
      </c>
      <c r="W179" s="387">
        <v>0</v>
      </c>
      <c r="X179" s="910">
        <f>0</f>
        <v>0</v>
      </c>
      <c r="Y179" s="915">
        <v>0</v>
      </c>
      <c r="Z179" s="367">
        <v>0</v>
      </c>
      <c r="AA179" s="468">
        <v>0</v>
      </c>
      <c r="AB179" s="207">
        <v>0</v>
      </c>
      <c r="AC179" s="207">
        <v>0</v>
      </c>
      <c r="AD179" s="367">
        <v>0</v>
      </c>
      <c r="AE179" s="468">
        <v>0</v>
      </c>
      <c r="AF179" s="468">
        <v>0</v>
      </c>
      <c r="AG179" s="468">
        <v>0</v>
      </c>
      <c r="AH179" s="468">
        <v>0</v>
      </c>
      <c r="AI179" s="387">
        <v>0</v>
      </c>
      <c r="AJ179" s="207">
        <v>0</v>
      </c>
      <c r="AK179" s="367">
        <v>0</v>
      </c>
      <c r="AL179" s="367">
        <v>0</v>
      </c>
      <c r="AM179" s="367">
        <v>0</v>
      </c>
      <c r="AN179" s="367">
        <v>0</v>
      </c>
      <c r="AO179" s="295">
        <v>0</v>
      </c>
      <c r="AP179" s="295">
        <v>0</v>
      </c>
      <c r="AQ179" s="295">
        <v>0</v>
      </c>
      <c r="AR179" s="387">
        <v>0</v>
      </c>
      <c r="AS179" s="896">
        <f t="shared" si="329"/>
        <v>0</v>
      </c>
      <c r="AT179" s="418" t="s">
        <v>1600</v>
      </c>
    </row>
    <row r="180" spans="1:48" s="1" customFormat="1" ht="56.25" hidden="1" customHeight="1" outlineLevel="1" x14ac:dyDescent="0.35">
      <c r="A180" s="590">
        <v>72</v>
      </c>
      <c r="B180" s="612" t="s">
        <v>69</v>
      </c>
      <c r="C180" s="607" t="s">
        <v>1734</v>
      </c>
      <c r="D180" s="63">
        <v>44418</v>
      </c>
      <c r="E180" s="432" t="s">
        <v>1560</v>
      </c>
      <c r="F180" s="480" t="s">
        <v>1561</v>
      </c>
      <c r="G180" s="95" t="s">
        <v>216</v>
      </c>
      <c r="H180" s="310" t="s">
        <v>129</v>
      </c>
      <c r="I180" s="334"/>
      <c r="J180" s="283"/>
      <c r="K180" s="294">
        <v>3.3736000000000002E-2</v>
      </c>
      <c r="L180" s="183">
        <v>0</v>
      </c>
      <c r="M180" s="94">
        <v>0</v>
      </c>
      <c r="N180" s="94">
        <v>3.3736000000000002E-2</v>
      </c>
      <c r="O180" s="94">
        <v>3.3736000000000002E-2</v>
      </c>
      <c r="P180" s="94">
        <v>3.3736000000000002E-2</v>
      </c>
      <c r="Q180" s="94">
        <v>0</v>
      </c>
      <c r="R180" s="94">
        <v>0</v>
      </c>
      <c r="S180" s="94">
        <f t="shared" si="320"/>
        <v>0</v>
      </c>
      <c r="T180" s="94">
        <v>0</v>
      </c>
      <c r="U180" s="402">
        <v>0</v>
      </c>
      <c r="V180" s="893">
        <v>0</v>
      </c>
      <c r="W180" s="387">
        <v>0</v>
      </c>
      <c r="X180" s="910">
        <v>-3.3736000000000002E-2</v>
      </c>
      <c r="Y180" s="915">
        <v>0</v>
      </c>
      <c r="Z180" s="367">
        <v>0</v>
      </c>
      <c r="AA180" s="468">
        <v>0</v>
      </c>
      <c r="AB180" s="207">
        <v>-3.3736000000000002E-2</v>
      </c>
      <c r="AC180" s="207">
        <v>0</v>
      </c>
      <c r="AD180" s="367">
        <v>0</v>
      </c>
      <c r="AE180" s="468">
        <v>0</v>
      </c>
      <c r="AF180" s="468">
        <v>0</v>
      </c>
      <c r="AG180" s="468">
        <v>0</v>
      </c>
      <c r="AH180" s="468">
        <v>0</v>
      </c>
      <c r="AI180" s="387">
        <v>0</v>
      </c>
      <c r="AJ180" s="207">
        <v>0</v>
      </c>
      <c r="AK180" s="367">
        <v>0</v>
      </c>
      <c r="AL180" s="367">
        <v>0</v>
      </c>
      <c r="AM180" s="367">
        <v>0</v>
      </c>
      <c r="AN180" s="367">
        <v>0</v>
      </c>
      <c r="AO180" s="295">
        <v>0</v>
      </c>
      <c r="AP180" s="295">
        <v>0</v>
      </c>
      <c r="AQ180" s="295">
        <v>0</v>
      </c>
      <c r="AR180" s="387">
        <v>0</v>
      </c>
      <c r="AS180" s="896">
        <v>0</v>
      </c>
      <c r="AT180" s="418" t="s">
        <v>1562</v>
      </c>
    </row>
    <row r="181" spans="1:48" s="1" customFormat="1" ht="56.25" hidden="1" customHeight="1" outlineLevel="1" x14ac:dyDescent="0.35">
      <c r="A181" s="590">
        <v>72</v>
      </c>
      <c r="B181" s="612" t="s">
        <v>69</v>
      </c>
      <c r="C181" s="607" t="s">
        <v>1734</v>
      </c>
      <c r="D181" s="63">
        <v>44601</v>
      </c>
      <c r="E181" s="432" t="s">
        <v>1973</v>
      </c>
      <c r="F181" s="480" t="s">
        <v>1561</v>
      </c>
      <c r="G181" s="95" t="s">
        <v>216</v>
      </c>
      <c r="H181" s="310" t="s">
        <v>129</v>
      </c>
      <c r="I181" s="334"/>
      <c r="J181" s="283"/>
      <c r="K181" s="294">
        <f t="shared" si="321"/>
        <v>7.6007999999999992E-2</v>
      </c>
      <c r="L181" s="183">
        <f t="shared" si="322"/>
        <v>0</v>
      </c>
      <c r="M181" s="94">
        <f t="shared" si="323"/>
        <v>0</v>
      </c>
      <c r="N181" s="94">
        <f t="shared" si="332"/>
        <v>3.3736000000000002E-2</v>
      </c>
      <c r="O181" s="94">
        <f t="shared" si="311"/>
        <v>3.3736000000000002E-2</v>
      </c>
      <c r="P181" s="94">
        <f t="shared" si="325"/>
        <v>3.3736000000000002E-2</v>
      </c>
      <c r="Q181" s="94">
        <f t="shared" ref="Q181:Q197" si="336">-AC181</f>
        <v>4.2271999999999997E-2</v>
      </c>
      <c r="R181" s="94">
        <f t="shared" si="333"/>
        <v>4.2271999999999997E-2</v>
      </c>
      <c r="S181" s="94">
        <f t="shared" si="320"/>
        <v>4.1739999999999999E-2</v>
      </c>
      <c r="T181" s="94">
        <f t="shared" si="334"/>
        <v>0</v>
      </c>
      <c r="U181" s="402">
        <f t="shared" si="335"/>
        <v>0</v>
      </c>
      <c r="V181" s="893">
        <v>0</v>
      </c>
      <c r="W181" s="387">
        <v>0</v>
      </c>
      <c r="X181" s="910">
        <f>-0.033736</f>
        <v>-3.3736000000000002E-2</v>
      </c>
      <c r="Y181" s="915">
        <v>0</v>
      </c>
      <c r="Z181" s="367">
        <v>0</v>
      </c>
      <c r="AA181" s="468">
        <v>0</v>
      </c>
      <c r="AB181" s="207">
        <f>-0.033736</f>
        <v>-3.3736000000000002E-2</v>
      </c>
      <c r="AC181" s="207">
        <v>-4.2271999999999997E-2</v>
      </c>
      <c r="AD181" s="367">
        <v>0</v>
      </c>
      <c r="AE181" s="468">
        <v>0</v>
      </c>
      <c r="AF181" s="468">
        <v>-4.2271999999999997E-2</v>
      </c>
      <c r="AG181" s="468">
        <v>-4.2271999999999997E-2</v>
      </c>
      <c r="AH181" s="468">
        <v>-4.2271999999999997E-2</v>
      </c>
      <c r="AI181" s="623">
        <f>-0.04174</f>
        <v>-4.1739999999999999E-2</v>
      </c>
      <c r="AJ181" s="207">
        <v>0</v>
      </c>
      <c r="AK181" s="367">
        <v>0</v>
      </c>
      <c r="AL181" s="367">
        <v>0</v>
      </c>
      <c r="AM181" s="367">
        <v>0</v>
      </c>
      <c r="AN181" s="367">
        <v>0</v>
      </c>
      <c r="AO181" s="295">
        <v>0</v>
      </c>
      <c r="AP181" s="295">
        <v>0</v>
      </c>
      <c r="AQ181" s="295">
        <v>0</v>
      </c>
      <c r="AR181" s="623">
        <v>0</v>
      </c>
      <c r="AS181" s="896">
        <f t="shared" si="329"/>
        <v>0</v>
      </c>
      <c r="AT181" s="418" t="s">
        <v>1972</v>
      </c>
    </row>
    <row r="182" spans="1:48" s="1" customFormat="1" ht="56.25" hidden="1" customHeight="1" outlineLevel="1" x14ac:dyDescent="0.35">
      <c r="A182" s="590">
        <v>73</v>
      </c>
      <c r="B182" s="612" t="s">
        <v>69</v>
      </c>
      <c r="C182" s="607" t="s">
        <v>700</v>
      </c>
      <c r="D182" s="63" t="s">
        <v>1821</v>
      </c>
      <c r="E182" s="432" t="s">
        <v>1647</v>
      </c>
      <c r="F182" s="480" t="s">
        <v>1568</v>
      </c>
      <c r="G182" s="95" t="s">
        <v>24</v>
      </c>
      <c r="H182" s="310" t="s">
        <v>129</v>
      </c>
      <c r="I182" s="334"/>
      <c r="J182" s="283"/>
      <c r="K182" s="294">
        <f t="shared" si="321"/>
        <v>1.602447</v>
      </c>
      <c r="L182" s="183">
        <f t="shared" si="322"/>
        <v>0</v>
      </c>
      <c r="M182" s="94">
        <f t="shared" si="323"/>
        <v>0</v>
      </c>
      <c r="N182" s="94">
        <f t="shared" si="332"/>
        <v>1.3208680000000002</v>
      </c>
      <c r="O182" s="94">
        <f t="shared" si="311"/>
        <v>1.3208680000000002</v>
      </c>
      <c r="P182" s="94">
        <f t="shared" si="325"/>
        <v>1.602447</v>
      </c>
      <c r="Q182" s="94">
        <f t="shared" si="336"/>
        <v>0</v>
      </c>
      <c r="R182" s="94">
        <f t="shared" si="333"/>
        <v>0</v>
      </c>
      <c r="S182" s="94">
        <f t="shared" si="320"/>
        <v>0</v>
      </c>
      <c r="T182" s="94">
        <f t="shared" si="334"/>
        <v>0</v>
      </c>
      <c r="U182" s="402">
        <f t="shared" si="335"/>
        <v>0</v>
      </c>
      <c r="V182" s="893">
        <v>0</v>
      </c>
      <c r="W182" s="387">
        <v>0</v>
      </c>
      <c r="X182" s="919">
        <f>-1.407423+0.086555</f>
        <v>-1.3208680000000002</v>
      </c>
      <c r="Y182" s="915">
        <v>0</v>
      </c>
      <c r="Z182" s="367">
        <v>0</v>
      </c>
      <c r="AA182" s="468">
        <v>0</v>
      </c>
      <c r="AB182" s="207">
        <v>-1.602447</v>
      </c>
      <c r="AC182" s="207">
        <v>0</v>
      </c>
      <c r="AD182" s="367">
        <v>0</v>
      </c>
      <c r="AE182" s="468">
        <v>0</v>
      </c>
      <c r="AF182" s="468">
        <v>0</v>
      </c>
      <c r="AG182" s="468">
        <v>0</v>
      </c>
      <c r="AH182" s="468">
        <v>0</v>
      </c>
      <c r="AI182" s="387">
        <v>0</v>
      </c>
      <c r="AJ182" s="207">
        <v>0</v>
      </c>
      <c r="AK182" s="367">
        <v>0</v>
      </c>
      <c r="AL182" s="367">
        <v>0</v>
      </c>
      <c r="AM182" s="367">
        <v>0</v>
      </c>
      <c r="AN182" s="367">
        <v>0</v>
      </c>
      <c r="AO182" s="295">
        <v>0</v>
      </c>
      <c r="AP182" s="295">
        <v>0</v>
      </c>
      <c r="AQ182" s="295">
        <v>0</v>
      </c>
      <c r="AR182" s="387">
        <v>0</v>
      </c>
      <c r="AS182" s="896">
        <f t="shared" si="329"/>
        <v>0</v>
      </c>
      <c r="AT182" s="418" t="s">
        <v>1820</v>
      </c>
    </row>
    <row r="183" spans="1:48" s="1" customFormat="1" ht="56.25" hidden="1" customHeight="1" outlineLevel="1" x14ac:dyDescent="0.35">
      <c r="A183" s="590">
        <v>74</v>
      </c>
      <c r="B183" s="612" t="s">
        <v>69</v>
      </c>
      <c r="C183" s="607" t="s">
        <v>1732</v>
      </c>
      <c r="D183" s="63">
        <v>44418</v>
      </c>
      <c r="E183" s="432" t="s">
        <v>1603</v>
      </c>
      <c r="F183" s="480" t="s">
        <v>1570</v>
      </c>
      <c r="G183" s="95" t="s">
        <v>24</v>
      </c>
      <c r="H183" s="310" t="s">
        <v>130</v>
      </c>
      <c r="I183" s="334"/>
      <c r="J183" s="283"/>
      <c r="K183" s="294">
        <f t="shared" si="321"/>
        <v>2.4044690000000002</v>
      </c>
      <c r="L183" s="183">
        <f t="shared" si="322"/>
        <v>0</v>
      </c>
      <c r="M183" s="94">
        <f t="shared" si="323"/>
        <v>0</v>
      </c>
      <c r="N183" s="94">
        <f t="shared" si="332"/>
        <v>2.4044690000000002</v>
      </c>
      <c r="O183" s="94">
        <f t="shared" si="311"/>
        <v>2.4044690000000002</v>
      </c>
      <c r="P183" s="94">
        <f t="shared" si="325"/>
        <v>2.4044690000000002</v>
      </c>
      <c r="Q183" s="94">
        <f t="shared" si="336"/>
        <v>0</v>
      </c>
      <c r="R183" s="94">
        <f t="shared" si="333"/>
        <v>0</v>
      </c>
      <c r="S183" s="94">
        <f t="shared" si="320"/>
        <v>0</v>
      </c>
      <c r="T183" s="94">
        <f t="shared" si="334"/>
        <v>0</v>
      </c>
      <c r="U183" s="402">
        <f t="shared" si="335"/>
        <v>0</v>
      </c>
      <c r="V183" s="893">
        <v>0</v>
      </c>
      <c r="W183" s="387">
        <v>0</v>
      </c>
      <c r="X183" s="910">
        <f>-2.404469</f>
        <v>-2.4044690000000002</v>
      </c>
      <c r="Y183" s="915">
        <v>0</v>
      </c>
      <c r="Z183" s="367">
        <v>0</v>
      </c>
      <c r="AA183" s="468">
        <v>0</v>
      </c>
      <c r="AB183" s="207">
        <v>-2.4044690000000002</v>
      </c>
      <c r="AC183" s="207">
        <v>0</v>
      </c>
      <c r="AD183" s="367">
        <v>0</v>
      </c>
      <c r="AE183" s="468">
        <v>0</v>
      </c>
      <c r="AF183" s="468">
        <v>0</v>
      </c>
      <c r="AG183" s="468">
        <v>0</v>
      </c>
      <c r="AH183" s="468">
        <v>0</v>
      </c>
      <c r="AI183" s="387">
        <v>0</v>
      </c>
      <c r="AJ183" s="207">
        <v>0</v>
      </c>
      <c r="AK183" s="367">
        <v>0</v>
      </c>
      <c r="AL183" s="367">
        <v>0</v>
      </c>
      <c r="AM183" s="367">
        <v>0</v>
      </c>
      <c r="AN183" s="367">
        <v>0</v>
      </c>
      <c r="AO183" s="295">
        <v>0</v>
      </c>
      <c r="AP183" s="295">
        <v>0</v>
      </c>
      <c r="AQ183" s="295">
        <v>0</v>
      </c>
      <c r="AR183" s="387">
        <v>0</v>
      </c>
      <c r="AS183" s="896">
        <f t="shared" si="329"/>
        <v>0</v>
      </c>
      <c r="AT183" s="418" t="s">
        <v>1569</v>
      </c>
    </row>
    <row r="184" spans="1:48" s="1" customFormat="1" ht="80.150000000000006" hidden="1" customHeight="1" outlineLevel="1" x14ac:dyDescent="0.35">
      <c r="A184" s="590">
        <v>75</v>
      </c>
      <c r="B184" s="612" t="s">
        <v>69</v>
      </c>
      <c r="C184" s="607" t="s">
        <v>1732</v>
      </c>
      <c r="D184" s="63">
        <v>44418</v>
      </c>
      <c r="E184" s="432" t="s">
        <v>1645</v>
      </c>
      <c r="F184" s="480" t="s">
        <v>1570</v>
      </c>
      <c r="G184" s="95" t="s">
        <v>24</v>
      </c>
      <c r="H184" s="310" t="s">
        <v>130</v>
      </c>
      <c r="I184" s="334"/>
      <c r="J184" s="283"/>
      <c r="K184" s="294">
        <f t="shared" si="321"/>
        <v>2.812894</v>
      </c>
      <c r="L184" s="183">
        <f t="shared" si="322"/>
        <v>0</v>
      </c>
      <c r="M184" s="94">
        <f t="shared" si="323"/>
        <v>0</v>
      </c>
      <c r="N184" s="94">
        <f t="shared" si="332"/>
        <v>2.812894</v>
      </c>
      <c r="O184" s="94">
        <f t="shared" si="311"/>
        <v>2.812894</v>
      </c>
      <c r="P184" s="94">
        <f t="shared" si="325"/>
        <v>2.812894</v>
      </c>
      <c r="Q184" s="94">
        <f t="shared" si="336"/>
        <v>0</v>
      </c>
      <c r="R184" s="94">
        <f t="shared" si="333"/>
        <v>0</v>
      </c>
      <c r="S184" s="94">
        <f t="shared" si="320"/>
        <v>0</v>
      </c>
      <c r="T184" s="94">
        <f t="shared" si="334"/>
        <v>0</v>
      </c>
      <c r="U184" s="402">
        <f t="shared" si="335"/>
        <v>0</v>
      </c>
      <c r="V184" s="893">
        <v>0</v>
      </c>
      <c r="W184" s="387">
        <v>0</v>
      </c>
      <c r="X184" s="910">
        <f>-2.812894</f>
        <v>-2.812894</v>
      </c>
      <c r="Y184" s="915">
        <v>0</v>
      </c>
      <c r="Z184" s="367">
        <v>0</v>
      </c>
      <c r="AA184" s="468">
        <v>0</v>
      </c>
      <c r="AB184" s="207">
        <v>-2.812894</v>
      </c>
      <c r="AC184" s="207">
        <v>0</v>
      </c>
      <c r="AD184" s="367">
        <v>0</v>
      </c>
      <c r="AE184" s="468">
        <v>0</v>
      </c>
      <c r="AF184" s="468">
        <v>0</v>
      </c>
      <c r="AG184" s="468">
        <v>0</v>
      </c>
      <c r="AH184" s="468">
        <v>0</v>
      </c>
      <c r="AI184" s="387">
        <v>0</v>
      </c>
      <c r="AJ184" s="207">
        <v>0</v>
      </c>
      <c r="AK184" s="367">
        <v>0</v>
      </c>
      <c r="AL184" s="367">
        <v>0</v>
      </c>
      <c r="AM184" s="367">
        <v>0</v>
      </c>
      <c r="AN184" s="367">
        <v>0</v>
      </c>
      <c r="AO184" s="295">
        <v>0</v>
      </c>
      <c r="AP184" s="295">
        <v>0</v>
      </c>
      <c r="AQ184" s="295">
        <v>0</v>
      </c>
      <c r="AR184" s="387">
        <v>0</v>
      </c>
      <c r="AS184" s="896">
        <f t="shared" si="329"/>
        <v>0</v>
      </c>
      <c r="AT184" s="418" t="s">
        <v>1646</v>
      </c>
    </row>
    <row r="185" spans="1:48" s="1" customFormat="1" ht="80.150000000000006" hidden="1" customHeight="1" outlineLevel="1" x14ac:dyDescent="0.35">
      <c r="A185" s="590">
        <v>76</v>
      </c>
      <c r="B185" s="612" t="s">
        <v>69</v>
      </c>
      <c r="C185" s="607" t="s">
        <v>1734</v>
      </c>
      <c r="D185" s="63">
        <v>44425</v>
      </c>
      <c r="E185" s="432" t="s">
        <v>1644</v>
      </c>
      <c r="F185" s="480" t="s">
        <v>1588</v>
      </c>
      <c r="G185" s="95" t="s">
        <v>24</v>
      </c>
      <c r="H185" s="310" t="s">
        <v>130</v>
      </c>
      <c r="I185" s="334"/>
      <c r="J185" s="283"/>
      <c r="K185" s="294">
        <f t="shared" si="321"/>
        <v>3.8059999999999999E-3</v>
      </c>
      <c r="L185" s="183">
        <f t="shared" si="322"/>
        <v>0</v>
      </c>
      <c r="M185" s="94">
        <f t="shared" si="323"/>
        <v>0</v>
      </c>
      <c r="N185" s="94">
        <f t="shared" si="332"/>
        <v>1.1971000000000001E-2</v>
      </c>
      <c r="O185" s="94">
        <f t="shared" si="311"/>
        <v>1.1971000000000001E-2</v>
      </c>
      <c r="P185" s="94">
        <f t="shared" si="325"/>
        <v>3.8059999999999999E-3</v>
      </c>
      <c r="Q185" s="94">
        <f t="shared" si="336"/>
        <v>0</v>
      </c>
      <c r="R185" s="94">
        <f t="shared" si="333"/>
        <v>0</v>
      </c>
      <c r="S185" s="94">
        <f t="shared" si="320"/>
        <v>0</v>
      </c>
      <c r="T185" s="94">
        <f t="shared" si="334"/>
        <v>0</v>
      </c>
      <c r="U185" s="402">
        <f t="shared" si="335"/>
        <v>0</v>
      </c>
      <c r="V185" s="893">
        <v>0</v>
      </c>
      <c r="W185" s="387">
        <v>0</v>
      </c>
      <c r="X185" s="910">
        <f>-0.011971</f>
        <v>-1.1971000000000001E-2</v>
      </c>
      <c r="Y185" s="915">
        <v>0</v>
      </c>
      <c r="Z185" s="367">
        <v>0</v>
      </c>
      <c r="AA185" s="468">
        <v>0</v>
      </c>
      <c r="AB185" s="207">
        <f>-0.003806</f>
        <v>-3.8059999999999999E-3</v>
      </c>
      <c r="AC185" s="207">
        <v>0</v>
      </c>
      <c r="AD185" s="367">
        <v>0</v>
      </c>
      <c r="AE185" s="468">
        <v>0</v>
      </c>
      <c r="AF185" s="468">
        <v>0</v>
      </c>
      <c r="AG185" s="468">
        <v>0</v>
      </c>
      <c r="AH185" s="468">
        <v>0</v>
      </c>
      <c r="AI185" s="387">
        <v>0</v>
      </c>
      <c r="AJ185" s="207">
        <v>0</v>
      </c>
      <c r="AK185" s="367">
        <v>0</v>
      </c>
      <c r="AL185" s="367">
        <v>0</v>
      </c>
      <c r="AM185" s="367">
        <v>0</v>
      </c>
      <c r="AN185" s="367">
        <v>0</v>
      </c>
      <c r="AO185" s="295">
        <v>0</v>
      </c>
      <c r="AP185" s="295">
        <v>0</v>
      </c>
      <c r="AQ185" s="295">
        <v>0</v>
      </c>
      <c r="AR185" s="387">
        <v>0</v>
      </c>
      <c r="AS185" s="896">
        <f t="shared" si="329"/>
        <v>0</v>
      </c>
      <c r="AT185" s="418" t="s">
        <v>1587</v>
      </c>
    </row>
    <row r="186" spans="1:48" s="1" customFormat="1" ht="43.5" hidden="1" customHeight="1" outlineLevel="1" x14ac:dyDescent="0.35">
      <c r="A186" s="590">
        <v>77</v>
      </c>
      <c r="B186" s="612" t="s">
        <v>69</v>
      </c>
      <c r="C186" s="607" t="s">
        <v>700</v>
      </c>
      <c r="D186" s="63">
        <v>44460</v>
      </c>
      <c r="E186" s="432" t="s">
        <v>1650</v>
      </c>
      <c r="F186" s="480" t="s">
        <v>700</v>
      </c>
      <c r="G186" s="95" t="s">
        <v>24</v>
      </c>
      <c r="H186" s="310" t="s">
        <v>129</v>
      </c>
      <c r="I186" s="334"/>
      <c r="J186" s="283"/>
      <c r="K186" s="294">
        <f t="shared" si="321"/>
        <v>88.407782999999995</v>
      </c>
      <c r="L186" s="183">
        <f t="shared" ref="L186" si="337">-V186</f>
        <v>0</v>
      </c>
      <c r="M186" s="94">
        <f t="shared" ref="M186" si="338">-W186</f>
        <v>0</v>
      </c>
      <c r="N186" s="94">
        <f t="shared" ref="N186" si="339">-X186</f>
        <v>0</v>
      </c>
      <c r="O186" s="94">
        <f t="shared" ref="O186:O219" si="340">-X186</f>
        <v>0</v>
      </c>
      <c r="P186" s="94">
        <f t="shared" si="325"/>
        <v>0</v>
      </c>
      <c r="Q186" s="94">
        <f t="shared" si="336"/>
        <v>43.592961000000003</v>
      </c>
      <c r="R186" s="94">
        <f t="shared" ref="R186" si="341">-AC186</f>
        <v>43.592961000000003</v>
      </c>
      <c r="S186" s="94">
        <f t="shared" si="320"/>
        <v>29.023849999999999</v>
      </c>
      <c r="T186" s="94">
        <f t="shared" ref="T186" si="342">-AJ186</f>
        <v>39.484313999999998</v>
      </c>
      <c r="U186" s="402">
        <f t="shared" ref="U186" si="343">-AQ186</f>
        <v>5.330508</v>
      </c>
      <c r="V186" s="893">
        <v>0</v>
      </c>
      <c r="W186" s="387">
        <v>0</v>
      </c>
      <c r="X186" s="910">
        <v>0</v>
      </c>
      <c r="Y186" s="915">
        <v>0</v>
      </c>
      <c r="Z186" s="367">
        <v>0</v>
      </c>
      <c r="AA186" s="468">
        <v>0</v>
      </c>
      <c r="AB186" s="207">
        <v>0</v>
      </c>
      <c r="AC186" s="207">
        <f>-58.82368+11.548412+3.682307</f>
        <v>-43.592961000000003</v>
      </c>
      <c r="AD186" s="367">
        <v>0</v>
      </c>
      <c r="AE186" s="468">
        <v>-58.823680000000003</v>
      </c>
      <c r="AF186" s="468">
        <v>-58.823680000000003</v>
      </c>
      <c r="AG186" s="468">
        <v>-43.592961000000003</v>
      </c>
      <c r="AH186" s="468">
        <v>-43.592961000000003</v>
      </c>
      <c r="AI186" s="623">
        <f>-28.981258-0.042592</f>
        <v>-29.023849999999999</v>
      </c>
      <c r="AJ186" s="207">
        <f>-63.402515+5.008353+0.015+1.942216+6.256596+4.846788+1.318295+4.530953</f>
        <v>-39.484313999999998</v>
      </c>
      <c r="AK186" s="367">
        <v>-63.402515000000001</v>
      </c>
      <c r="AL186" s="367">
        <v>-63.402515000000001</v>
      </c>
      <c r="AM186" s="367">
        <v>-63.402515000000001</v>
      </c>
      <c r="AN186" s="367">
        <v>-63.402515000000001</v>
      </c>
      <c r="AO186" s="295">
        <v>-7.4185970000000001</v>
      </c>
      <c r="AP186" s="295">
        <v>-5.330508</v>
      </c>
      <c r="AQ186" s="295">
        <v>-5.330508</v>
      </c>
      <c r="AR186" s="623">
        <f>-13.322852-9.790962-2.049632</f>
        <v>-25.163445999999997</v>
      </c>
      <c r="AS186" s="896">
        <f t="shared" ref="AS186" si="344">-AR186</f>
        <v>25.163445999999997</v>
      </c>
      <c r="AT186" s="418" t="s">
        <v>1651</v>
      </c>
    </row>
    <row r="187" spans="1:48" s="1" customFormat="1" ht="43.5" hidden="1" customHeight="1" outlineLevel="1" x14ac:dyDescent="0.35">
      <c r="A187" s="590">
        <v>78</v>
      </c>
      <c r="B187" s="612" t="s">
        <v>69</v>
      </c>
      <c r="C187" s="607" t="s">
        <v>700</v>
      </c>
      <c r="D187" s="63">
        <v>44460</v>
      </c>
      <c r="E187" s="432" t="s">
        <v>1650</v>
      </c>
      <c r="F187" s="480" t="s">
        <v>700</v>
      </c>
      <c r="G187" s="95" t="s">
        <v>24</v>
      </c>
      <c r="H187" s="310" t="s">
        <v>129</v>
      </c>
      <c r="I187" s="334"/>
      <c r="J187" s="283"/>
      <c r="K187" s="294">
        <f t="shared" si="321"/>
        <v>3.5394570000000001</v>
      </c>
      <c r="L187" s="183">
        <f t="shared" si="322"/>
        <v>0</v>
      </c>
      <c r="M187" s="94">
        <f t="shared" si="323"/>
        <v>0</v>
      </c>
      <c r="N187" s="94">
        <f t="shared" si="332"/>
        <v>0</v>
      </c>
      <c r="O187" s="94">
        <f t="shared" si="340"/>
        <v>0</v>
      </c>
      <c r="P187" s="94">
        <f t="shared" si="325"/>
        <v>0</v>
      </c>
      <c r="Q187" s="94">
        <f t="shared" si="336"/>
        <v>3.5394570000000001</v>
      </c>
      <c r="R187" s="94">
        <f t="shared" si="333"/>
        <v>3.5394570000000001</v>
      </c>
      <c r="S187" s="94">
        <f t="shared" si="320"/>
        <v>0</v>
      </c>
      <c r="T187" s="94">
        <f t="shared" si="334"/>
        <v>0</v>
      </c>
      <c r="U187" s="402">
        <f t="shared" si="335"/>
        <v>0</v>
      </c>
      <c r="V187" s="893">
        <v>0</v>
      </c>
      <c r="W187" s="387">
        <v>0</v>
      </c>
      <c r="X187" s="910">
        <v>0</v>
      </c>
      <c r="Y187" s="915">
        <v>0</v>
      </c>
      <c r="Z187" s="367">
        <v>0</v>
      </c>
      <c r="AA187" s="468">
        <v>0</v>
      </c>
      <c r="AB187" s="207">
        <v>0</v>
      </c>
      <c r="AC187" s="207">
        <v>-3.5394570000000001</v>
      </c>
      <c r="AD187" s="367">
        <v>0</v>
      </c>
      <c r="AE187" s="468">
        <v>-3.5394570000000001</v>
      </c>
      <c r="AF187" s="468">
        <v>-3.5394570000000001</v>
      </c>
      <c r="AG187" s="468">
        <v>-3.5394570000000001</v>
      </c>
      <c r="AH187" s="468">
        <v>-3.5394570000000001</v>
      </c>
      <c r="AI187" s="387">
        <v>0</v>
      </c>
      <c r="AJ187" s="207">
        <v>0</v>
      </c>
      <c r="AK187" s="367">
        <v>0</v>
      </c>
      <c r="AL187" s="367">
        <v>0</v>
      </c>
      <c r="AM187" s="367">
        <v>0</v>
      </c>
      <c r="AN187" s="367">
        <v>0</v>
      </c>
      <c r="AO187" s="295">
        <v>0</v>
      </c>
      <c r="AP187" s="295">
        <v>0</v>
      </c>
      <c r="AQ187" s="295">
        <v>0</v>
      </c>
      <c r="AR187" s="387">
        <v>0</v>
      </c>
      <c r="AS187" s="896">
        <f t="shared" si="329"/>
        <v>0</v>
      </c>
      <c r="AT187" s="418" t="s">
        <v>1652</v>
      </c>
    </row>
    <row r="188" spans="1:48" s="1" customFormat="1" ht="43.5" hidden="1" customHeight="1" outlineLevel="1" x14ac:dyDescent="0.35">
      <c r="A188" s="590">
        <v>79</v>
      </c>
      <c r="B188" s="612" t="s">
        <v>69</v>
      </c>
      <c r="C188" s="607" t="s">
        <v>700</v>
      </c>
      <c r="D188" s="63">
        <v>44460</v>
      </c>
      <c r="E188" s="432" t="s">
        <v>1650</v>
      </c>
      <c r="F188" s="480" t="s">
        <v>700</v>
      </c>
      <c r="G188" s="95" t="s">
        <v>24</v>
      </c>
      <c r="H188" s="310" t="s">
        <v>129</v>
      </c>
      <c r="I188" s="334"/>
      <c r="J188" s="283"/>
      <c r="K188" s="294">
        <f t="shared" si="321"/>
        <v>2.50203</v>
      </c>
      <c r="L188" s="183">
        <f t="shared" ref="L188" si="345">-V188</f>
        <v>0</v>
      </c>
      <c r="M188" s="94">
        <f t="shared" ref="M188" si="346">-W188</f>
        <v>0</v>
      </c>
      <c r="N188" s="94">
        <f t="shared" ref="N188" si="347">-X188</f>
        <v>0</v>
      </c>
      <c r="O188" s="94">
        <f t="shared" si="340"/>
        <v>0</v>
      </c>
      <c r="P188" s="94">
        <f t="shared" si="325"/>
        <v>0</v>
      </c>
      <c r="Q188" s="94">
        <f t="shared" si="336"/>
        <v>2.50203</v>
      </c>
      <c r="R188" s="94">
        <f t="shared" ref="R188" si="348">-AC188</f>
        <v>2.50203</v>
      </c>
      <c r="S188" s="94">
        <f t="shared" si="320"/>
        <v>0</v>
      </c>
      <c r="T188" s="94">
        <f t="shared" ref="T188" si="349">-AJ188</f>
        <v>0</v>
      </c>
      <c r="U188" s="402">
        <f t="shared" ref="U188" si="350">-AQ188</f>
        <v>0</v>
      </c>
      <c r="V188" s="893">
        <v>0</v>
      </c>
      <c r="W188" s="387">
        <v>0</v>
      </c>
      <c r="X188" s="910">
        <v>0</v>
      </c>
      <c r="Y188" s="915">
        <v>0</v>
      </c>
      <c r="Z188" s="367">
        <v>0</v>
      </c>
      <c r="AA188" s="468">
        <v>0</v>
      </c>
      <c r="AB188" s="207">
        <v>0</v>
      </c>
      <c r="AC188" s="207">
        <v>-2.50203</v>
      </c>
      <c r="AD188" s="367">
        <v>0</v>
      </c>
      <c r="AE188" s="468">
        <v>-2.50203</v>
      </c>
      <c r="AF188" s="468">
        <v>-2.50203</v>
      </c>
      <c r="AG188" s="468">
        <v>-2.50203</v>
      </c>
      <c r="AH188" s="468">
        <v>-2.50203</v>
      </c>
      <c r="AI188" s="387">
        <v>0</v>
      </c>
      <c r="AJ188" s="207">
        <v>0</v>
      </c>
      <c r="AK188" s="367">
        <v>0</v>
      </c>
      <c r="AL188" s="367">
        <v>0</v>
      </c>
      <c r="AM188" s="367">
        <v>0</v>
      </c>
      <c r="AN188" s="367">
        <v>0</v>
      </c>
      <c r="AO188" s="295">
        <v>0</v>
      </c>
      <c r="AP188" s="295">
        <v>0</v>
      </c>
      <c r="AQ188" s="295">
        <v>0</v>
      </c>
      <c r="AR188" s="387">
        <v>0</v>
      </c>
      <c r="AS188" s="896">
        <f t="shared" ref="AS188" si="351">-AR188</f>
        <v>0</v>
      </c>
      <c r="AT188" s="418" t="s">
        <v>1653</v>
      </c>
    </row>
    <row r="189" spans="1:48" s="1" customFormat="1" ht="43.5" hidden="1" customHeight="1" outlineLevel="1" x14ac:dyDescent="0.35">
      <c r="A189" s="590">
        <v>80</v>
      </c>
      <c r="B189" s="612" t="s">
        <v>69</v>
      </c>
      <c r="C189" s="607" t="s">
        <v>700</v>
      </c>
      <c r="D189" s="63">
        <v>44460</v>
      </c>
      <c r="E189" s="432" t="s">
        <v>1650</v>
      </c>
      <c r="F189" s="480" t="s">
        <v>700</v>
      </c>
      <c r="G189" s="95" t="s">
        <v>24</v>
      </c>
      <c r="H189" s="310" t="s">
        <v>129</v>
      </c>
      <c r="I189" s="334"/>
      <c r="J189" s="283"/>
      <c r="K189" s="294">
        <f t="shared" si="321"/>
        <v>21.999220000000001</v>
      </c>
      <c r="L189" s="183">
        <f t="shared" si="322"/>
        <v>0</v>
      </c>
      <c r="M189" s="94">
        <f t="shared" si="323"/>
        <v>0</v>
      </c>
      <c r="N189" s="94">
        <f t="shared" si="332"/>
        <v>0</v>
      </c>
      <c r="O189" s="94">
        <f t="shared" si="340"/>
        <v>0</v>
      </c>
      <c r="P189" s="94">
        <f t="shared" si="325"/>
        <v>0</v>
      </c>
      <c r="Q189" s="94">
        <f t="shared" si="336"/>
        <v>21.999220000000001</v>
      </c>
      <c r="R189" s="94">
        <f t="shared" si="333"/>
        <v>21.999220000000001</v>
      </c>
      <c r="S189" s="94">
        <f t="shared" si="320"/>
        <v>0</v>
      </c>
      <c r="T189" s="94">
        <f t="shared" si="334"/>
        <v>0</v>
      </c>
      <c r="U189" s="402">
        <f t="shared" si="335"/>
        <v>0</v>
      </c>
      <c r="V189" s="893">
        <v>0</v>
      </c>
      <c r="W189" s="387">
        <v>0</v>
      </c>
      <c r="X189" s="910">
        <v>0</v>
      </c>
      <c r="Y189" s="915">
        <v>0</v>
      </c>
      <c r="Z189" s="367">
        <v>0</v>
      </c>
      <c r="AA189" s="468">
        <v>0</v>
      </c>
      <c r="AB189" s="207">
        <v>0</v>
      </c>
      <c r="AC189" s="207">
        <v>-21.999220000000001</v>
      </c>
      <c r="AD189" s="367">
        <v>0</v>
      </c>
      <c r="AE189" s="468">
        <v>-21.999220000000001</v>
      </c>
      <c r="AF189" s="468">
        <v>-21.999220000000001</v>
      </c>
      <c r="AG189" s="468">
        <v>-21.999220000000001</v>
      </c>
      <c r="AH189" s="468">
        <f>-21.99922+15.4</f>
        <v>-6.5992200000000008</v>
      </c>
      <c r="AI189" s="387">
        <v>0</v>
      </c>
      <c r="AJ189" s="207">
        <v>0</v>
      </c>
      <c r="AK189" s="367">
        <v>0</v>
      </c>
      <c r="AL189" s="367">
        <v>0</v>
      </c>
      <c r="AM189" s="367">
        <v>0</v>
      </c>
      <c r="AN189" s="367">
        <v>0</v>
      </c>
      <c r="AO189" s="295">
        <v>0</v>
      </c>
      <c r="AP189" s="295">
        <v>0</v>
      </c>
      <c r="AQ189" s="295">
        <v>0</v>
      </c>
      <c r="AR189" s="387">
        <v>0</v>
      </c>
      <c r="AS189" s="896">
        <f t="shared" si="329"/>
        <v>0</v>
      </c>
      <c r="AT189" s="418" t="s">
        <v>1654</v>
      </c>
    </row>
    <row r="190" spans="1:48" s="1" customFormat="1" ht="58" hidden="1" customHeight="1" outlineLevel="1" x14ac:dyDescent="0.35">
      <c r="A190" s="590">
        <v>81</v>
      </c>
      <c r="B190" s="612" t="s">
        <v>69</v>
      </c>
      <c r="C190" s="607" t="s">
        <v>700</v>
      </c>
      <c r="D190" s="63">
        <v>44459</v>
      </c>
      <c r="E190" s="432" t="s">
        <v>1650</v>
      </c>
      <c r="F190" s="480" t="s">
        <v>1656</v>
      </c>
      <c r="G190" s="95" t="s">
        <v>24</v>
      </c>
      <c r="H190" s="310" t="s">
        <v>129</v>
      </c>
      <c r="I190" s="334"/>
      <c r="J190" s="283"/>
      <c r="K190" s="294">
        <f t="shared" si="321"/>
        <v>0.400613</v>
      </c>
      <c r="L190" s="183">
        <f t="shared" si="322"/>
        <v>0</v>
      </c>
      <c r="M190" s="94">
        <f t="shared" si="323"/>
        <v>0</v>
      </c>
      <c r="N190" s="94">
        <f t="shared" si="332"/>
        <v>0</v>
      </c>
      <c r="O190" s="94">
        <f t="shared" si="340"/>
        <v>0</v>
      </c>
      <c r="P190" s="94">
        <f t="shared" si="325"/>
        <v>0</v>
      </c>
      <c r="Q190" s="94">
        <f t="shared" si="336"/>
        <v>0.400613</v>
      </c>
      <c r="R190" s="94">
        <f t="shared" si="333"/>
        <v>0.400613</v>
      </c>
      <c r="S190" s="94">
        <f t="shared" si="320"/>
        <v>0</v>
      </c>
      <c r="T190" s="94">
        <f t="shared" si="334"/>
        <v>0</v>
      </c>
      <c r="U190" s="402">
        <f t="shared" si="335"/>
        <v>0</v>
      </c>
      <c r="V190" s="893">
        <v>0</v>
      </c>
      <c r="W190" s="387">
        <v>0</v>
      </c>
      <c r="X190" s="910">
        <v>0</v>
      </c>
      <c r="Y190" s="915">
        <v>0</v>
      </c>
      <c r="Z190" s="367">
        <v>0</v>
      </c>
      <c r="AA190" s="468">
        <v>0</v>
      </c>
      <c r="AB190" s="207">
        <v>0</v>
      </c>
      <c r="AC190" s="207">
        <v>-0.400613</v>
      </c>
      <c r="AD190" s="367">
        <v>0</v>
      </c>
      <c r="AE190" s="468">
        <v>-0.400613</v>
      </c>
      <c r="AF190" s="468">
        <v>-0.400613</v>
      </c>
      <c r="AG190" s="468">
        <v>-0.400613</v>
      </c>
      <c r="AH190" s="468">
        <v>-0.400613</v>
      </c>
      <c r="AI190" s="387">
        <v>0</v>
      </c>
      <c r="AJ190" s="207">
        <v>0</v>
      </c>
      <c r="AK190" s="367">
        <v>0</v>
      </c>
      <c r="AL190" s="367">
        <v>0</v>
      </c>
      <c r="AM190" s="367">
        <v>0</v>
      </c>
      <c r="AN190" s="367">
        <v>0</v>
      </c>
      <c r="AO190" s="295">
        <v>0</v>
      </c>
      <c r="AP190" s="295">
        <v>0</v>
      </c>
      <c r="AQ190" s="295">
        <v>0</v>
      </c>
      <c r="AR190" s="387">
        <v>0</v>
      </c>
      <c r="AS190" s="896">
        <f t="shared" si="329"/>
        <v>0</v>
      </c>
      <c r="AT190" s="418" t="s">
        <v>1655</v>
      </c>
    </row>
    <row r="191" spans="1:48" s="1" customFormat="1" ht="130.5" hidden="1" customHeight="1" outlineLevel="1" x14ac:dyDescent="0.35">
      <c r="A191" s="590">
        <v>82</v>
      </c>
      <c r="B191" s="612" t="s">
        <v>69</v>
      </c>
      <c r="C191" s="607" t="s">
        <v>1733</v>
      </c>
      <c r="D191" s="63">
        <v>44467</v>
      </c>
      <c r="E191" s="444" t="s">
        <v>1928</v>
      </c>
      <c r="F191" s="480" t="s">
        <v>1927</v>
      </c>
      <c r="G191" s="95" t="s">
        <v>24</v>
      </c>
      <c r="H191" s="310" t="s">
        <v>129</v>
      </c>
      <c r="I191" s="334"/>
      <c r="J191" s="283"/>
      <c r="K191" s="294">
        <f t="shared" si="321"/>
        <v>2.8575810000000001</v>
      </c>
      <c r="L191" s="183">
        <f t="shared" ref="L191:L192" si="352">-V191</f>
        <v>0</v>
      </c>
      <c r="M191" s="94">
        <f t="shared" ref="M191:M192" si="353">-W191</f>
        <v>0</v>
      </c>
      <c r="N191" s="94">
        <f t="shared" ref="N191:N192" si="354">-X191</f>
        <v>2.8575810000000001</v>
      </c>
      <c r="O191" s="94">
        <f t="shared" si="340"/>
        <v>2.8575810000000001</v>
      </c>
      <c r="P191" s="94">
        <f t="shared" si="325"/>
        <v>2.8575810000000001</v>
      </c>
      <c r="Q191" s="94">
        <f t="shared" si="336"/>
        <v>0</v>
      </c>
      <c r="R191" s="94">
        <f t="shared" ref="R191:R192" si="355">-AC191</f>
        <v>0</v>
      </c>
      <c r="S191" s="94">
        <f t="shared" si="320"/>
        <v>0</v>
      </c>
      <c r="T191" s="94">
        <f t="shared" ref="T191:T192" si="356">-AJ191</f>
        <v>0</v>
      </c>
      <c r="U191" s="402">
        <f t="shared" ref="U191:U192" si="357">-AQ191</f>
        <v>0</v>
      </c>
      <c r="V191" s="893">
        <v>0</v>
      </c>
      <c r="W191" s="387">
        <v>0</v>
      </c>
      <c r="X191" s="910">
        <v>-2.8575810000000001</v>
      </c>
      <c r="Y191" s="915">
        <v>0</v>
      </c>
      <c r="Z191" s="367">
        <v>0</v>
      </c>
      <c r="AA191" s="468">
        <v>0</v>
      </c>
      <c r="AB191" s="207">
        <v>-2.8575810000000001</v>
      </c>
      <c r="AC191" s="207">
        <v>0</v>
      </c>
      <c r="AD191" s="367">
        <v>0</v>
      </c>
      <c r="AE191" s="468">
        <v>0</v>
      </c>
      <c r="AF191" s="468">
        <v>0</v>
      </c>
      <c r="AG191" s="468">
        <v>0</v>
      </c>
      <c r="AH191" s="468">
        <v>0</v>
      </c>
      <c r="AI191" s="387">
        <v>0</v>
      </c>
      <c r="AJ191" s="207">
        <v>0</v>
      </c>
      <c r="AK191" s="367">
        <v>0</v>
      </c>
      <c r="AL191" s="367">
        <v>0</v>
      </c>
      <c r="AM191" s="367">
        <v>0</v>
      </c>
      <c r="AN191" s="367">
        <v>0</v>
      </c>
      <c r="AO191" s="295">
        <v>0</v>
      </c>
      <c r="AP191" s="295">
        <v>0</v>
      </c>
      <c r="AQ191" s="295">
        <v>0</v>
      </c>
      <c r="AR191" s="387">
        <v>0</v>
      </c>
      <c r="AS191" s="896">
        <f t="shared" ref="AS191:AS192" si="358">-AR191</f>
        <v>0</v>
      </c>
      <c r="AT191" s="418" t="s">
        <v>1930</v>
      </c>
      <c r="AV191" s="566"/>
    </row>
    <row r="192" spans="1:48" s="1" customFormat="1" ht="101.5" hidden="1" customHeight="1" outlineLevel="1" x14ac:dyDescent="0.35">
      <c r="A192" s="590">
        <v>83</v>
      </c>
      <c r="B192" s="612" t="s">
        <v>69</v>
      </c>
      <c r="C192" s="607" t="s">
        <v>1733</v>
      </c>
      <c r="D192" s="63">
        <v>44467</v>
      </c>
      <c r="E192" s="444" t="s">
        <v>1929</v>
      </c>
      <c r="F192" s="480" t="s">
        <v>1927</v>
      </c>
      <c r="G192" s="95" t="s">
        <v>24</v>
      </c>
      <c r="H192" s="310" t="s">
        <v>129</v>
      </c>
      <c r="I192" s="334"/>
      <c r="J192" s="283"/>
      <c r="K192" s="294">
        <f t="shared" si="321"/>
        <v>2.3350849999999999</v>
      </c>
      <c r="L192" s="183">
        <f t="shared" si="352"/>
        <v>0</v>
      </c>
      <c r="M192" s="94">
        <f t="shared" si="353"/>
        <v>0</v>
      </c>
      <c r="N192" s="94">
        <f t="shared" si="354"/>
        <v>2.3350849999999999</v>
      </c>
      <c r="O192" s="94">
        <f t="shared" si="340"/>
        <v>2.3350849999999999</v>
      </c>
      <c r="P192" s="94">
        <f t="shared" si="325"/>
        <v>2.3350849999999999</v>
      </c>
      <c r="Q192" s="94">
        <f t="shared" si="336"/>
        <v>0</v>
      </c>
      <c r="R192" s="94">
        <f t="shared" si="355"/>
        <v>0</v>
      </c>
      <c r="S192" s="94">
        <f t="shared" si="320"/>
        <v>0</v>
      </c>
      <c r="T192" s="94">
        <f t="shared" si="356"/>
        <v>0</v>
      </c>
      <c r="U192" s="402">
        <f t="shared" si="357"/>
        <v>0</v>
      </c>
      <c r="V192" s="893">
        <v>0</v>
      </c>
      <c r="W192" s="387">
        <v>0</v>
      </c>
      <c r="X192" s="910">
        <v>-2.3350849999999999</v>
      </c>
      <c r="Y192" s="915">
        <v>0</v>
      </c>
      <c r="Z192" s="367">
        <v>0</v>
      </c>
      <c r="AA192" s="468">
        <v>0</v>
      </c>
      <c r="AB192" s="207">
        <v>-2.3350849999999999</v>
      </c>
      <c r="AC192" s="207">
        <v>0</v>
      </c>
      <c r="AD192" s="367">
        <v>0</v>
      </c>
      <c r="AE192" s="468">
        <v>0</v>
      </c>
      <c r="AF192" s="468">
        <v>0</v>
      </c>
      <c r="AG192" s="468">
        <v>0</v>
      </c>
      <c r="AH192" s="468">
        <v>0</v>
      </c>
      <c r="AI192" s="387">
        <v>0</v>
      </c>
      <c r="AJ192" s="207">
        <v>0</v>
      </c>
      <c r="AK192" s="367">
        <v>0</v>
      </c>
      <c r="AL192" s="367">
        <v>0</v>
      </c>
      <c r="AM192" s="367">
        <v>0</v>
      </c>
      <c r="AN192" s="367">
        <v>0</v>
      </c>
      <c r="AO192" s="295">
        <v>0</v>
      </c>
      <c r="AP192" s="295">
        <v>0</v>
      </c>
      <c r="AQ192" s="295">
        <v>0</v>
      </c>
      <c r="AR192" s="387">
        <v>0</v>
      </c>
      <c r="AS192" s="896">
        <f t="shared" si="358"/>
        <v>0</v>
      </c>
      <c r="AT192" s="418" t="s">
        <v>1931</v>
      </c>
      <c r="AV192" s="566"/>
    </row>
    <row r="193" spans="1:48" s="1" customFormat="1" ht="95.5" hidden="1" customHeight="1" outlineLevel="1" x14ac:dyDescent="0.35">
      <c r="A193" s="590">
        <v>84</v>
      </c>
      <c r="B193" s="612" t="s">
        <v>69</v>
      </c>
      <c r="C193" s="607" t="s">
        <v>1732</v>
      </c>
      <c r="D193" s="63">
        <v>44489</v>
      </c>
      <c r="E193" s="444" t="s">
        <v>1822</v>
      </c>
      <c r="F193" s="480" t="s">
        <v>1675</v>
      </c>
      <c r="G193" s="95" t="s">
        <v>24</v>
      </c>
      <c r="H193" s="310" t="s">
        <v>130</v>
      </c>
      <c r="I193" s="334"/>
      <c r="J193" s="283"/>
      <c r="K193" s="294">
        <f t="shared" ref="K193:K219" si="359">M193+P193+U193+R193+T193</f>
        <v>8.1485350000000007</v>
      </c>
      <c r="L193" s="183">
        <f t="shared" si="322"/>
        <v>0</v>
      </c>
      <c r="M193" s="94">
        <f t="shared" si="323"/>
        <v>0</v>
      </c>
      <c r="N193" s="94">
        <f t="shared" si="332"/>
        <v>15.927640999999999</v>
      </c>
      <c r="O193" s="94">
        <f t="shared" si="340"/>
        <v>15.927640999999999</v>
      </c>
      <c r="P193" s="94">
        <f t="shared" si="325"/>
        <v>8.1485350000000007</v>
      </c>
      <c r="Q193" s="94">
        <f t="shared" si="336"/>
        <v>0</v>
      </c>
      <c r="R193" s="94">
        <f t="shared" si="333"/>
        <v>0</v>
      </c>
      <c r="S193" s="94">
        <f t="shared" si="320"/>
        <v>0</v>
      </c>
      <c r="T193" s="94">
        <f t="shared" si="334"/>
        <v>0</v>
      </c>
      <c r="U193" s="402">
        <f t="shared" si="335"/>
        <v>0</v>
      </c>
      <c r="V193" s="893">
        <v>0</v>
      </c>
      <c r="W193" s="387">
        <v>0</v>
      </c>
      <c r="X193" s="910">
        <f>-15.927641</f>
        <v>-15.927640999999999</v>
      </c>
      <c r="Y193" s="915">
        <v>0</v>
      </c>
      <c r="Z193" s="367">
        <v>0</v>
      </c>
      <c r="AA193" s="468">
        <v>0</v>
      </c>
      <c r="AB193" s="207">
        <v>-8.1485350000000007</v>
      </c>
      <c r="AC193" s="207">
        <v>0</v>
      </c>
      <c r="AD193" s="367">
        <v>0</v>
      </c>
      <c r="AE193" s="468">
        <v>0</v>
      </c>
      <c r="AF193" s="468">
        <v>0</v>
      </c>
      <c r="AG193" s="468">
        <v>0</v>
      </c>
      <c r="AH193" s="468">
        <v>0</v>
      </c>
      <c r="AI193" s="387">
        <v>0</v>
      </c>
      <c r="AJ193" s="207">
        <v>0</v>
      </c>
      <c r="AK193" s="367">
        <v>0</v>
      </c>
      <c r="AL193" s="367">
        <v>0</v>
      </c>
      <c r="AM193" s="367">
        <v>0</v>
      </c>
      <c r="AN193" s="367">
        <v>0</v>
      </c>
      <c r="AO193" s="295">
        <v>0</v>
      </c>
      <c r="AP193" s="295">
        <v>0</v>
      </c>
      <c r="AQ193" s="295">
        <v>0</v>
      </c>
      <c r="AR193" s="387">
        <v>0</v>
      </c>
      <c r="AS193" s="896">
        <f t="shared" si="329"/>
        <v>0</v>
      </c>
      <c r="AT193" s="418" t="s">
        <v>1674</v>
      </c>
    </row>
    <row r="194" spans="1:48" s="1" customFormat="1" ht="168" hidden="1" customHeight="1" outlineLevel="1" x14ac:dyDescent="0.35">
      <c r="A194" s="590">
        <v>85</v>
      </c>
      <c r="B194" s="612" t="s">
        <v>69</v>
      </c>
      <c r="C194" s="607" t="s">
        <v>1733</v>
      </c>
      <c r="D194" s="63">
        <v>44496</v>
      </c>
      <c r="E194" s="432" t="s">
        <v>1684</v>
      </c>
      <c r="F194" s="480" t="s">
        <v>1681</v>
      </c>
      <c r="G194" s="95" t="s">
        <v>24</v>
      </c>
      <c r="H194" s="310" t="s">
        <v>129</v>
      </c>
      <c r="I194" s="334"/>
      <c r="J194" s="283"/>
      <c r="K194" s="294">
        <f t="shared" si="359"/>
        <v>2.4877929999999999</v>
      </c>
      <c r="L194" s="183">
        <f t="shared" si="322"/>
        <v>0</v>
      </c>
      <c r="M194" s="94">
        <f t="shared" si="323"/>
        <v>0</v>
      </c>
      <c r="N194" s="94">
        <f t="shared" si="332"/>
        <v>2.4877929999999999</v>
      </c>
      <c r="O194" s="94">
        <f t="shared" si="340"/>
        <v>2.4877929999999999</v>
      </c>
      <c r="P194" s="94">
        <f t="shared" si="325"/>
        <v>2.4877929999999999</v>
      </c>
      <c r="Q194" s="94">
        <f t="shared" si="336"/>
        <v>0</v>
      </c>
      <c r="R194" s="94">
        <f t="shared" si="333"/>
        <v>0</v>
      </c>
      <c r="S194" s="94">
        <f t="shared" si="320"/>
        <v>0</v>
      </c>
      <c r="T194" s="94">
        <f t="shared" si="334"/>
        <v>0</v>
      </c>
      <c r="U194" s="402">
        <f t="shared" si="335"/>
        <v>0</v>
      </c>
      <c r="V194" s="893">
        <v>0</v>
      </c>
      <c r="W194" s="387">
        <v>0</v>
      </c>
      <c r="X194" s="910">
        <f>-2.487793</f>
        <v>-2.4877929999999999</v>
      </c>
      <c r="Y194" s="915">
        <v>0</v>
      </c>
      <c r="Z194" s="367">
        <v>0</v>
      </c>
      <c r="AA194" s="468">
        <v>0</v>
      </c>
      <c r="AB194" s="207">
        <f>-0.128767-2.359026</f>
        <v>-2.4877929999999999</v>
      </c>
      <c r="AC194" s="207">
        <v>0</v>
      </c>
      <c r="AD194" s="367">
        <v>0</v>
      </c>
      <c r="AE194" s="468">
        <v>0</v>
      </c>
      <c r="AF194" s="468">
        <v>0</v>
      </c>
      <c r="AG194" s="468">
        <v>0</v>
      </c>
      <c r="AH194" s="468">
        <v>0</v>
      </c>
      <c r="AI194" s="387">
        <v>0</v>
      </c>
      <c r="AJ194" s="207">
        <v>0</v>
      </c>
      <c r="AK194" s="367">
        <v>0</v>
      </c>
      <c r="AL194" s="367">
        <v>0</v>
      </c>
      <c r="AM194" s="367">
        <v>0</v>
      </c>
      <c r="AN194" s="367">
        <v>0</v>
      </c>
      <c r="AO194" s="295">
        <v>0</v>
      </c>
      <c r="AP194" s="295">
        <v>0</v>
      </c>
      <c r="AQ194" s="295">
        <v>0</v>
      </c>
      <c r="AR194" s="387">
        <v>0</v>
      </c>
      <c r="AS194" s="896">
        <f t="shared" si="329"/>
        <v>0</v>
      </c>
      <c r="AT194" s="418" t="s">
        <v>1682</v>
      </c>
      <c r="AV194" s="566"/>
    </row>
    <row r="195" spans="1:48" s="1" customFormat="1" ht="131.15" hidden="1" customHeight="1" outlineLevel="1" x14ac:dyDescent="0.35">
      <c r="A195" s="590">
        <v>86</v>
      </c>
      <c r="B195" s="612" t="s">
        <v>69</v>
      </c>
      <c r="C195" s="607" t="s">
        <v>1733</v>
      </c>
      <c r="D195" s="63">
        <v>44503</v>
      </c>
      <c r="E195" s="432" t="s">
        <v>1823</v>
      </c>
      <c r="F195" s="480" t="s">
        <v>1691</v>
      </c>
      <c r="G195" s="95" t="s">
        <v>24</v>
      </c>
      <c r="H195" s="310" t="s">
        <v>129</v>
      </c>
      <c r="I195" s="334"/>
      <c r="J195" s="283"/>
      <c r="K195" s="294">
        <f t="shared" si="359"/>
        <v>1.0459160000000001</v>
      </c>
      <c r="L195" s="183">
        <f t="shared" si="322"/>
        <v>0</v>
      </c>
      <c r="M195" s="94">
        <f t="shared" si="323"/>
        <v>0</v>
      </c>
      <c r="N195" s="94">
        <f t="shared" si="332"/>
        <v>1.0459160000000001</v>
      </c>
      <c r="O195" s="94">
        <f t="shared" si="340"/>
        <v>1.0459160000000001</v>
      </c>
      <c r="P195" s="94">
        <f t="shared" si="325"/>
        <v>1.0459160000000001</v>
      </c>
      <c r="Q195" s="94">
        <f t="shared" si="336"/>
        <v>0</v>
      </c>
      <c r="R195" s="94">
        <f t="shared" si="333"/>
        <v>0</v>
      </c>
      <c r="S195" s="94">
        <f t="shared" si="320"/>
        <v>0</v>
      </c>
      <c r="T195" s="94">
        <f t="shared" si="334"/>
        <v>0</v>
      </c>
      <c r="U195" s="402">
        <f t="shared" si="335"/>
        <v>0</v>
      </c>
      <c r="V195" s="893">
        <v>0</v>
      </c>
      <c r="W195" s="387">
        <v>0</v>
      </c>
      <c r="X195" s="910">
        <f>-1.045916</f>
        <v>-1.0459160000000001</v>
      </c>
      <c r="Y195" s="915">
        <v>0</v>
      </c>
      <c r="Z195" s="367">
        <v>0</v>
      </c>
      <c r="AA195" s="468">
        <v>0</v>
      </c>
      <c r="AB195" s="207">
        <v>-1.0459160000000001</v>
      </c>
      <c r="AC195" s="207">
        <v>0</v>
      </c>
      <c r="AD195" s="367">
        <v>0</v>
      </c>
      <c r="AE195" s="468">
        <v>0</v>
      </c>
      <c r="AF195" s="468">
        <v>0</v>
      </c>
      <c r="AG195" s="468">
        <v>0</v>
      </c>
      <c r="AH195" s="468">
        <v>0</v>
      </c>
      <c r="AI195" s="387">
        <v>0</v>
      </c>
      <c r="AJ195" s="207">
        <v>0</v>
      </c>
      <c r="AK195" s="367">
        <v>0</v>
      </c>
      <c r="AL195" s="367">
        <v>0</v>
      </c>
      <c r="AM195" s="367">
        <v>0</v>
      </c>
      <c r="AN195" s="367">
        <v>0</v>
      </c>
      <c r="AO195" s="295">
        <v>0</v>
      </c>
      <c r="AP195" s="295">
        <v>0</v>
      </c>
      <c r="AQ195" s="295">
        <v>0</v>
      </c>
      <c r="AR195" s="387">
        <v>0</v>
      </c>
      <c r="AS195" s="896">
        <f t="shared" si="329"/>
        <v>0</v>
      </c>
      <c r="AT195" s="418" t="s">
        <v>1688</v>
      </c>
    </row>
    <row r="196" spans="1:48" s="1" customFormat="1" ht="96" hidden="1" customHeight="1" outlineLevel="1" x14ac:dyDescent="0.35">
      <c r="A196" s="590">
        <v>87</v>
      </c>
      <c r="B196" s="612" t="s">
        <v>69</v>
      </c>
      <c r="C196" s="607" t="s">
        <v>1732</v>
      </c>
      <c r="D196" s="63">
        <v>44502</v>
      </c>
      <c r="E196" s="432" t="s">
        <v>1824</v>
      </c>
      <c r="F196" s="480" t="s">
        <v>1689</v>
      </c>
      <c r="G196" s="95" t="s">
        <v>24</v>
      </c>
      <c r="H196" s="310" t="s">
        <v>130</v>
      </c>
      <c r="I196" s="334"/>
      <c r="J196" s="283"/>
      <c r="K196" s="294">
        <f t="shared" si="359"/>
        <v>2.8727779999999998</v>
      </c>
      <c r="L196" s="183">
        <f t="shared" si="322"/>
        <v>0</v>
      </c>
      <c r="M196" s="94">
        <f t="shared" si="323"/>
        <v>0</v>
      </c>
      <c r="N196" s="94">
        <f t="shared" si="332"/>
        <v>2.8727779999999998</v>
      </c>
      <c r="O196" s="94">
        <f t="shared" si="340"/>
        <v>2.8727779999999998</v>
      </c>
      <c r="P196" s="94">
        <f t="shared" si="325"/>
        <v>2.8727779999999998</v>
      </c>
      <c r="Q196" s="94">
        <f t="shared" si="336"/>
        <v>0</v>
      </c>
      <c r="R196" s="94">
        <f t="shared" si="333"/>
        <v>0</v>
      </c>
      <c r="S196" s="94">
        <f t="shared" si="320"/>
        <v>0</v>
      </c>
      <c r="T196" s="94">
        <f t="shared" si="334"/>
        <v>0</v>
      </c>
      <c r="U196" s="402">
        <f t="shared" si="335"/>
        <v>0</v>
      </c>
      <c r="V196" s="893">
        <v>0</v>
      </c>
      <c r="W196" s="387">
        <v>0</v>
      </c>
      <c r="X196" s="910">
        <f>-2.872778</f>
        <v>-2.8727779999999998</v>
      </c>
      <c r="Y196" s="915">
        <v>0</v>
      </c>
      <c r="Z196" s="367">
        <v>0</v>
      </c>
      <c r="AA196" s="468">
        <v>0</v>
      </c>
      <c r="AB196" s="207">
        <v>-2.8727779999999998</v>
      </c>
      <c r="AC196" s="207">
        <v>0</v>
      </c>
      <c r="AD196" s="367">
        <v>0</v>
      </c>
      <c r="AE196" s="468">
        <v>0</v>
      </c>
      <c r="AF196" s="468">
        <v>0</v>
      </c>
      <c r="AG196" s="468">
        <v>0</v>
      </c>
      <c r="AH196" s="468">
        <v>0</v>
      </c>
      <c r="AI196" s="387">
        <v>0</v>
      </c>
      <c r="AJ196" s="207">
        <v>0</v>
      </c>
      <c r="AK196" s="367">
        <v>0</v>
      </c>
      <c r="AL196" s="367">
        <v>0</v>
      </c>
      <c r="AM196" s="367">
        <v>0</v>
      </c>
      <c r="AN196" s="367">
        <v>0</v>
      </c>
      <c r="AO196" s="295">
        <v>0</v>
      </c>
      <c r="AP196" s="295">
        <v>0</v>
      </c>
      <c r="AQ196" s="295">
        <v>0</v>
      </c>
      <c r="AR196" s="387">
        <v>0</v>
      </c>
      <c r="AS196" s="896">
        <f t="shared" si="329"/>
        <v>0</v>
      </c>
      <c r="AT196" s="418" t="s">
        <v>1690</v>
      </c>
    </row>
    <row r="197" spans="1:48" s="1" customFormat="1" ht="96" hidden="1" customHeight="1" outlineLevel="1" x14ac:dyDescent="0.35">
      <c r="A197" s="590">
        <v>88</v>
      </c>
      <c r="B197" s="612" t="s">
        <v>69</v>
      </c>
      <c r="C197" s="607" t="s">
        <v>1734</v>
      </c>
      <c r="D197" s="63">
        <v>44502</v>
      </c>
      <c r="E197" s="432" t="s">
        <v>1825</v>
      </c>
      <c r="F197" s="480" t="s">
        <v>1692</v>
      </c>
      <c r="G197" s="95" t="s">
        <v>24</v>
      </c>
      <c r="H197" s="310" t="s">
        <v>129</v>
      </c>
      <c r="I197" s="334"/>
      <c r="J197" s="283"/>
      <c r="K197" s="294">
        <f t="shared" si="359"/>
        <v>1.1978000000000001E-2</v>
      </c>
      <c r="L197" s="183">
        <f t="shared" si="322"/>
        <v>0</v>
      </c>
      <c r="M197" s="94">
        <f t="shared" si="323"/>
        <v>0</v>
      </c>
      <c r="N197" s="94">
        <f t="shared" si="332"/>
        <v>6.7799999999999999E-2</v>
      </c>
      <c r="O197" s="94">
        <f t="shared" si="340"/>
        <v>6.7799999999999999E-2</v>
      </c>
      <c r="P197" s="94">
        <f t="shared" si="325"/>
        <v>1.1978000000000001E-2</v>
      </c>
      <c r="Q197" s="94">
        <f t="shared" si="336"/>
        <v>0</v>
      </c>
      <c r="R197" s="94">
        <f t="shared" si="333"/>
        <v>0</v>
      </c>
      <c r="S197" s="94">
        <f t="shared" si="320"/>
        <v>0</v>
      </c>
      <c r="T197" s="94">
        <f t="shared" si="334"/>
        <v>0</v>
      </c>
      <c r="U197" s="402">
        <f t="shared" si="335"/>
        <v>0</v>
      </c>
      <c r="V197" s="893">
        <v>0</v>
      </c>
      <c r="W197" s="387">
        <v>0</v>
      </c>
      <c r="X197" s="910">
        <f>-0.0678</f>
        <v>-6.7799999999999999E-2</v>
      </c>
      <c r="Y197" s="915">
        <v>0</v>
      </c>
      <c r="Z197" s="367">
        <v>0</v>
      </c>
      <c r="AA197" s="468">
        <v>0</v>
      </c>
      <c r="AB197" s="207">
        <f>-0.011978</f>
        <v>-1.1978000000000001E-2</v>
      </c>
      <c r="AC197" s="207">
        <v>0</v>
      </c>
      <c r="AD197" s="367">
        <v>0</v>
      </c>
      <c r="AE197" s="468">
        <v>0</v>
      </c>
      <c r="AF197" s="468">
        <v>0</v>
      </c>
      <c r="AG197" s="468">
        <v>0</v>
      </c>
      <c r="AH197" s="468">
        <v>0</v>
      </c>
      <c r="AI197" s="387">
        <v>0</v>
      </c>
      <c r="AJ197" s="207">
        <v>0</v>
      </c>
      <c r="AK197" s="367">
        <v>0</v>
      </c>
      <c r="AL197" s="367">
        <v>0</v>
      </c>
      <c r="AM197" s="367">
        <v>0</v>
      </c>
      <c r="AN197" s="367">
        <v>0</v>
      </c>
      <c r="AO197" s="295">
        <v>0</v>
      </c>
      <c r="AP197" s="295">
        <v>0</v>
      </c>
      <c r="AQ197" s="295">
        <v>0</v>
      </c>
      <c r="AR197" s="387">
        <v>0</v>
      </c>
      <c r="AS197" s="896">
        <f t="shared" si="329"/>
        <v>0</v>
      </c>
      <c r="AT197" s="418" t="s">
        <v>1693</v>
      </c>
    </row>
    <row r="198" spans="1:48" s="1" customFormat="1" ht="125.15" hidden="1" customHeight="1" outlineLevel="1" x14ac:dyDescent="0.35">
      <c r="A198" s="590">
        <v>89</v>
      </c>
      <c r="B198" s="612" t="s">
        <v>69</v>
      </c>
      <c r="C198" s="607" t="s">
        <v>1730</v>
      </c>
      <c r="D198" s="63">
        <v>44504</v>
      </c>
      <c r="E198" s="432" t="s">
        <v>1828</v>
      </c>
      <c r="F198" s="480" t="s">
        <v>1827</v>
      </c>
      <c r="G198" s="95" t="s">
        <v>24</v>
      </c>
      <c r="H198" s="310" t="s">
        <v>171</v>
      </c>
      <c r="I198" s="334"/>
      <c r="J198" s="283"/>
      <c r="K198" s="294">
        <f t="shared" si="359"/>
        <v>9.5502280000000006</v>
      </c>
      <c r="L198" s="183">
        <f t="shared" ref="L198:N201" si="360">-V198</f>
        <v>0</v>
      </c>
      <c r="M198" s="94">
        <f t="shared" si="360"/>
        <v>0</v>
      </c>
      <c r="N198" s="94">
        <f t="shared" si="360"/>
        <v>9.5502280000000006</v>
      </c>
      <c r="O198" s="94">
        <f t="shared" si="340"/>
        <v>9.5502280000000006</v>
      </c>
      <c r="P198" s="94">
        <v>9.5502280000000006</v>
      </c>
      <c r="Q198" s="94">
        <v>0</v>
      </c>
      <c r="R198" s="94">
        <v>0</v>
      </c>
      <c r="S198" s="94">
        <v>0</v>
      </c>
      <c r="T198" s="94">
        <v>0</v>
      </c>
      <c r="U198" s="402">
        <v>0</v>
      </c>
      <c r="V198" s="893">
        <v>0</v>
      </c>
      <c r="W198" s="387">
        <v>0</v>
      </c>
      <c r="X198" s="910">
        <f>-9.550228</f>
        <v>-9.5502280000000006</v>
      </c>
      <c r="Y198" s="915">
        <v>0</v>
      </c>
      <c r="Z198" s="367">
        <v>0</v>
      </c>
      <c r="AA198" s="468">
        <v>0</v>
      </c>
      <c r="AB198" s="207">
        <f>-1.920024</f>
        <v>-1.920024</v>
      </c>
      <c r="AC198" s="207">
        <v>-5.9199469999999996</v>
      </c>
      <c r="AD198" s="367">
        <v>0</v>
      </c>
      <c r="AE198" s="468">
        <v>0</v>
      </c>
      <c r="AF198" s="468">
        <v>-7.8761859999999997</v>
      </c>
      <c r="AG198" s="468">
        <v>-5.9199469999999996</v>
      </c>
      <c r="AH198" s="468">
        <v>-5.9199469999999996</v>
      </c>
      <c r="AI198" s="939">
        <v>-7.1954330000000004</v>
      </c>
      <c r="AJ198" s="207">
        <v>-7.7826000000000006E-2</v>
      </c>
      <c r="AK198" s="367">
        <v>-1.137213</v>
      </c>
      <c r="AL198" s="367">
        <v>-1.137213</v>
      </c>
      <c r="AM198" s="367">
        <v>-7.7826000000000006E-2</v>
      </c>
      <c r="AN198" s="367">
        <v>-7.7826000000000006E-2</v>
      </c>
      <c r="AO198" s="295">
        <v>0</v>
      </c>
      <c r="AP198" s="295">
        <v>0</v>
      </c>
      <c r="AQ198" s="295">
        <v>0</v>
      </c>
      <c r="AR198" s="939">
        <f>-0.014</f>
        <v>-1.4E-2</v>
      </c>
      <c r="AS198" s="896">
        <v>0</v>
      </c>
      <c r="AT198" s="418" t="s">
        <v>1826</v>
      </c>
    </row>
    <row r="199" spans="1:48" s="1" customFormat="1" ht="120" hidden="1" customHeight="1" outlineLevel="1" x14ac:dyDescent="0.35">
      <c r="A199" s="590">
        <v>90</v>
      </c>
      <c r="B199" s="612" t="s">
        <v>69</v>
      </c>
      <c r="C199" s="607" t="s">
        <v>1733</v>
      </c>
      <c r="D199" s="558">
        <v>44516</v>
      </c>
      <c r="E199" s="432" t="s">
        <v>1819</v>
      </c>
      <c r="F199" s="480" t="s">
        <v>1784</v>
      </c>
      <c r="G199" s="95" t="s">
        <v>24</v>
      </c>
      <c r="H199" s="310" t="s">
        <v>1794</v>
      </c>
      <c r="I199" s="334"/>
      <c r="J199" s="283"/>
      <c r="K199" s="294">
        <f t="shared" si="359"/>
        <v>18.983277999999999</v>
      </c>
      <c r="L199" s="183">
        <f t="shared" ref="L199:L200" si="361">-V199</f>
        <v>0</v>
      </c>
      <c r="M199" s="94">
        <f t="shared" ref="M199:M201" si="362">-W199</f>
        <v>0</v>
      </c>
      <c r="N199" s="94">
        <f t="shared" ref="N199:N200" si="363">-X199</f>
        <v>18.983277999999999</v>
      </c>
      <c r="O199" s="94">
        <f t="shared" si="340"/>
        <v>18.983277999999999</v>
      </c>
      <c r="P199" s="94">
        <f t="shared" ref="P199:P219" si="364">-AB199</f>
        <v>18.983277999999999</v>
      </c>
      <c r="Q199" s="94">
        <f t="shared" ref="Q199:Q205" si="365">-AC199</f>
        <v>0</v>
      </c>
      <c r="R199" s="94">
        <f t="shared" ref="R199:R201" si="366">-AC199</f>
        <v>0</v>
      </c>
      <c r="S199" s="94">
        <f t="shared" ref="S199:S205" si="367">-AI199</f>
        <v>0</v>
      </c>
      <c r="T199" s="94">
        <f t="shared" ref="T199:T201" si="368">-AJ199</f>
        <v>0</v>
      </c>
      <c r="U199" s="402">
        <f>-AQ199</f>
        <v>0</v>
      </c>
      <c r="V199" s="893">
        <v>0</v>
      </c>
      <c r="W199" s="387">
        <v>0</v>
      </c>
      <c r="X199" s="910">
        <f>-18.983278</f>
        <v>-18.983277999999999</v>
      </c>
      <c r="Y199" s="915">
        <v>0</v>
      </c>
      <c r="Z199" s="367">
        <v>0</v>
      </c>
      <c r="AA199" s="468">
        <v>0</v>
      </c>
      <c r="AB199" s="207">
        <f>-0.243775-18.739503</f>
        <v>-18.983277999999999</v>
      </c>
      <c r="AC199" s="207">
        <v>0</v>
      </c>
      <c r="AD199" s="367">
        <v>0</v>
      </c>
      <c r="AE199" s="468">
        <v>0</v>
      </c>
      <c r="AF199" s="468">
        <v>0</v>
      </c>
      <c r="AG199" s="468">
        <v>0</v>
      </c>
      <c r="AH199" s="468">
        <v>0</v>
      </c>
      <c r="AI199" s="387">
        <v>0</v>
      </c>
      <c r="AJ199" s="207">
        <v>0</v>
      </c>
      <c r="AK199" s="367">
        <v>0</v>
      </c>
      <c r="AL199" s="367">
        <v>0</v>
      </c>
      <c r="AM199" s="367">
        <v>0</v>
      </c>
      <c r="AN199" s="367">
        <v>0</v>
      </c>
      <c r="AO199" s="295">
        <v>0</v>
      </c>
      <c r="AP199" s="295">
        <v>0</v>
      </c>
      <c r="AQ199" s="295">
        <v>0</v>
      </c>
      <c r="AR199" s="387">
        <v>0</v>
      </c>
      <c r="AS199" s="896">
        <f>-AR199</f>
        <v>0</v>
      </c>
      <c r="AT199" s="418" t="s">
        <v>1785</v>
      </c>
      <c r="AV199" s="566"/>
    </row>
    <row r="200" spans="1:48" s="1" customFormat="1" ht="143.15" hidden="1" customHeight="1" outlineLevel="1" x14ac:dyDescent="0.35">
      <c r="A200" s="590">
        <v>91</v>
      </c>
      <c r="B200" s="612" t="s">
        <v>69</v>
      </c>
      <c r="C200" s="607" t="s">
        <v>1733</v>
      </c>
      <c r="D200" s="558">
        <v>44517</v>
      </c>
      <c r="E200" s="432" t="s">
        <v>1832</v>
      </c>
      <c r="F200" s="480" t="s">
        <v>1795</v>
      </c>
      <c r="G200" s="95" t="s">
        <v>24</v>
      </c>
      <c r="H200" s="310" t="s">
        <v>1794</v>
      </c>
      <c r="I200" s="334"/>
      <c r="J200" s="283"/>
      <c r="K200" s="294">
        <f t="shared" si="359"/>
        <v>0.68105400000000005</v>
      </c>
      <c r="L200" s="183">
        <f t="shared" si="361"/>
        <v>0</v>
      </c>
      <c r="M200" s="94">
        <f t="shared" si="362"/>
        <v>0</v>
      </c>
      <c r="N200" s="94">
        <f t="shared" si="363"/>
        <v>0.87334800000000001</v>
      </c>
      <c r="O200" s="94">
        <f t="shared" si="340"/>
        <v>0.87334800000000001</v>
      </c>
      <c r="P200" s="94">
        <f t="shared" si="364"/>
        <v>0.68105400000000005</v>
      </c>
      <c r="Q200" s="94">
        <f t="shared" si="365"/>
        <v>0</v>
      </c>
      <c r="R200" s="94">
        <f t="shared" si="366"/>
        <v>0</v>
      </c>
      <c r="S200" s="94">
        <f t="shared" si="367"/>
        <v>0</v>
      </c>
      <c r="T200" s="94">
        <f t="shared" ref="T200" si="369">-AJ200</f>
        <v>0</v>
      </c>
      <c r="U200" s="402">
        <f t="shared" ref="U200" si="370">-AQ200</f>
        <v>0</v>
      </c>
      <c r="V200" s="893">
        <v>0</v>
      </c>
      <c r="W200" s="387">
        <v>0</v>
      </c>
      <c r="X200" s="920">
        <f>-0.873348</f>
        <v>-0.87334800000000001</v>
      </c>
      <c r="Y200" s="915">
        <v>0</v>
      </c>
      <c r="Z200" s="367">
        <v>0</v>
      </c>
      <c r="AA200" s="468">
        <v>0</v>
      </c>
      <c r="AB200" s="207">
        <f>-0.681054</f>
        <v>-0.68105400000000005</v>
      </c>
      <c r="AC200" s="207">
        <v>0</v>
      </c>
      <c r="AD200" s="367">
        <v>0</v>
      </c>
      <c r="AE200" s="468">
        <v>0</v>
      </c>
      <c r="AF200" s="468">
        <v>0</v>
      </c>
      <c r="AG200" s="468">
        <v>0</v>
      </c>
      <c r="AH200" s="468">
        <v>0</v>
      </c>
      <c r="AI200" s="387">
        <v>0</v>
      </c>
      <c r="AJ200" s="207">
        <v>0</v>
      </c>
      <c r="AK200" s="367">
        <v>0</v>
      </c>
      <c r="AL200" s="367">
        <v>0</v>
      </c>
      <c r="AM200" s="367">
        <v>0</v>
      </c>
      <c r="AN200" s="367">
        <v>0</v>
      </c>
      <c r="AO200" s="295">
        <v>0</v>
      </c>
      <c r="AP200" s="295">
        <v>0</v>
      </c>
      <c r="AQ200" s="295">
        <v>0</v>
      </c>
      <c r="AR200" s="387">
        <v>0</v>
      </c>
      <c r="AS200" s="896">
        <f>-AR200</f>
        <v>0</v>
      </c>
      <c r="AT200" s="418" t="s">
        <v>1829</v>
      </c>
    </row>
    <row r="201" spans="1:48" s="1" customFormat="1" ht="89.5" hidden="1" customHeight="1" outlineLevel="1" x14ac:dyDescent="0.35">
      <c r="A201" s="590">
        <v>92</v>
      </c>
      <c r="B201" s="612" t="s">
        <v>69</v>
      </c>
      <c r="C201" s="607" t="s">
        <v>1730</v>
      </c>
      <c r="D201" s="558">
        <v>44531</v>
      </c>
      <c r="E201" s="432" t="s">
        <v>1834</v>
      </c>
      <c r="F201" s="480" t="s">
        <v>1836</v>
      </c>
      <c r="G201" s="95" t="s">
        <v>24</v>
      </c>
      <c r="H201" s="310" t="s">
        <v>171</v>
      </c>
      <c r="I201" s="334"/>
      <c r="J201" s="283"/>
      <c r="K201" s="294">
        <f t="shared" si="359"/>
        <v>0.22056699999999999</v>
      </c>
      <c r="L201" s="183">
        <v>0</v>
      </c>
      <c r="M201" s="94">
        <f t="shared" si="362"/>
        <v>0</v>
      </c>
      <c r="N201" s="94">
        <f t="shared" si="360"/>
        <v>0.21936700000000001</v>
      </c>
      <c r="O201" s="94">
        <f t="shared" si="340"/>
        <v>0.21936700000000001</v>
      </c>
      <c r="P201" s="94">
        <f t="shared" si="364"/>
        <v>0.22056699999999999</v>
      </c>
      <c r="Q201" s="94">
        <f t="shared" si="365"/>
        <v>0</v>
      </c>
      <c r="R201" s="94">
        <f t="shared" si="366"/>
        <v>0</v>
      </c>
      <c r="S201" s="94">
        <f t="shared" si="367"/>
        <v>0</v>
      </c>
      <c r="T201" s="94">
        <f t="shared" si="368"/>
        <v>0</v>
      </c>
      <c r="U201" s="402">
        <f>-AQ201</f>
        <v>0</v>
      </c>
      <c r="V201" s="893">
        <v>0</v>
      </c>
      <c r="W201" s="387">
        <v>0</v>
      </c>
      <c r="X201" s="910">
        <f>-0.219367</f>
        <v>-0.21936700000000001</v>
      </c>
      <c r="Y201" s="915">
        <v>0</v>
      </c>
      <c r="Z201" s="367">
        <v>0</v>
      </c>
      <c r="AA201" s="468">
        <v>0</v>
      </c>
      <c r="AB201" s="207">
        <f>-0.026502-0.194065</f>
        <v>-0.22056699999999999</v>
      </c>
      <c r="AC201" s="207">
        <v>0</v>
      </c>
      <c r="AD201" s="367">
        <v>0</v>
      </c>
      <c r="AE201" s="468">
        <v>0</v>
      </c>
      <c r="AF201" s="468">
        <v>0</v>
      </c>
      <c r="AG201" s="468">
        <v>0</v>
      </c>
      <c r="AH201" s="468">
        <v>0</v>
      </c>
      <c r="AI201" s="387">
        <v>0</v>
      </c>
      <c r="AJ201" s="207">
        <v>0</v>
      </c>
      <c r="AK201" s="367">
        <v>0</v>
      </c>
      <c r="AL201" s="367">
        <v>0</v>
      </c>
      <c r="AM201" s="367">
        <v>0</v>
      </c>
      <c r="AN201" s="367">
        <v>0</v>
      </c>
      <c r="AO201" s="295">
        <v>0</v>
      </c>
      <c r="AP201" s="295">
        <v>0</v>
      </c>
      <c r="AQ201" s="295">
        <v>0</v>
      </c>
      <c r="AR201" s="387">
        <v>0</v>
      </c>
      <c r="AS201" s="896">
        <f>-AR201</f>
        <v>0</v>
      </c>
      <c r="AT201" s="418" t="s">
        <v>1833</v>
      </c>
    </row>
    <row r="202" spans="1:48" s="1" customFormat="1" ht="101.15" hidden="1" customHeight="1" outlineLevel="1" x14ac:dyDescent="0.35">
      <c r="A202" s="590">
        <v>93</v>
      </c>
      <c r="B202" s="612" t="s">
        <v>69</v>
      </c>
      <c r="C202" s="607" t="s">
        <v>1733</v>
      </c>
      <c r="D202" s="275">
        <v>44531</v>
      </c>
      <c r="E202" s="432" t="s">
        <v>1840</v>
      </c>
      <c r="F202" s="480" t="s">
        <v>1805</v>
      </c>
      <c r="G202" s="95" t="s">
        <v>24</v>
      </c>
      <c r="H202" s="310" t="s">
        <v>1794</v>
      </c>
      <c r="I202" s="334"/>
      <c r="J202" s="283"/>
      <c r="K202" s="294">
        <f t="shared" si="359"/>
        <v>4.6815320000000007</v>
      </c>
      <c r="L202" s="183">
        <f t="shared" ref="L202:L243" si="371">-V202</f>
        <v>0</v>
      </c>
      <c r="M202" s="94">
        <f t="shared" ref="M202:M234" si="372">-W202</f>
        <v>0</v>
      </c>
      <c r="N202" s="94">
        <f>-X202</f>
        <v>4.6815320000000007</v>
      </c>
      <c r="O202" s="94">
        <f t="shared" si="340"/>
        <v>4.6815320000000007</v>
      </c>
      <c r="P202" s="94">
        <f t="shared" si="364"/>
        <v>4.6815320000000007</v>
      </c>
      <c r="Q202" s="94">
        <f t="shared" si="365"/>
        <v>0</v>
      </c>
      <c r="R202" s="94">
        <f t="shared" ref="R202:R209" si="373">-AC202</f>
        <v>0</v>
      </c>
      <c r="S202" s="94">
        <f t="shared" si="367"/>
        <v>0</v>
      </c>
      <c r="T202" s="94">
        <f t="shared" ref="T202:T210" si="374">-AJ202</f>
        <v>0</v>
      </c>
      <c r="U202" s="402">
        <f t="shared" ref="U202:U243" si="375">-AQ202</f>
        <v>0</v>
      </c>
      <c r="V202" s="893">
        <v>0</v>
      </c>
      <c r="W202" s="387">
        <v>0</v>
      </c>
      <c r="X202" s="920">
        <f>-4.284321-0.397211</f>
        <v>-4.6815320000000007</v>
      </c>
      <c r="Y202" s="915">
        <v>0</v>
      </c>
      <c r="Z202" s="367">
        <v>0</v>
      </c>
      <c r="AA202" s="468">
        <v>0</v>
      </c>
      <c r="AB202" s="207">
        <v>-4.6815320000000007</v>
      </c>
      <c r="AC202" s="207">
        <v>0</v>
      </c>
      <c r="AD202" s="367">
        <v>0</v>
      </c>
      <c r="AE202" s="468">
        <v>0</v>
      </c>
      <c r="AF202" s="468">
        <v>0</v>
      </c>
      <c r="AG202" s="468">
        <v>0</v>
      </c>
      <c r="AH202" s="468">
        <v>0</v>
      </c>
      <c r="AI202" s="387">
        <v>0</v>
      </c>
      <c r="AJ202" s="207">
        <v>0</v>
      </c>
      <c r="AK202" s="367">
        <v>0</v>
      </c>
      <c r="AL202" s="367">
        <v>0</v>
      </c>
      <c r="AM202" s="367">
        <v>0</v>
      </c>
      <c r="AN202" s="367">
        <v>0</v>
      </c>
      <c r="AO202" s="295">
        <v>0</v>
      </c>
      <c r="AP202" s="295">
        <v>0</v>
      </c>
      <c r="AQ202" s="295">
        <v>0</v>
      </c>
      <c r="AR202" s="387">
        <v>0</v>
      </c>
      <c r="AS202" s="896">
        <f t="shared" ref="AS202:AS209" si="376">-AR202</f>
        <v>0</v>
      </c>
      <c r="AT202" s="418" t="s">
        <v>1804</v>
      </c>
    </row>
    <row r="203" spans="1:48" s="1" customFormat="1" ht="101.15" hidden="1" customHeight="1" outlineLevel="1" x14ac:dyDescent="0.35">
      <c r="A203" s="590">
        <v>94</v>
      </c>
      <c r="B203" s="612" t="s">
        <v>69</v>
      </c>
      <c r="C203" s="607" t="s">
        <v>1732</v>
      </c>
      <c r="D203" s="275">
        <v>44531</v>
      </c>
      <c r="E203" s="443" t="s">
        <v>1818</v>
      </c>
      <c r="F203" s="559" t="s">
        <v>1675</v>
      </c>
      <c r="G203" s="95" t="s">
        <v>24</v>
      </c>
      <c r="H203" s="310" t="s">
        <v>130</v>
      </c>
      <c r="I203" s="334"/>
      <c r="J203" s="283"/>
      <c r="K203" s="294">
        <f t="shared" si="359"/>
        <v>0.44775199999999998</v>
      </c>
      <c r="L203" s="183">
        <f t="shared" ref="L203" si="377">-V203</f>
        <v>0</v>
      </c>
      <c r="M203" s="94">
        <f t="shared" ref="M203" si="378">-W203</f>
        <v>0</v>
      </c>
      <c r="N203" s="94">
        <f t="shared" ref="N203" si="379">-X203</f>
        <v>0.44775199999999998</v>
      </c>
      <c r="O203" s="94">
        <f t="shared" si="340"/>
        <v>0.44775199999999998</v>
      </c>
      <c r="P203" s="94">
        <f t="shared" si="364"/>
        <v>0.44775199999999998</v>
      </c>
      <c r="Q203" s="94">
        <f t="shared" si="365"/>
        <v>0</v>
      </c>
      <c r="R203" s="94">
        <f t="shared" ref="R203" si="380">-AC203</f>
        <v>0</v>
      </c>
      <c r="S203" s="94">
        <f t="shared" si="367"/>
        <v>0</v>
      </c>
      <c r="T203" s="94">
        <f>-AJ203</f>
        <v>0</v>
      </c>
      <c r="U203" s="402">
        <f t="shared" ref="U203" si="381">-AQ203</f>
        <v>0</v>
      </c>
      <c r="V203" s="893">
        <v>0</v>
      </c>
      <c r="W203" s="387">
        <v>0</v>
      </c>
      <c r="X203" s="920">
        <f>-0.447752</f>
        <v>-0.44775199999999998</v>
      </c>
      <c r="Y203" s="915">
        <v>0</v>
      </c>
      <c r="Z203" s="367">
        <v>0</v>
      </c>
      <c r="AA203" s="468">
        <v>0</v>
      </c>
      <c r="AB203" s="207">
        <v>-0.44775199999999998</v>
      </c>
      <c r="AC203" s="207">
        <v>0</v>
      </c>
      <c r="AD203" s="367">
        <v>0</v>
      </c>
      <c r="AE203" s="468">
        <v>0</v>
      </c>
      <c r="AF203" s="468">
        <v>0</v>
      </c>
      <c r="AG203" s="468">
        <v>0</v>
      </c>
      <c r="AH203" s="468">
        <v>0</v>
      </c>
      <c r="AI203" s="387">
        <v>0</v>
      </c>
      <c r="AJ203" s="207">
        <v>0</v>
      </c>
      <c r="AK203" s="367">
        <v>0</v>
      </c>
      <c r="AL203" s="367">
        <v>0</v>
      </c>
      <c r="AM203" s="367">
        <v>0</v>
      </c>
      <c r="AN203" s="367">
        <v>0</v>
      </c>
      <c r="AO203" s="295">
        <v>0</v>
      </c>
      <c r="AP203" s="295">
        <v>0</v>
      </c>
      <c r="AQ203" s="295">
        <v>0</v>
      </c>
      <c r="AR203" s="387">
        <v>0</v>
      </c>
      <c r="AS203" s="896">
        <f t="shared" ref="AS203" si="382">-AR203</f>
        <v>0</v>
      </c>
      <c r="AT203" s="418" t="s">
        <v>1891</v>
      </c>
    </row>
    <row r="204" spans="1:48" s="1" customFormat="1" ht="102.65" hidden="1" customHeight="1" outlineLevel="1" x14ac:dyDescent="0.35">
      <c r="A204" s="590">
        <v>95</v>
      </c>
      <c r="B204" s="612" t="s">
        <v>69</v>
      </c>
      <c r="C204" s="607" t="s">
        <v>1732</v>
      </c>
      <c r="D204" s="275">
        <v>44488</v>
      </c>
      <c r="E204" s="443" t="s">
        <v>1892</v>
      </c>
      <c r="F204" s="559" t="s">
        <v>1675</v>
      </c>
      <c r="G204" s="95" t="s">
        <v>24</v>
      </c>
      <c r="H204" s="310" t="s">
        <v>130</v>
      </c>
      <c r="I204" s="334"/>
      <c r="J204" s="283"/>
      <c r="K204" s="294">
        <f t="shared" si="359"/>
        <v>31.339444</v>
      </c>
      <c r="L204" s="183">
        <f t="shared" si="371"/>
        <v>0</v>
      </c>
      <c r="M204" s="94">
        <f t="shared" si="372"/>
        <v>0</v>
      </c>
      <c r="N204" s="94">
        <f t="shared" ref="N204:N207" si="383">-X204</f>
        <v>0</v>
      </c>
      <c r="O204" s="94">
        <f t="shared" si="340"/>
        <v>0</v>
      </c>
      <c r="P204" s="94">
        <f t="shared" si="364"/>
        <v>0</v>
      </c>
      <c r="Q204" s="94">
        <f t="shared" si="365"/>
        <v>31.339444</v>
      </c>
      <c r="R204" s="94">
        <f t="shared" si="373"/>
        <v>31.339444</v>
      </c>
      <c r="S204" s="94">
        <f t="shared" si="367"/>
        <v>0</v>
      </c>
      <c r="T204" s="94">
        <f t="shared" si="374"/>
        <v>0</v>
      </c>
      <c r="U204" s="402">
        <f t="shared" si="375"/>
        <v>0</v>
      </c>
      <c r="V204" s="893">
        <v>0</v>
      </c>
      <c r="W204" s="387">
        <v>0</v>
      </c>
      <c r="X204" s="920">
        <f>0</f>
        <v>0</v>
      </c>
      <c r="Y204" s="915">
        <v>0</v>
      </c>
      <c r="Z204" s="367">
        <v>0</v>
      </c>
      <c r="AA204" s="468">
        <v>0</v>
      </c>
      <c r="AB204" s="207">
        <v>0</v>
      </c>
      <c r="AC204" s="207">
        <f>-31.339444</f>
        <v>-31.339444</v>
      </c>
      <c r="AD204" s="367">
        <v>0</v>
      </c>
      <c r="AE204" s="468">
        <v>0</v>
      </c>
      <c r="AF204" s="468">
        <v>0</v>
      </c>
      <c r="AG204" s="468">
        <v>0</v>
      </c>
      <c r="AH204" s="468">
        <v>0</v>
      </c>
      <c r="AI204" s="387">
        <v>0</v>
      </c>
      <c r="AJ204" s="207">
        <v>0</v>
      </c>
      <c r="AK204" s="367">
        <v>0</v>
      </c>
      <c r="AL204" s="367">
        <v>0</v>
      </c>
      <c r="AM204" s="367">
        <v>0</v>
      </c>
      <c r="AN204" s="367">
        <v>0</v>
      </c>
      <c r="AO204" s="295">
        <v>0</v>
      </c>
      <c r="AP204" s="295">
        <v>0</v>
      </c>
      <c r="AQ204" s="295">
        <v>0</v>
      </c>
      <c r="AR204" s="387">
        <v>0</v>
      </c>
      <c r="AS204" s="896">
        <f t="shared" si="376"/>
        <v>0</v>
      </c>
      <c r="AT204" s="418" t="s">
        <v>1893</v>
      </c>
    </row>
    <row r="205" spans="1:48" s="1" customFormat="1" ht="123.65" hidden="1" customHeight="1" outlineLevel="1" x14ac:dyDescent="0.35">
      <c r="A205" s="590">
        <v>96</v>
      </c>
      <c r="B205" s="612" t="s">
        <v>69</v>
      </c>
      <c r="C205" s="607" t="s">
        <v>1730</v>
      </c>
      <c r="D205" s="275">
        <v>44530</v>
      </c>
      <c r="E205" s="443" t="s">
        <v>1835</v>
      </c>
      <c r="F205" s="559" t="s">
        <v>1837</v>
      </c>
      <c r="G205" s="95" t="s">
        <v>24</v>
      </c>
      <c r="H205" s="310" t="s">
        <v>171</v>
      </c>
      <c r="I205" s="334"/>
      <c r="J205" s="283"/>
      <c r="K205" s="294">
        <f t="shared" si="359"/>
        <v>0.16364999999999999</v>
      </c>
      <c r="L205" s="183">
        <f t="shared" si="371"/>
        <v>0</v>
      </c>
      <c r="M205" s="94">
        <f t="shared" si="372"/>
        <v>0</v>
      </c>
      <c r="N205" s="94">
        <f t="shared" si="383"/>
        <v>0.16364999999999999</v>
      </c>
      <c r="O205" s="94">
        <f t="shared" si="340"/>
        <v>0.16364999999999999</v>
      </c>
      <c r="P205" s="94">
        <f t="shared" si="364"/>
        <v>0.16364999999999999</v>
      </c>
      <c r="Q205" s="94">
        <f t="shared" si="365"/>
        <v>0</v>
      </c>
      <c r="R205" s="94">
        <f t="shared" si="373"/>
        <v>0</v>
      </c>
      <c r="S205" s="94">
        <f t="shared" si="367"/>
        <v>0</v>
      </c>
      <c r="T205" s="94">
        <f t="shared" si="374"/>
        <v>0</v>
      </c>
      <c r="U205" s="402">
        <f t="shared" si="375"/>
        <v>0</v>
      </c>
      <c r="V205" s="893">
        <v>0</v>
      </c>
      <c r="W205" s="387">
        <v>0</v>
      </c>
      <c r="X205" s="910">
        <f>-0.16365</f>
        <v>-0.16364999999999999</v>
      </c>
      <c r="Y205" s="915">
        <v>0</v>
      </c>
      <c r="Z205" s="367">
        <v>0</v>
      </c>
      <c r="AA205" s="468">
        <v>0</v>
      </c>
      <c r="AB205" s="207">
        <v>-0.16364999999999999</v>
      </c>
      <c r="AC205" s="207">
        <v>0</v>
      </c>
      <c r="AD205" s="367">
        <v>0</v>
      </c>
      <c r="AE205" s="468">
        <v>0</v>
      </c>
      <c r="AF205" s="468">
        <v>0</v>
      </c>
      <c r="AG205" s="468">
        <v>0</v>
      </c>
      <c r="AH205" s="468">
        <v>0</v>
      </c>
      <c r="AI205" s="387">
        <v>0</v>
      </c>
      <c r="AJ205" s="207">
        <v>0</v>
      </c>
      <c r="AK205" s="367">
        <v>0</v>
      </c>
      <c r="AL205" s="367">
        <v>0</v>
      </c>
      <c r="AM205" s="367">
        <v>0</v>
      </c>
      <c r="AN205" s="367">
        <v>0</v>
      </c>
      <c r="AO205" s="295">
        <v>0</v>
      </c>
      <c r="AP205" s="295">
        <v>0</v>
      </c>
      <c r="AQ205" s="295">
        <v>0</v>
      </c>
      <c r="AR205" s="387">
        <v>0</v>
      </c>
      <c r="AS205" s="896">
        <f t="shared" si="376"/>
        <v>0</v>
      </c>
      <c r="AT205" s="418" t="s">
        <v>1838</v>
      </c>
    </row>
    <row r="206" spans="1:48" s="1" customFormat="1" ht="123.65" hidden="1" customHeight="1" outlineLevel="1" x14ac:dyDescent="0.35">
      <c r="A206" s="590">
        <v>96</v>
      </c>
      <c r="B206" s="612" t="s">
        <v>69</v>
      </c>
      <c r="C206" s="607" t="s">
        <v>1730</v>
      </c>
      <c r="D206" s="275">
        <v>44635</v>
      </c>
      <c r="E206" s="432" t="s">
        <v>2131</v>
      </c>
      <c r="F206" s="559" t="s">
        <v>2130</v>
      </c>
      <c r="G206" s="95" t="s">
        <v>24</v>
      </c>
      <c r="H206" s="310" t="s">
        <v>171</v>
      </c>
      <c r="I206" s="334"/>
      <c r="J206" s="283"/>
      <c r="K206" s="294">
        <f t="shared" ref="K206" si="384">M206+P206+U206+R206+T206</f>
        <v>0.63471200000000005</v>
      </c>
      <c r="L206" s="183">
        <f t="shared" ref="L206" si="385">-V206</f>
        <v>0</v>
      </c>
      <c r="M206" s="94">
        <f t="shared" ref="M206" si="386">-W206</f>
        <v>0</v>
      </c>
      <c r="N206" s="94">
        <f t="shared" ref="N206" si="387">-X206</f>
        <v>0</v>
      </c>
      <c r="O206" s="94">
        <f t="shared" ref="O206" si="388">-X206</f>
        <v>0</v>
      </c>
      <c r="P206" s="94">
        <v>0</v>
      </c>
      <c r="Q206" s="94">
        <v>0.63471200000000005</v>
      </c>
      <c r="R206" s="94">
        <v>0.63471200000000005</v>
      </c>
      <c r="S206" s="94">
        <v>0</v>
      </c>
      <c r="T206" s="94">
        <v>0</v>
      </c>
      <c r="U206" s="402">
        <f t="shared" ref="U206" si="389">-AQ206</f>
        <v>0</v>
      </c>
      <c r="V206" s="893">
        <v>0</v>
      </c>
      <c r="W206" s="387">
        <v>0</v>
      </c>
      <c r="X206" s="910">
        <v>0</v>
      </c>
      <c r="Y206" s="915">
        <v>0</v>
      </c>
      <c r="Z206" s="367">
        <v>0</v>
      </c>
      <c r="AA206" s="468">
        <v>0</v>
      </c>
      <c r="AB206" s="207">
        <v>-0.26621899999999998</v>
      </c>
      <c r="AC206" s="207">
        <v>-0.35644900000000002</v>
      </c>
      <c r="AD206" s="367">
        <v>0</v>
      </c>
      <c r="AE206" s="468">
        <v>0</v>
      </c>
      <c r="AF206" s="468">
        <v>0</v>
      </c>
      <c r="AG206" s="468">
        <v>-0.35644900000000002</v>
      </c>
      <c r="AH206" s="468">
        <v>-0.35644900000000002</v>
      </c>
      <c r="AI206" s="939">
        <v>-0.27446100000000001</v>
      </c>
      <c r="AJ206" s="207">
        <v>-8.6988999999999997E-2</v>
      </c>
      <c r="AK206" s="367">
        <v>-5.0019900000000004E-3</v>
      </c>
      <c r="AL206" s="367">
        <v>-5.0019900000000004E-3</v>
      </c>
      <c r="AM206" s="367">
        <v>-8.6988999999999997E-2</v>
      </c>
      <c r="AN206" s="367">
        <v>-8.6988999999999997E-2</v>
      </c>
      <c r="AO206" s="295">
        <v>0</v>
      </c>
      <c r="AP206" s="295">
        <v>0</v>
      </c>
      <c r="AQ206" s="295">
        <v>0</v>
      </c>
      <c r="AR206" s="939">
        <v>-2.2853999999999999E-2</v>
      </c>
      <c r="AS206" s="896">
        <v>0</v>
      </c>
      <c r="AT206" s="418" t="s">
        <v>2132</v>
      </c>
    </row>
    <row r="207" spans="1:48" s="1" customFormat="1" ht="123.65" hidden="1" customHeight="1" outlineLevel="1" x14ac:dyDescent="0.35">
      <c r="A207" s="590">
        <v>97</v>
      </c>
      <c r="B207" s="612" t="s">
        <v>69</v>
      </c>
      <c r="C207" s="607" t="s">
        <v>1733</v>
      </c>
      <c r="D207" s="275">
        <v>44531</v>
      </c>
      <c r="E207" s="432" t="s">
        <v>1839</v>
      </c>
      <c r="F207" s="559" t="s">
        <v>1803</v>
      </c>
      <c r="G207" s="95" t="s">
        <v>24</v>
      </c>
      <c r="H207" s="310" t="s">
        <v>1794</v>
      </c>
      <c r="I207" s="334"/>
      <c r="J207" s="283"/>
      <c r="K207" s="294">
        <f t="shared" si="359"/>
        <v>3.6593420000000001</v>
      </c>
      <c r="L207" s="183">
        <f t="shared" si="371"/>
        <v>0</v>
      </c>
      <c r="M207" s="94">
        <f t="shared" si="372"/>
        <v>0</v>
      </c>
      <c r="N207" s="94">
        <f t="shared" si="383"/>
        <v>3.6593420000000001</v>
      </c>
      <c r="O207" s="94">
        <f t="shared" si="340"/>
        <v>3.6593420000000001</v>
      </c>
      <c r="P207" s="94">
        <f t="shared" si="364"/>
        <v>3.6593420000000001</v>
      </c>
      <c r="Q207" s="94">
        <f t="shared" ref="Q207:Q243" si="390">-AC207</f>
        <v>0</v>
      </c>
      <c r="R207" s="94">
        <f t="shared" si="373"/>
        <v>0</v>
      </c>
      <c r="S207" s="94">
        <f t="shared" ref="S207:S238" si="391">-AI207</f>
        <v>0</v>
      </c>
      <c r="T207" s="94">
        <f t="shared" si="374"/>
        <v>0</v>
      </c>
      <c r="U207" s="402">
        <f t="shared" si="375"/>
        <v>0</v>
      </c>
      <c r="V207" s="893">
        <v>0</v>
      </c>
      <c r="W207" s="387">
        <v>0</v>
      </c>
      <c r="X207" s="920">
        <f>-3.659342</f>
        <v>-3.6593420000000001</v>
      </c>
      <c r="Y207" s="915">
        <v>0</v>
      </c>
      <c r="Z207" s="367">
        <v>0</v>
      </c>
      <c r="AA207" s="468">
        <v>0</v>
      </c>
      <c r="AB207" s="207">
        <v>-3.6593420000000001</v>
      </c>
      <c r="AC207" s="207">
        <v>0</v>
      </c>
      <c r="AD207" s="367">
        <v>0</v>
      </c>
      <c r="AE207" s="468">
        <v>0</v>
      </c>
      <c r="AF207" s="468">
        <v>0</v>
      </c>
      <c r="AG207" s="468">
        <v>0</v>
      </c>
      <c r="AH207" s="468">
        <v>0</v>
      </c>
      <c r="AI207" s="387">
        <v>0</v>
      </c>
      <c r="AJ207" s="207">
        <v>0</v>
      </c>
      <c r="AK207" s="367">
        <v>0</v>
      </c>
      <c r="AL207" s="367">
        <v>0</v>
      </c>
      <c r="AM207" s="367">
        <v>0</v>
      </c>
      <c r="AN207" s="367">
        <v>0</v>
      </c>
      <c r="AO207" s="295">
        <v>0</v>
      </c>
      <c r="AP207" s="295">
        <v>0</v>
      </c>
      <c r="AQ207" s="295">
        <v>0</v>
      </c>
      <c r="AR207" s="387">
        <v>0</v>
      </c>
      <c r="AS207" s="896">
        <f t="shared" si="376"/>
        <v>0</v>
      </c>
      <c r="AT207" s="418" t="s">
        <v>1870</v>
      </c>
      <c r="AV207" s="566"/>
    </row>
    <row r="208" spans="1:48" s="1" customFormat="1" ht="123.65" hidden="1" customHeight="1" outlineLevel="1" x14ac:dyDescent="0.35">
      <c r="A208" s="590">
        <v>98</v>
      </c>
      <c r="B208" s="612" t="s">
        <v>69</v>
      </c>
      <c r="C208" s="607" t="s">
        <v>1732</v>
      </c>
      <c r="D208" s="275">
        <v>44482</v>
      </c>
      <c r="E208" s="432" t="s">
        <v>1872</v>
      </c>
      <c r="F208" s="559" t="s">
        <v>1869</v>
      </c>
      <c r="G208" s="95" t="s">
        <v>24</v>
      </c>
      <c r="H208" s="310" t="s">
        <v>130</v>
      </c>
      <c r="I208" s="334"/>
      <c r="J208" s="283"/>
      <c r="K208" s="294">
        <f t="shared" si="359"/>
        <v>5.4053760000000004</v>
      </c>
      <c r="L208" s="183">
        <f t="shared" si="371"/>
        <v>0</v>
      </c>
      <c r="M208" s="94">
        <f t="shared" si="372"/>
        <v>0</v>
      </c>
      <c r="N208" s="94">
        <f t="shared" ref="N208:N217" si="392">-X208</f>
        <v>5.4053760000000004</v>
      </c>
      <c r="O208" s="94">
        <f t="shared" si="340"/>
        <v>5.4053760000000004</v>
      </c>
      <c r="P208" s="94">
        <f t="shared" si="364"/>
        <v>5.4053760000000004</v>
      </c>
      <c r="Q208" s="94">
        <f t="shared" si="390"/>
        <v>0</v>
      </c>
      <c r="R208" s="94">
        <f t="shared" si="373"/>
        <v>0</v>
      </c>
      <c r="S208" s="94">
        <f t="shared" si="391"/>
        <v>0</v>
      </c>
      <c r="T208" s="94">
        <f t="shared" si="374"/>
        <v>0</v>
      </c>
      <c r="U208" s="402">
        <f t="shared" si="375"/>
        <v>0</v>
      </c>
      <c r="V208" s="893">
        <v>0</v>
      </c>
      <c r="W208" s="387">
        <v>0</v>
      </c>
      <c r="X208" s="920">
        <f>-5.405376</f>
        <v>-5.4053760000000004</v>
      </c>
      <c r="Y208" s="915">
        <v>0</v>
      </c>
      <c r="Z208" s="367">
        <v>0</v>
      </c>
      <c r="AA208" s="468">
        <v>0</v>
      </c>
      <c r="AB208" s="207">
        <v>-5.4053760000000004</v>
      </c>
      <c r="AC208" s="207">
        <v>0</v>
      </c>
      <c r="AD208" s="367">
        <v>0</v>
      </c>
      <c r="AE208" s="468">
        <v>0</v>
      </c>
      <c r="AF208" s="468">
        <v>0</v>
      </c>
      <c r="AG208" s="468">
        <v>0</v>
      </c>
      <c r="AH208" s="468">
        <v>0</v>
      </c>
      <c r="AI208" s="387">
        <v>0</v>
      </c>
      <c r="AJ208" s="207">
        <v>0</v>
      </c>
      <c r="AK208" s="367">
        <v>0</v>
      </c>
      <c r="AL208" s="367">
        <v>0</v>
      </c>
      <c r="AM208" s="367">
        <v>0</v>
      </c>
      <c r="AN208" s="367">
        <v>0</v>
      </c>
      <c r="AO208" s="295">
        <v>0</v>
      </c>
      <c r="AP208" s="295">
        <v>0</v>
      </c>
      <c r="AQ208" s="295">
        <v>0</v>
      </c>
      <c r="AR208" s="387">
        <v>0</v>
      </c>
      <c r="AS208" s="896">
        <f t="shared" si="376"/>
        <v>0</v>
      </c>
      <c r="AT208" s="418" t="s">
        <v>1871</v>
      </c>
      <c r="AV208" s="566"/>
    </row>
    <row r="209" spans="1:46" s="1" customFormat="1" ht="193.5" hidden="1" customHeight="1" outlineLevel="1" x14ac:dyDescent="0.35">
      <c r="A209" s="590">
        <v>99</v>
      </c>
      <c r="B209" s="612" t="s">
        <v>69</v>
      </c>
      <c r="C209" s="607" t="s">
        <v>1733</v>
      </c>
      <c r="D209" s="275">
        <v>44460</v>
      </c>
      <c r="E209" s="432" t="s">
        <v>1873</v>
      </c>
      <c r="F209" s="559" t="s">
        <v>1874</v>
      </c>
      <c r="G209" s="95" t="s">
        <v>24</v>
      </c>
      <c r="H209" s="310" t="s">
        <v>1794</v>
      </c>
      <c r="I209" s="334"/>
      <c r="J209" s="283"/>
      <c r="K209" s="294">
        <f t="shared" si="359"/>
        <v>6.2979029999999998</v>
      </c>
      <c r="L209" s="183">
        <f t="shared" si="371"/>
        <v>0</v>
      </c>
      <c r="M209" s="94">
        <f t="shared" si="372"/>
        <v>0</v>
      </c>
      <c r="N209" s="94">
        <f t="shared" si="392"/>
        <v>0</v>
      </c>
      <c r="O209" s="94">
        <f t="shared" si="340"/>
        <v>0</v>
      </c>
      <c r="P209" s="94">
        <f t="shared" si="364"/>
        <v>0</v>
      </c>
      <c r="Q209" s="94">
        <f t="shared" si="390"/>
        <v>6.2979029999999998</v>
      </c>
      <c r="R209" s="94">
        <f t="shared" si="373"/>
        <v>6.2979029999999998</v>
      </c>
      <c r="S209" s="94">
        <f t="shared" si="391"/>
        <v>0</v>
      </c>
      <c r="T209" s="94">
        <f t="shared" si="374"/>
        <v>0</v>
      </c>
      <c r="U209" s="402">
        <f t="shared" si="375"/>
        <v>0</v>
      </c>
      <c r="V209" s="893">
        <v>0</v>
      </c>
      <c r="W209" s="387">
        <v>0</v>
      </c>
      <c r="X209" s="920">
        <f>0</f>
        <v>0</v>
      </c>
      <c r="Y209" s="915">
        <v>0</v>
      </c>
      <c r="Z209" s="367">
        <v>0</v>
      </c>
      <c r="AA209" s="468">
        <v>0</v>
      </c>
      <c r="AB209" s="207">
        <v>0</v>
      </c>
      <c r="AC209" s="207">
        <f>-14.636985+8.339082</f>
        <v>-6.2979029999999998</v>
      </c>
      <c r="AD209" s="367">
        <v>0</v>
      </c>
      <c r="AE209" s="468">
        <v>0</v>
      </c>
      <c r="AF209" s="468">
        <v>0</v>
      </c>
      <c r="AG209" s="468">
        <v>0</v>
      </c>
      <c r="AH209" s="468">
        <v>0</v>
      </c>
      <c r="AI209" s="387">
        <v>0</v>
      </c>
      <c r="AJ209" s="207">
        <v>0</v>
      </c>
      <c r="AK209" s="367">
        <v>0</v>
      </c>
      <c r="AL209" s="367">
        <v>0</v>
      </c>
      <c r="AM209" s="367">
        <v>0</v>
      </c>
      <c r="AN209" s="367">
        <v>0</v>
      </c>
      <c r="AO209" s="295">
        <v>0</v>
      </c>
      <c r="AP209" s="295">
        <v>0</v>
      </c>
      <c r="AQ209" s="295">
        <v>0</v>
      </c>
      <c r="AR209" s="387">
        <v>0</v>
      </c>
      <c r="AS209" s="896">
        <f t="shared" si="376"/>
        <v>0</v>
      </c>
      <c r="AT209" s="418" t="s">
        <v>1875</v>
      </c>
    </row>
    <row r="210" spans="1:46" s="1" customFormat="1" ht="193.5" hidden="1" customHeight="1" outlineLevel="1" x14ac:dyDescent="0.35">
      <c r="A210" s="590">
        <v>100</v>
      </c>
      <c r="B210" s="612" t="s">
        <v>69</v>
      </c>
      <c r="C210" s="607" t="s">
        <v>1733</v>
      </c>
      <c r="D210" s="275">
        <v>44495</v>
      </c>
      <c r="E210" s="432" t="s">
        <v>1876</v>
      </c>
      <c r="F210" s="564" t="s">
        <v>1920</v>
      </c>
      <c r="G210" s="95" t="s">
        <v>24</v>
      </c>
      <c r="H210" s="310" t="s">
        <v>1794</v>
      </c>
      <c r="I210" s="334"/>
      <c r="J210" s="283"/>
      <c r="K210" s="294">
        <f t="shared" si="359"/>
        <v>7.1323359999999996</v>
      </c>
      <c r="L210" s="183">
        <f t="shared" si="371"/>
        <v>0</v>
      </c>
      <c r="M210" s="94">
        <f t="shared" si="372"/>
        <v>0</v>
      </c>
      <c r="N210" s="94">
        <f t="shared" si="392"/>
        <v>5.2643380000000004</v>
      </c>
      <c r="O210" s="94">
        <f t="shared" si="340"/>
        <v>5.2643380000000004</v>
      </c>
      <c r="P210" s="94">
        <f t="shared" si="364"/>
        <v>0</v>
      </c>
      <c r="Q210" s="94">
        <f t="shared" si="390"/>
        <v>7.1323359999999996</v>
      </c>
      <c r="R210" s="94">
        <f t="shared" ref="R210:R222" si="393">-AC210</f>
        <v>7.1323359999999996</v>
      </c>
      <c r="S210" s="94">
        <f t="shared" si="391"/>
        <v>0</v>
      </c>
      <c r="T210" s="94">
        <f t="shared" si="374"/>
        <v>0</v>
      </c>
      <c r="U210" s="402">
        <f t="shared" si="375"/>
        <v>0</v>
      </c>
      <c r="V210" s="893">
        <v>0</v>
      </c>
      <c r="W210" s="387">
        <v>0</v>
      </c>
      <c r="X210" s="920">
        <f>-5.264338</f>
        <v>-5.2643380000000004</v>
      </c>
      <c r="Y210" s="915">
        <v>0</v>
      </c>
      <c r="Z210" s="367">
        <v>0</v>
      </c>
      <c r="AA210" s="468">
        <v>0</v>
      </c>
      <c r="AB210" s="207">
        <v>0</v>
      </c>
      <c r="AC210" s="207">
        <v>-7.1323359999999996</v>
      </c>
      <c r="AD210" s="367">
        <v>0</v>
      </c>
      <c r="AE210" s="468">
        <v>0</v>
      </c>
      <c r="AF210" s="468">
        <v>0</v>
      </c>
      <c r="AG210" s="468">
        <v>0</v>
      </c>
      <c r="AH210" s="468">
        <v>0</v>
      </c>
      <c r="AI210" s="387">
        <v>0</v>
      </c>
      <c r="AJ210" s="207">
        <v>0</v>
      </c>
      <c r="AK210" s="367">
        <v>0</v>
      </c>
      <c r="AL210" s="367">
        <v>0</v>
      </c>
      <c r="AM210" s="367">
        <v>0</v>
      </c>
      <c r="AN210" s="367">
        <v>0</v>
      </c>
      <c r="AO210" s="295">
        <v>0</v>
      </c>
      <c r="AP210" s="295">
        <v>0</v>
      </c>
      <c r="AQ210" s="295">
        <v>0</v>
      </c>
      <c r="AR210" s="387">
        <v>0</v>
      </c>
      <c r="AS210" s="896">
        <f t="shared" ref="AS210:AS220" si="394">-AR210</f>
        <v>0</v>
      </c>
      <c r="AT210" s="418" t="s">
        <v>1919</v>
      </c>
    </row>
    <row r="211" spans="1:46" s="1" customFormat="1" ht="106.5" hidden="1" customHeight="1" outlineLevel="1" x14ac:dyDescent="0.35">
      <c r="A211" s="590">
        <v>101</v>
      </c>
      <c r="B211" s="612" t="s">
        <v>69</v>
      </c>
      <c r="C211" s="607" t="s">
        <v>1735</v>
      </c>
      <c r="D211" s="275" t="s">
        <v>2028</v>
      </c>
      <c r="E211" s="443" t="s">
        <v>2075</v>
      </c>
      <c r="F211" s="559" t="s">
        <v>1881</v>
      </c>
      <c r="G211" s="95" t="s">
        <v>142</v>
      </c>
      <c r="H211" s="310" t="s">
        <v>1794</v>
      </c>
      <c r="I211" s="334"/>
      <c r="J211" s="283"/>
      <c r="K211" s="294">
        <f t="shared" si="359"/>
        <v>14.7514</v>
      </c>
      <c r="L211" s="183">
        <f t="shared" si="371"/>
        <v>0</v>
      </c>
      <c r="M211" s="94">
        <f t="shared" si="372"/>
        <v>0</v>
      </c>
      <c r="N211" s="94">
        <f t="shared" si="392"/>
        <v>0</v>
      </c>
      <c r="O211" s="94">
        <f t="shared" si="340"/>
        <v>0</v>
      </c>
      <c r="P211" s="94">
        <f t="shared" si="364"/>
        <v>0</v>
      </c>
      <c r="Q211" s="94">
        <f t="shared" si="390"/>
        <v>14.7514</v>
      </c>
      <c r="R211" s="94">
        <f t="shared" si="393"/>
        <v>14.7514</v>
      </c>
      <c r="S211" s="94">
        <f t="shared" si="391"/>
        <v>13.394223</v>
      </c>
      <c r="T211" s="94">
        <f t="shared" ref="T211:T217" si="395">-AJ211</f>
        <v>0</v>
      </c>
      <c r="U211" s="402">
        <f t="shared" si="375"/>
        <v>0</v>
      </c>
      <c r="V211" s="893">
        <v>0</v>
      </c>
      <c r="W211" s="387">
        <v>0</v>
      </c>
      <c r="X211" s="920">
        <f>0</f>
        <v>0</v>
      </c>
      <c r="Y211" s="915">
        <v>0</v>
      </c>
      <c r="Z211" s="367">
        <v>0</v>
      </c>
      <c r="AA211" s="468">
        <v>0</v>
      </c>
      <c r="AB211" s="207">
        <v>0</v>
      </c>
      <c r="AC211" s="207">
        <v>-14.7514</v>
      </c>
      <c r="AD211" s="367">
        <v>0</v>
      </c>
      <c r="AE211" s="468">
        <v>0</v>
      </c>
      <c r="AF211" s="468">
        <v>-14.7514</v>
      </c>
      <c r="AG211" s="468">
        <v>-14.7514</v>
      </c>
      <c r="AH211" s="468">
        <v>-14.7514</v>
      </c>
      <c r="AI211" s="623">
        <f>-13.394223</f>
        <v>-13.394223</v>
      </c>
      <c r="AJ211" s="207">
        <v>0</v>
      </c>
      <c r="AK211" s="367">
        <v>0</v>
      </c>
      <c r="AL211" s="367">
        <v>0</v>
      </c>
      <c r="AM211" s="367">
        <v>0</v>
      </c>
      <c r="AN211" s="367">
        <v>0</v>
      </c>
      <c r="AO211" s="295">
        <v>0</v>
      </c>
      <c r="AP211" s="295">
        <v>0</v>
      </c>
      <c r="AQ211" s="295">
        <v>0</v>
      </c>
      <c r="AR211" s="623">
        <v>0</v>
      </c>
      <c r="AS211" s="896">
        <f t="shared" si="394"/>
        <v>0</v>
      </c>
      <c r="AT211" s="418" t="s">
        <v>2027</v>
      </c>
    </row>
    <row r="212" spans="1:46" s="1" customFormat="1" ht="106.5" hidden="1" customHeight="1" outlineLevel="1" x14ac:dyDescent="0.35">
      <c r="A212" s="590">
        <v>102</v>
      </c>
      <c r="B212" s="612" t="s">
        <v>69</v>
      </c>
      <c r="C212" s="607" t="s">
        <v>1733</v>
      </c>
      <c r="D212" s="275">
        <v>44509</v>
      </c>
      <c r="E212" s="443" t="s">
        <v>1889</v>
      </c>
      <c r="F212" s="559" t="s">
        <v>1890</v>
      </c>
      <c r="G212" s="95" t="s">
        <v>24</v>
      </c>
      <c r="H212" s="310" t="s">
        <v>1794</v>
      </c>
      <c r="I212" s="334"/>
      <c r="J212" s="283"/>
      <c r="K212" s="294">
        <f t="shared" si="359"/>
        <v>1.0785029999999995</v>
      </c>
      <c r="L212" s="183">
        <f t="shared" si="371"/>
        <v>0</v>
      </c>
      <c r="M212" s="94">
        <f t="shared" si="372"/>
        <v>0</v>
      </c>
      <c r="N212" s="94">
        <f t="shared" si="392"/>
        <v>0</v>
      </c>
      <c r="O212" s="94">
        <f t="shared" si="340"/>
        <v>0</v>
      </c>
      <c r="P212" s="94">
        <f t="shared" si="364"/>
        <v>0</v>
      </c>
      <c r="Q212" s="94">
        <f t="shared" si="390"/>
        <v>1.0785029999999995</v>
      </c>
      <c r="R212" s="94">
        <f t="shared" si="393"/>
        <v>1.0785029999999995</v>
      </c>
      <c r="S212" s="94">
        <f t="shared" si="391"/>
        <v>0</v>
      </c>
      <c r="T212" s="94">
        <f t="shared" si="395"/>
        <v>0</v>
      </c>
      <c r="U212" s="402">
        <f t="shared" si="375"/>
        <v>0</v>
      </c>
      <c r="V212" s="893">
        <v>0</v>
      </c>
      <c r="W212" s="387">
        <v>0</v>
      </c>
      <c r="X212" s="920">
        <f>0</f>
        <v>0</v>
      </c>
      <c r="Y212" s="915">
        <v>0</v>
      </c>
      <c r="Z212" s="367">
        <v>0</v>
      </c>
      <c r="AA212" s="468">
        <v>0</v>
      </c>
      <c r="AB212" s="207">
        <v>0</v>
      </c>
      <c r="AC212" s="207">
        <f>-5.003416+3.924913</f>
        <v>-1.0785029999999995</v>
      </c>
      <c r="AD212" s="367">
        <v>0</v>
      </c>
      <c r="AE212" s="468">
        <v>0</v>
      </c>
      <c r="AF212" s="468">
        <v>0</v>
      </c>
      <c r="AG212" s="468">
        <v>0</v>
      </c>
      <c r="AH212" s="468">
        <v>0</v>
      </c>
      <c r="AI212" s="387">
        <v>0</v>
      </c>
      <c r="AJ212" s="207">
        <v>0</v>
      </c>
      <c r="AK212" s="367">
        <v>0</v>
      </c>
      <c r="AL212" s="367">
        <v>0</v>
      </c>
      <c r="AM212" s="367">
        <v>0</v>
      </c>
      <c r="AN212" s="367">
        <v>0</v>
      </c>
      <c r="AO212" s="295">
        <v>0</v>
      </c>
      <c r="AP212" s="295">
        <v>0</v>
      </c>
      <c r="AQ212" s="295">
        <v>0</v>
      </c>
      <c r="AR212" s="387">
        <v>0</v>
      </c>
      <c r="AS212" s="896">
        <f t="shared" si="394"/>
        <v>0</v>
      </c>
      <c r="AT212" s="418" t="s">
        <v>1888</v>
      </c>
    </row>
    <row r="213" spans="1:46" s="1" customFormat="1" ht="106.5" hidden="1" customHeight="1" outlineLevel="1" x14ac:dyDescent="0.35">
      <c r="A213" s="590">
        <v>103</v>
      </c>
      <c r="B213" s="612" t="s">
        <v>69</v>
      </c>
      <c r="C213" s="607" t="s">
        <v>1733</v>
      </c>
      <c r="D213" s="275">
        <v>44502</v>
      </c>
      <c r="E213" s="443" t="s">
        <v>1895</v>
      </c>
      <c r="F213" s="559" t="s">
        <v>1896</v>
      </c>
      <c r="G213" s="95" t="s">
        <v>24</v>
      </c>
      <c r="H213" s="310" t="s">
        <v>1794</v>
      </c>
      <c r="I213" s="334"/>
      <c r="J213" s="283"/>
      <c r="K213" s="294">
        <f t="shared" si="359"/>
        <v>1.206512</v>
      </c>
      <c r="L213" s="183">
        <f t="shared" si="371"/>
        <v>0</v>
      </c>
      <c r="M213" s="94">
        <f t="shared" si="372"/>
        <v>0</v>
      </c>
      <c r="N213" s="94">
        <f t="shared" si="392"/>
        <v>0</v>
      </c>
      <c r="O213" s="94">
        <f t="shared" si="340"/>
        <v>0</v>
      </c>
      <c r="P213" s="94">
        <f t="shared" si="364"/>
        <v>0</v>
      </c>
      <c r="Q213" s="94">
        <f t="shared" si="390"/>
        <v>1.206512</v>
      </c>
      <c r="R213" s="94">
        <f t="shared" si="393"/>
        <v>1.206512</v>
      </c>
      <c r="S213" s="94">
        <f t="shared" si="391"/>
        <v>0</v>
      </c>
      <c r="T213" s="94">
        <f t="shared" si="395"/>
        <v>0</v>
      </c>
      <c r="U213" s="402">
        <f t="shared" si="375"/>
        <v>0</v>
      </c>
      <c r="V213" s="893">
        <v>0</v>
      </c>
      <c r="W213" s="387">
        <v>0</v>
      </c>
      <c r="X213" s="920">
        <f>0</f>
        <v>0</v>
      </c>
      <c r="Y213" s="915">
        <v>0</v>
      </c>
      <c r="Z213" s="367">
        <v>0</v>
      </c>
      <c r="AA213" s="468">
        <v>0</v>
      </c>
      <c r="AB213" s="207">
        <v>0</v>
      </c>
      <c r="AC213" s="207">
        <f>-1.976769+0.770257</f>
        <v>-1.206512</v>
      </c>
      <c r="AD213" s="367">
        <v>0</v>
      </c>
      <c r="AE213" s="468">
        <v>0</v>
      </c>
      <c r="AF213" s="468">
        <v>0</v>
      </c>
      <c r="AG213" s="468">
        <v>0</v>
      </c>
      <c r="AH213" s="468">
        <v>0</v>
      </c>
      <c r="AI213" s="387">
        <v>0</v>
      </c>
      <c r="AJ213" s="207">
        <v>0</v>
      </c>
      <c r="AK213" s="367">
        <v>0</v>
      </c>
      <c r="AL213" s="367">
        <v>0</v>
      </c>
      <c r="AM213" s="367">
        <v>0</v>
      </c>
      <c r="AN213" s="367">
        <v>0</v>
      </c>
      <c r="AO213" s="295">
        <v>0</v>
      </c>
      <c r="AP213" s="295">
        <v>0</v>
      </c>
      <c r="AQ213" s="295">
        <v>0</v>
      </c>
      <c r="AR213" s="387">
        <v>0</v>
      </c>
      <c r="AS213" s="896">
        <f t="shared" si="394"/>
        <v>0</v>
      </c>
      <c r="AT213" s="418" t="s">
        <v>1894</v>
      </c>
    </row>
    <row r="214" spans="1:46" s="1" customFormat="1" ht="106.5" hidden="1" customHeight="1" outlineLevel="1" x14ac:dyDescent="0.35">
      <c r="A214" s="590">
        <v>104</v>
      </c>
      <c r="B214" s="612" t="s">
        <v>69</v>
      </c>
      <c r="C214" s="607" t="s">
        <v>1733</v>
      </c>
      <c r="D214" s="275">
        <v>44502</v>
      </c>
      <c r="E214" s="443" t="s">
        <v>1895</v>
      </c>
      <c r="F214" s="559" t="s">
        <v>1898</v>
      </c>
      <c r="G214" s="95" t="s">
        <v>24</v>
      </c>
      <c r="H214" s="310" t="s">
        <v>1794</v>
      </c>
      <c r="I214" s="334"/>
      <c r="J214" s="283"/>
      <c r="K214" s="294">
        <f t="shared" si="359"/>
        <v>4.3284000000000003E-2</v>
      </c>
      <c r="L214" s="183">
        <f t="shared" si="371"/>
        <v>0</v>
      </c>
      <c r="M214" s="94">
        <f t="shared" si="372"/>
        <v>0</v>
      </c>
      <c r="N214" s="94">
        <f t="shared" si="392"/>
        <v>0</v>
      </c>
      <c r="O214" s="94">
        <f t="shared" si="340"/>
        <v>0</v>
      </c>
      <c r="P214" s="94">
        <f t="shared" si="364"/>
        <v>0</v>
      </c>
      <c r="Q214" s="94">
        <f t="shared" si="390"/>
        <v>4.3284000000000003E-2</v>
      </c>
      <c r="R214" s="94">
        <f t="shared" si="393"/>
        <v>4.3284000000000003E-2</v>
      </c>
      <c r="S214" s="94">
        <f t="shared" si="391"/>
        <v>0</v>
      </c>
      <c r="T214" s="94">
        <f t="shared" si="395"/>
        <v>0</v>
      </c>
      <c r="U214" s="402">
        <f t="shared" si="375"/>
        <v>0</v>
      </c>
      <c r="V214" s="893">
        <v>0</v>
      </c>
      <c r="W214" s="387">
        <v>0</v>
      </c>
      <c r="X214" s="920">
        <f>0</f>
        <v>0</v>
      </c>
      <c r="Y214" s="915">
        <v>0</v>
      </c>
      <c r="Z214" s="367">
        <v>0</v>
      </c>
      <c r="AA214" s="468">
        <v>0</v>
      </c>
      <c r="AB214" s="207">
        <v>0</v>
      </c>
      <c r="AC214" s="207">
        <f>-0.043284</f>
        <v>-4.3284000000000003E-2</v>
      </c>
      <c r="AD214" s="367">
        <v>0</v>
      </c>
      <c r="AE214" s="468">
        <v>0</v>
      </c>
      <c r="AF214" s="468">
        <v>0</v>
      </c>
      <c r="AG214" s="468">
        <v>0</v>
      </c>
      <c r="AH214" s="468">
        <v>0</v>
      </c>
      <c r="AI214" s="387">
        <v>0</v>
      </c>
      <c r="AJ214" s="207">
        <v>0</v>
      </c>
      <c r="AK214" s="367">
        <v>0</v>
      </c>
      <c r="AL214" s="367">
        <v>0</v>
      </c>
      <c r="AM214" s="367">
        <v>0</v>
      </c>
      <c r="AN214" s="367">
        <v>0</v>
      </c>
      <c r="AO214" s="295">
        <v>0</v>
      </c>
      <c r="AP214" s="295">
        <v>0</v>
      </c>
      <c r="AQ214" s="295">
        <v>0</v>
      </c>
      <c r="AR214" s="387">
        <v>0</v>
      </c>
      <c r="AS214" s="896">
        <f t="shared" si="394"/>
        <v>0</v>
      </c>
      <c r="AT214" s="418" t="s">
        <v>1897</v>
      </c>
    </row>
    <row r="215" spans="1:46" s="1" customFormat="1" ht="106.5" hidden="1" customHeight="1" outlineLevel="1" x14ac:dyDescent="0.35">
      <c r="A215" s="590">
        <v>106</v>
      </c>
      <c r="B215" s="612" t="s">
        <v>69</v>
      </c>
      <c r="C215" s="607" t="s">
        <v>1733</v>
      </c>
      <c r="D215" s="275">
        <v>44516</v>
      </c>
      <c r="E215" s="443" t="s">
        <v>1900</v>
      </c>
      <c r="F215" s="559" t="s">
        <v>1899</v>
      </c>
      <c r="G215" s="95" t="s">
        <v>24</v>
      </c>
      <c r="H215" s="310" t="s">
        <v>1794</v>
      </c>
      <c r="I215" s="334"/>
      <c r="J215" s="283"/>
      <c r="K215" s="294">
        <f t="shared" si="359"/>
        <v>6.2642049999999996</v>
      </c>
      <c r="L215" s="183">
        <f t="shared" si="371"/>
        <v>0</v>
      </c>
      <c r="M215" s="94">
        <f t="shared" si="372"/>
        <v>0</v>
      </c>
      <c r="N215" s="94">
        <f t="shared" si="392"/>
        <v>0</v>
      </c>
      <c r="O215" s="94">
        <f t="shared" si="340"/>
        <v>0</v>
      </c>
      <c r="P215" s="94">
        <f t="shared" si="364"/>
        <v>0</v>
      </c>
      <c r="Q215" s="94">
        <f t="shared" si="390"/>
        <v>6.2642049999999996</v>
      </c>
      <c r="R215" s="94">
        <f t="shared" si="393"/>
        <v>6.2642049999999996</v>
      </c>
      <c r="S215" s="94">
        <f t="shared" si="391"/>
        <v>0</v>
      </c>
      <c r="T215" s="94">
        <f t="shared" si="395"/>
        <v>0</v>
      </c>
      <c r="U215" s="402">
        <f t="shared" si="375"/>
        <v>0</v>
      </c>
      <c r="V215" s="893">
        <v>0</v>
      </c>
      <c r="W215" s="387">
        <v>0</v>
      </c>
      <c r="X215" s="920">
        <f>0</f>
        <v>0</v>
      </c>
      <c r="Y215" s="915">
        <v>0</v>
      </c>
      <c r="Z215" s="367">
        <v>0</v>
      </c>
      <c r="AA215" s="468">
        <v>0</v>
      </c>
      <c r="AB215" s="207">
        <v>0</v>
      </c>
      <c r="AC215" s="207">
        <f>-6.264205</f>
        <v>-6.2642049999999996</v>
      </c>
      <c r="AD215" s="367">
        <v>0</v>
      </c>
      <c r="AE215" s="468">
        <v>0</v>
      </c>
      <c r="AF215" s="468">
        <v>0</v>
      </c>
      <c r="AG215" s="468">
        <v>0</v>
      </c>
      <c r="AH215" s="468">
        <v>0</v>
      </c>
      <c r="AI215" s="387">
        <v>0</v>
      </c>
      <c r="AJ215" s="207">
        <v>0</v>
      </c>
      <c r="AK215" s="367">
        <v>0</v>
      </c>
      <c r="AL215" s="367">
        <v>0</v>
      </c>
      <c r="AM215" s="367">
        <v>0</v>
      </c>
      <c r="AN215" s="367">
        <v>0</v>
      </c>
      <c r="AO215" s="295">
        <v>0</v>
      </c>
      <c r="AP215" s="295">
        <v>0</v>
      </c>
      <c r="AQ215" s="295">
        <v>0</v>
      </c>
      <c r="AR215" s="387">
        <v>0</v>
      </c>
      <c r="AS215" s="896">
        <f t="shared" si="394"/>
        <v>0</v>
      </c>
      <c r="AT215" s="418" t="s">
        <v>1901</v>
      </c>
    </row>
    <row r="216" spans="1:46" s="1" customFormat="1" ht="106.5" hidden="1" customHeight="1" outlineLevel="1" x14ac:dyDescent="0.35">
      <c r="A216" s="590">
        <v>107</v>
      </c>
      <c r="B216" s="612" t="s">
        <v>69</v>
      </c>
      <c r="C216" s="607" t="s">
        <v>1733</v>
      </c>
      <c r="D216" s="275">
        <v>44526</v>
      </c>
      <c r="E216" s="443" t="s">
        <v>1904</v>
      </c>
      <c r="F216" s="559" t="s">
        <v>1903</v>
      </c>
      <c r="G216" s="95" t="s">
        <v>24</v>
      </c>
      <c r="H216" s="310" t="s">
        <v>1794</v>
      </c>
      <c r="I216" s="334"/>
      <c r="J216" s="283"/>
      <c r="K216" s="294">
        <f t="shared" si="359"/>
        <v>8.8362999999999997E-2</v>
      </c>
      <c r="L216" s="183">
        <f t="shared" si="371"/>
        <v>0</v>
      </c>
      <c r="M216" s="94">
        <f t="shared" si="372"/>
        <v>0</v>
      </c>
      <c r="N216" s="94">
        <f t="shared" si="392"/>
        <v>0</v>
      </c>
      <c r="O216" s="94">
        <f t="shared" si="340"/>
        <v>0</v>
      </c>
      <c r="P216" s="94">
        <f t="shared" si="364"/>
        <v>0</v>
      </c>
      <c r="Q216" s="94">
        <f t="shared" si="390"/>
        <v>8.8362999999999997E-2</v>
      </c>
      <c r="R216" s="94">
        <f t="shared" si="393"/>
        <v>8.8362999999999997E-2</v>
      </c>
      <c r="S216" s="94">
        <f t="shared" si="391"/>
        <v>0</v>
      </c>
      <c r="T216" s="94">
        <f t="shared" si="395"/>
        <v>0</v>
      </c>
      <c r="U216" s="402">
        <f t="shared" si="375"/>
        <v>0</v>
      </c>
      <c r="V216" s="893">
        <v>0</v>
      </c>
      <c r="W216" s="387">
        <v>0</v>
      </c>
      <c r="X216" s="920">
        <f>0</f>
        <v>0</v>
      </c>
      <c r="Y216" s="915">
        <v>0</v>
      </c>
      <c r="Z216" s="367">
        <v>0</v>
      </c>
      <c r="AA216" s="468">
        <v>0</v>
      </c>
      <c r="AB216" s="207">
        <v>0</v>
      </c>
      <c r="AC216" s="207">
        <f>-0.120338+0.031975</f>
        <v>-8.8362999999999997E-2</v>
      </c>
      <c r="AD216" s="367">
        <v>0</v>
      </c>
      <c r="AE216" s="468">
        <v>0</v>
      </c>
      <c r="AF216" s="468">
        <v>0</v>
      </c>
      <c r="AG216" s="468">
        <v>0</v>
      </c>
      <c r="AH216" s="468">
        <v>0</v>
      </c>
      <c r="AI216" s="387">
        <v>0</v>
      </c>
      <c r="AJ216" s="207">
        <v>0</v>
      </c>
      <c r="AK216" s="367">
        <v>0</v>
      </c>
      <c r="AL216" s="367">
        <v>0</v>
      </c>
      <c r="AM216" s="367">
        <v>0</v>
      </c>
      <c r="AN216" s="367">
        <v>0</v>
      </c>
      <c r="AO216" s="295">
        <v>0</v>
      </c>
      <c r="AP216" s="295">
        <v>0</v>
      </c>
      <c r="AQ216" s="295">
        <v>0</v>
      </c>
      <c r="AR216" s="387">
        <v>0</v>
      </c>
      <c r="AS216" s="896">
        <f t="shared" si="394"/>
        <v>0</v>
      </c>
      <c r="AT216" s="418" t="s">
        <v>1902</v>
      </c>
    </row>
    <row r="217" spans="1:46" s="1" customFormat="1" ht="104.5" hidden="1" customHeight="1" outlineLevel="1" x14ac:dyDescent="0.35">
      <c r="A217" s="590">
        <v>108</v>
      </c>
      <c r="B217" s="612" t="s">
        <v>69</v>
      </c>
      <c r="C217" s="607" t="s">
        <v>1733</v>
      </c>
      <c r="D217" s="275">
        <v>44644</v>
      </c>
      <c r="E217" s="432" t="s">
        <v>2081</v>
      </c>
      <c r="F217" s="559" t="s">
        <v>1905</v>
      </c>
      <c r="G217" s="95" t="s">
        <v>24</v>
      </c>
      <c r="H217" s="310" t="s">
        <v>1794</v>
      </c>
      <c r="I217" s="334"/>
      <c r="J217" s="283"/>
      <c r="K217" s="294">
        <f t="shared" si="359"/>
        <v>3.190315</v>
      </c>
      <c r="L217" s="183">
        <f t="shared" si="371"/>
        <v>0</v>
      </c>
      <c r="M217" s="94">
        <f t="shared" si="372"/>
        <v>0</v>
      </c>
      <c r="N217" s="94">
        <f t="shared" si="392"/>
        <v>0</v>
      </c>
      <c r="O217" s="94">
        <f t="shared" si="340"/>
        <v>0</v>
      </c>
      <c r="P217" s="94">
        <f t="shared" si="364"/>
        <v>0</v>
      </c>
      <c r="Q217" s="94">
        <f t="shared" si="390"/>
        <v>3.190315</v>
      </c>
      <c r="R217" s="94">
        <f t="shared" si="393"/>
        <v>3.190315</v>
      </c>
      <c r="S217" s="94">
        <f t="shared" si="391"/>
        <v>3.1903130000000002</v>
      </c>
      <c r="T217" s="94">
        <f t="shared" si="395"/>
        <v>0</v>
      </c>
      <c r="U217" s="402">
        <f t="shared" si="375"/>
        <v>0</v>
      </c>
      <c r="V217" s="893">
        <v>0</v>
      </c>
      <c r="W217" s="387">
        <v>0</v>
      </c>
      <c r="X217" s="920">
        <f>0</f>
        <v>0</v>
      </c>
      <c r="Y217" s="915">
        <v>0</v>
      </c>
      <c r="Z217" s="367">
        <v>0</v>
      </c>
      <c r="AA217" s="468">
        <v>0</v>
      </c>
      <c r="AB217" s="207">
        <v>0</v>
      </c>
      <c r="AC217" s="207">
        <f>-3.190315</f>
        <v>-3.190315</v>
      </c>
      <c r="AD217" s="367">
        <v>0</v>
      </c>
      <c r="AE217" s="468">
        <v>0</v>
      </c>
      <c r="AF217" s="468">
        <v>0</v>
      </c>
      <c r="AG217" s="468">
        <v>0</v>
      </c>
      <c r="AH217" s="468">
        <v>0</v>
      </c>
      <c r="AI217" s="623">
        <f>-3.190313</f>
        <v>-3.1903130000000002</v>
      </c>
      <c r="AJ217" s="207">
        <v>0</v>
      </c>
      <c r="AK217" s="367">
        <v>0</v>
      </c>
      <c r="AL217" s="367">
        <v>0</v>
      </c>
      <c r="AM217" s="367">
        <v>0</v>
      </c>
      <c r="AN217" s="367">
        <v>0</v>
      </c>
      <c r="AO217" s="295">
        <v>0</v>
      </c>
      <c r="AP217" s="295">
        <v>0</v>
      </c>
      <c r="AQ217" s="295">
        <v>0</v>
      </c>
      <c r="AR217" s="623">
        <v>0</v>
      </c>
      <c r="AS217" s="896">
        <f t="shared" si="394"/>
        <v>0</v>
      </c>
      <c r="AT217" s="418" t="s">
        <v>2082</v>
      </c>
    </row>
    <row r="218" spans="1:46" s="1" customFormat="1" ht="83.5" hidden="1" customHeight="1" outlineLevel="1" x14ac:dyDescent="0.35">
      <c r="A218" s="590">
        <v>109</v>
      </c>
      <c r="B218" s="612" t="s">
        <v>69</v>
      </c>
      <c r="C218" s="607" t="s">
        <v>1733</v>
      </c>
      <c r="D218" s="275"/>
      <c r="E218" s="443" t="s">
        <v>1922</v>
      </c>
      <c r="F218" s="559" t="s">
        <v>1907</v>
      </c>
      <c r="G218" s="95" t="s">
        <v>24</v>
      </c>
      <c r="H218" s="310" t="s">
        <v>1794</v>
      </c>
      <c r="I218" s="334"/>
      <c r="J218" s="283"/>
      <c r="K218" s="294">
        <f t="shared" si="359"/>
        <v>1.195737</v>
      </c>
      <c r="L218" s="183">
        <f t="shared" si="371"/>
        <v>0</v>
      </c>
      <c r="M218" s="94">
        <f t="shared" si="372"/>
        <v>0</v>
      </c>
      <c r="N218" s="94">
        <f t="shared" ref="N218:N243" si="396">-X218</f>
        <v>0</v>
      </c>
      <c r="O218" s="94">
        <f t="shared" si="340"/>
        <v>0</v>
      </c>
      <c r="P218" s="94">
        <f t="shared" si="364"/>
        <v>0</v>
      </c>
      <c r="Q218" s="94">
        <f t="shared" si="390"/>
        <v>1.195737</v>
      </c>
      <c r="R218" s="94">
        <f t="shared" si="393"/>
        <v>1.195737</v>
      </c>
      <c r="S218" s="94">
        <f t="shared" si="391"/>
        <v>0</v>
      </c>
      <c r="T218" s="94">
        <f t="shared" ref="T218:T244" si="397">-AJ218</f>
        <v>0</v>
      </c>
      <c r="U218" s="402">
        <f t="shared" si="375"/>
        <v>0</v>
      </c>
      <c r="V218" s="893">
        <v>0</v>
      </c>
      <c r="W218" s="387">
        <v>0</v>
      </c>
      <c r="X218" s="920">
        <f>0</f>
        <v>0</v>
      </c>
      <c r="Y218" s="915">
        <v>0</v>
      </c>
      <c r="Z218" s="367">
        <v>0</v>
      </c>
      <c r="AA218" s="468">
        <v>0</v>
      </c>
      <c r="AB218" s="207">
        <v>0</v>
      </c>
      <c r="AC218" s="207">
        <f>-1.195737</f>
        <v>-1.195737</v>
      </c>
      <c r="AD218" s="367">
        <v>0</v>
      </c>
      <c r="AE218" s="468">
        <v>0</v>
      </c>
      <c r="AF218" s="468">
        <v>0</v>
      </c>
      <c r="AG218" s="468">
        <v>0</v>
      </c>
      <c r="AH218" s="468">
        <v>0</v>
      </c>
      <c r="AI218" s="387">
        <v>0</v>
      </c>
      <c r="AJ218" s="207">
        <v>0</v>
      </c>
      <c r="AK218" s="367">
        <v>0</v>
      </c>
      <c r="AL218" s="367">
        <v>0</v>
      </c>
      <c r="AM218" s="367">
        <v>0</v>
      </c>
      <c r="AN218" s="367">
        <v>0</v>
      </c>
      <c r="AO218" s="295">
        <v>0</v>
      </c>
      <c r="AP218" s="295">
        <v>0</v>
      </c>
      <c r="AQ218" s="295">
        <v>0</v>
      </c>
      <c r="AR218" s="387">
        <v>0</v>
      </c>
      <c r="AS218" s="896">
        <f t="shared" si="394"/>
        <v>0</v>
      </c>
      <c r="AT218" s="418" t="s">
        <v>1906</v>
      </c>
    </row>
    <row r="219" spans="1:46" s="1" customFormat="1" ht="83.5" hidden="1" customHeight="1" outlineLevel="1" x14ac:dyDescent="0.35">
      <c r="A219" s="590">
        <v>110</v>
      </c>
      <c r="B219" s="612" t="s">
        <v>69</v>
      </c>
      <c r="C219" s="607" t="s">
        <v>1733</v>
      </c>
      <c r="D219" s="275">
        <v>44552</v>
      </c>
      <c r="E219" s="432" t="s">
        <v>1923</v>
      </c>
      <c r="F219" s="559" t="s">
        <v>1921</v>
      </c>
      <c r="G219" s="95" t="s">
        <v>24</v>
      </c>
      <c r="H219" s="310" t="s">
        <v>1794</v>
      </c>
      <c r="I219" s="334"/>
      <c r="J219" s="283"/>
      <c r="K219" s="294">
        <f t="shared" si="359"/>
        <v>1.522564</v>
      </c>
      <c r="L219" s="183">
        <f t="shared" si="371"/>
        <v>0</v>
      </c>
      <c r="M219" s="94">
        <f t="shared" si="372"/>
        <v>0</v>
      </c>
      <c r="N219" s="94">
        <f t="shared" si="396"/>
        <v>0</v>
      </c>
      <c r="O219" s="94">
        <f t="shared" si="340"/>
        <v>0</v>
      </c>
      <c r="P219" s="94">
        <f t="shared" si="364"/>
        <v>0</v>
      </c>
      <c r="Q219" s="94">
        <f t="shared" si="390"/>
        <v>1.522564</v>
      </c>
      <c r="R219" s="94">
        <f t="shared" si="393"/>
        <v>1.522564</v>
      </c>
      <c r="S219" s="94">
        <f t="shared" si="391"/>
        <v>0</v>
      </c>
      <c r="T219" s="94">
        <f t="shared" si="397"/>
        <v>0</v>
      </c>
      <c r="U219" s="402">
        <f t="shared" si="375"/>
        <v>0</v>
      </c>
      <c r="V219" s="893">
        <v>0</v>
      </c>
      <c r="W219" s="387">
        <v>0</v>
      </c>
      <c r="X219" s="920">
        <f>0</f>
        <v>0</v>
      </c>
      <c r="Y219" s="915">
        <v>0</v>
      </c>
      <c r="Z219" s="367">
        <v>0</v>
      </c>
      <c r="AA219" s="468">
        <v>0</v>
      </c>
      <c r="AB219" s="207">
        <v>0</v>
      </c>
      <c r="AC219" s="207">
        <f>-7.760334+6.23777</f>
        <v>-1.522564</v>
      </c>
      <c r="AD219" s="367">
        <v>0</v>
      </c>
      <c r="AE219" s="468">
        <v>0</v>
      </c>
      <c r="AF219" s="468">
        <v>0</v>
      </c>
      <c r="AG219" s="468">
        <v>0</v>
      </c>
      <c r="AH219" s="468">
        <v>0</v>
      </c>
      <c r="AI219" s="387">
        <v>0</v>
      </c>
      <c r="AJ219" s="207">
        <v>0</v>
      </c>
      <c r="AK219" s="367">
        <v>0</v>
      </c>
      <c r="AL219" s="367">
        <v>0</v>
      </c>
      <c r="AM219" s="367">
        <v>0</v>
      </c>
      <c r="AN219" s="367">
        <v>0</v>
      </c>
      <c r="AO219" s="295">
        <v>0</v>
      </c>
      <c r="AP219" s="295">
        <v>0</v>
      </c>
      <c r="AQ219" s="295">
        <v>0</v>
      </c>
      <c r="AR219" s="387">
        <v>0</v>
      </c>
      <c r="AS219" s="896">
        <f t="shared" si="394"/>
        <v>0</v>
      </c>
      <c r="AT219" s="418" t="s">
        <v>1918</v>
      </c>
    </row>
    <row r="220" spans="1:46" s="1" customFormat="1" ht="135.65" hidden="1" customHeight="1" outlineLevel="1" x14ac:dyDescent="0.35">
      <c r="A220" s="590">
        <v>111</v>
      </c>
      <c r="B220" s="612" t="s">
        <v>69</v>
      </c>
      <c r="C220" s="607" t="s">
        <v>1733</v>
      </c>
      <c r="D220" s="275" t="s">
        <v>1982</v>
      </c>
      <c r="E220" s="432" t="s">
        <v>1925</v>
      </c>
      <c r="F220" s="559" t="s">
        <v>1924</v>
      </c>
      <c r="G220" s="95" t="s">
        <v>24</v>
      </c>
      <c r="H220" s="310" t="s">
        <v>1794</v>
      </c>
      <c r="I220" s="334"/>
      <c r="J220" s="283"/>
      <c r="K220" s="294">
        <f t="shared" ref="K220:K234" si="398">M220+P220+U220+R220+T220</f>
        <v>62.415501000000006</v>
      </c>
      <c r="L220" s="183">
        <f t="shared" si="371"/>
        <v>0</v>
      </c>
      <c r="M220" s="94">
        <f t="shared" si="372"/>
        <v>0</v>
      </c>
      <c r="N220" s="94">
        <f t="shared" si="396"/>
        <v>0</v>
      </c>
      <c r="O220" s="94">
        <f t="shared" ref="O220:O243" si="399">-X220</f>
        <v>0</v>
      </c>
      <c r="P220" s="94">
        <f t="shared" ref="P220:P243" si="400">-AB220</f>
        <v>0</v>
      </c>
      <c r="Q220" s="94">
        <f t="shared" si="390"/>
        <v>62.415501000000006</v>
      </c>
      <c r="R220" s="94">
        <f>-AC220</f>
        <v>62.415501000000006</v>
      </c>
      <c r="S220" s="94">
        <f t="shared" si="391"/>
        <v>0</v>
      </c>
      <c r="T220" s="94">
        <f t="shared" si="397"/>
        <v>0</v>
      </c>
      <c r="U220" s="402">
        <f t="shared" si="375"/>
        <v>0</v>
      </c>
      <c r="V220" s="893">
        <v>0</v>
      </c>
      <c r="W220" s="387">
        <v>0</v>
      </c>
      <c r="X220" s="920">
        <f>0</f>
        <v>0</v>
      </c>
      <c r="Y220" s="915">
        <v>0</v>
      </c>
      <c r="Z220" s="367">
        <v>0</v>
      </c>
      <c r="AA220" s="468">
        <v>0</v>
      </c>
      <c r="AB220" s="207">
        <v>0</v>
      </c>
      <c r="AC220" s="207">
        <f>-124.831005+62.415504</f>
        <v>-62.415501000000006</v>
      </c>
      <c r="AD220" s="367">
        <v>0</v>
      </c>
      <c r="AE220" s="468">
        <v>0</v>
      </c>
      <c r="AF220" s="468">
        <v>0</v>
      </c>
      <c r="AG220" s="468">
        <v>0</v>
      </c>
      <c r="AH220" s="468">
        <v>0</v>
      </c>
      <c r="AI220" s="387">
        <v>0</v>
      </c>
      <c r="AJ220" s="207">
        <v>0</v>
      </c>
      <c r="AK220" s="367">
        <v>0</v>
      </c>
      <c r="AL220" s="367">
        <v>0</v>
      </c>
      <c r="AM220" s="367">
        <v>0</v>
      </c>
      <c r="AN220" s="367">
        <v>0</v>
      </c>
      <c r="AO220" s="295">
        <v>0</v>
      </c>
      <c r="AP220" s="295">
        <v>0</v>
      </c>
      <c r="AQ220" s="295">
        <v>0</v>
      </c>
      <c r="AR220" s="387">
        <v>0</v>
      </c>
      <c r="AS220" s="896">
        <f t="shared" si="394"/>
        <v>0</v>
      </c>
      <c r="AT220" s="418" t="s">
        <v>1983</v>
      </c>
    </row>
    <row r="221" spans="1:46" s="1" customFormat="1" ht="83.5" hidden="1" customHeight="1" outlineLevel="1" x14ac:dyDescent="0.35">
      <c r="A221" s="590">
        <v>112</v>
      </c>
      <c r="B221" s="612" t="s">
        <v>69</v>
      </c>
      <c r="C221" s="607" t="s">
        <v>1732</v>
      </c>
      <c r="D221" s="275">
        <v>44586</v>
      </c>
      <c r="E221" s="432" t="s">
        <v>1961</v>
      </c>
      <c r="F221" s="559" t="s">
        <v>1949</v>
      </c>
      <c r="G221" s="95" t="s">
        <v>24</v>
      </c>
      <c r="H221" s="310" t="s">
        <v>130</v>
      </c>
      <c r="I221" s="334"/>
      <c r="J221" s="283"/>
      <c r="K221" s="294">
        <f t="shared" si="398"/>
        <v>49.52223</v>
      </c>
      <c r="L221" s="183">
        <f t="shared" si="371"/>
        <v>0</v>
      </c>
      <c r="M221" s="94">
        <f t="shared" si="372"/>
        <v>0</v>
      </c>
      <c r="N221" s="94">
        <f t="shared" si="396"/>
        <v>0</v>
      </c>
      <c r="O221" s="94">
        <f t="shared" si="399"/>
        <v>0</v>
      </c>
      <c r="P221" s="94">
        <f t="shared" si="400"/>
        <v>0</v>
      </c>
      <c r="Q221" s="94">
        <f t="shared" si="390"/>
        <v>49.52223</v>
      </c>
      <c r="R221" s="94">
        <f t="shared" si="393"/>
        <v>49.52223</v>
      </c>
      <c r="S221" s="94">
        <f t="shared" si="391"/>
        <v>65.261720999999994</v>
      </c>
      <c r="T221" s="94">
        <f t="shared" si="397"/>
        <v>0</v>
      </c>
      <c r="U221" s="402">
        <f t="shared" si="375"/>
        <v>0</v>
      </c>
      <c r="V221" s="893">
        <v>0</v>
      </c>
      <c r="W221" s="387">
        <v>0</v>
      </c>
      <c r="X221" s="920">
        <f>0</f>
        <v>0</v>
      </c>
      <c r="Y221" s="915">
        <v>0</v>
      </c>
      <c r="Z221" s="367">
        <v>0</v>
      </c>
      <c r="AA221" s="468">
        <v>0</v>
      </c>
      <c r="AB221" s="207">
        <v>0</v>
      </c>
      <c r="AC221" s="207">
        <v>-49.52223</v>
      </c>
      <c r="AD221" s="367">
        <v>0</v>
      </c>
      <c r="AE221" s="468">
        <v>0</v>
      </c>
      <c r="AF221" s="468">
        <v>-49.52223</v>
      </c>
      <c r="AG221" s="468">
        <v>-49.52223</v>
      </c>
      <c r="AH221" s="468">
        <v>-49.52223</v>
      </c>
      <c r="AI221" s="623">
        <f>-0.007539-0.000737-0.029909-0.029787-0.02837-0.065789-0.065784-0.061923-0.012524-6.164709-58.79465</f>
        <v>-65.261720999999994</v>
      </c>
      <c r="AJ221" s="207">
        <v>0</v>
      </c>
      <c r="AK221" s="367">
        <v>0</v>
      </c>
      <c r="AL221" s="367">
        <v>0</v>
      </c>
      <c r="AM221" s="367">
        <v>0</v>
      </c>
      <c r="AN221" s="367">
        <v>0</v>
      </c>
      <c r="AO221" s="295">
        <v>0</v>
      </c>
      <c r="AP221" s="295">
        <v>0</v>
      </c>
      <c r="AQ221" s="295">
        <v>0</v>
      </c>
      <c r="AR221" s="623">
        <v>0</v>
      </c>
      <c r="AS221" s="896">
        <f>-AR221</f>
        <v>0</v>
      </c>
      <c r="AT221" s="418" t="s">
        <v>1948</v>
      </c>
    </row>
    <row r="222" spans="1:46" s="1" customFormat="1" ht="83.5" hidden="1" customHeight="1" outlineLevel="1" x14ac:dyDescent="0.35">
      <c r="A222" s="590">
        <v>113</v>
      </c>
      <c r="B222" s="612" t="s">
        <v>69</v>
      </c>
      <c r="C222" s="607" t="s">
        <v>1736</v>
      </c>
      <c r="D222" s="275">
        <v>44593</v>
      </c>
      <c r="E222" s="432" t="s">
        <v>1959</v>
      </c>
      <c r="F222" s="559" t="s">
        <v>1960</v>
      </c>
      <c r="G222" s="95" t="s">
        <v>24</v>
      </c>
      <c r="H222" s="310" t="s">
        <v>129</v>
      </c>
      <c r="I222" s="334"/>
      <c r="J222" s="283"/>
      <c r="K222" s="294">
        <f t="shared" si="398"/>
        <v>0.44631999999999999</v>
      </c>
      <c r="L222" s="183">
        <f t="shared" si="371"/>
        <v>0</v>
      </c>
      <c r="M222" s="94">
        <f t="shared" si="372"/>
        <v>0</v>
      </c>
      <c r="N222" s="94">
        <f t="shared" si="396"/>
        <v>0</v>
      </c>
      <c r="O222" s="94">
        <f t="shared" si="399"/>
        <v>0</v>
      </c>
      <c r="P222" s="94">
        <f t="shared" si="400"/>
        <v>0</v>
      </c>
      <c r="Q222" s="94">
        <f t="shared" si="390"/>
        <v>0.44631999999999999</v>
      </c>
      <c r="R222" s="94">
        <f t="shared" si="393"/>
        <v>0.44631999999999999</v>
      </c>
      <c r="S222" s="94">
        <f t="shared" si="391"/>
        <v>0</v>
      </c>
      <c r="T222" s="94">
        <f t="shared" si="397"/>
        <v>0</v>
      </c>
      <c r="U222" s="402">
        <f t="shared" si="375"/>
        <v>0</v>
      </c>
      <c r="V222" s="893">
        <v>0</v>
      </c>
      <c r="W222" s="387">
        <v>0</v>
      </c>
      <c r="X222" s="920">
        <f>0</f>
        <v>0</v>
      </c>
      <c r="Y222" s="915">
        <v>0</v>
      </c>
      <c r="Z222" s="367">
        <v>0</v>
      </c>
      <c r="AA222" s="468">
        <v>0</v>
      </c>
      <c r="AB222" s="207">
        <v>0</v>
      </c>
      <c r="AC222" s="207">
        <v>-0.44631999999999999</v>
      </c>
      <c r="AD222" s="367">
        <v>0</v>
      </c>
      <c r="AE222" s="468">
        <v>0</v>
      </c>
      <c r="AF222" s="468">
        <v>-0.44631999999999999</v>
      </c>
      <c r="AG222" s="468">
        <v>-0.44631999999999999</v>
      </c>
      <c r="AH222" s="468">
        <v>-0.44631999999999999</v>
      </c>
      <c r="AI222" s="387">
        <v>0</v>
      </c>
      <c r="AJ222" s="207">
        <v>0</v>
      </c>
      <c r="AK222" s="367">
        <v>0</v>
      </c>
      <c r="AL222" s="367">
        <v>0</v>
      </c>
      <c r="AM222" s="367">
        <v>0</v>
      </c>
      <c r="AN222" s="367">
        <v>0</v>
      </c>
      <c r="AO222" s="295">
        <v>0</v>
      </c>
      <c r="AP222" s="295">
        <v>0</v>
      </c>
      <c r="AQ222" s="295">
        <v>0</v>
      </c>
      <c r="AR222" s="387">
        <v>0</v>
      </c>
      <c r="AS222" s="896">
        <f t="shared" ref="AS222:AS225" si="401">-AR222</f>
        <v>0</v>
      </c>
      <c r="AT222" s="418" t="s">
        <v>1958</v>
      </c>
    </row>
    <row r="223" spans="1:46" s="1" customFormat="1" ht="83.5" hidden="1" customHeight="1" outlineLevel="1" x14ac:dyDescent="0.35">
      <c r="A223" s="590">
        <v>114</v>
      </c>
      <c r="B223" s="612" t="s">
        <v>69</v>
      </c>
      <c r="C223" s="607" t="s">
        <v>1733</v>
      </c>
      <c r="D223" s="275">
        <v>44593</v>
      </c>
      <c r="E223" s="432" t="s">
        <v>1964</v>
      </c>
      <c r="F223" s="559" t="s">
        <v>1963</v>
      </c>
      <c r="G223" s="95" t="s">
        <v>24</v>
      </c>
      <c r="H223" s="310" t="s">
        <v>129</v>
      </c>
      <c r="I223" s="334"/>
      <c r="J223" s="283"/>
      <c r="K223" s="294">
        <f t="shared" si="398"/>
        <v>0.72404900000000005</v>
      </c>
      <c r="L223" s="183">
        <f t="shared" si="371"/>
        <v>0</v>
      </c>
      <c r="M223" s="94">
        <f t="shared" si="372"/>
        <v>0</v>
      </c>
      <c r="N223" s="94">
        <f t="shared" si="396"/>
        <v>0</v>
      </c>
      <c r="O223" s="94">
        <f t="shared" si="399"/>
        <v>0</v>
      </c>
      <c r="P223" s="94">
        <f t="shared" si="400"/>
        <v>0</v>
      </c>
      <c r="Q223" s="94">
        <f t="shared" si="390"/>
        <v>0.72404900000000005</v>
      </c>
      <c r="R223" s="94">
        <f>-AC223</f>
        <v>0.72404900000000005</v>
      </c>
      <c r="S223" s="94">
        <f t="shared" si="391"/>
        <v>0.26424599999999998</v>
      </c>
      <c r="T223" s="94">
        <f t="shared" si="397"/>
        <v>0</v>
      </c>
      <c r="U223" s="402">
        <f t="shared" si="375"/>
        <v>0</v>
      </c>
      <c r="V223" s="893">
        <v>0</v>
      </c>
      <c r="W223" s="387">
        <v>0</v>
      </c>
      <c r="X223" s="920">
        <f>0</f>
        <v>0</v>
      </c>
      <c r="Y223" s="915">
        <v>0</v>
      </c>
      <c r="Z223" s="367">
        <v>0</v>
      </c>
      <c r="AA223" s="468">
        <v>0</v>
      </c>
      <c r="AB223" s="207">
        <v>0</v>
      </c>
      <c r="AC223" s="207">
        <v>-0.72404900000000005</v>
      </c>
      <c r="AD223" s="367">
        <v>0</v>
      </c>
      <c r="AE223" s="468">
        <v>0</v>
      </c>
      <c r="AF223" s="468">
        <v>-0.72404900000000005</v>
      </c>
      <c r="AG223" s="468">
        <v>-0.72404900000000005</v>
      </c>
      <c r="AH223" s="468">
        <v>-0.72404900000000005</v>
      </c>
      <c r="AI223" s="623">
        <f>-0.034265-0.229981</f>
        <v>-0.26424599999999998</v>
      </c>
      <c r="AJ223" s="207">
        <v>0</v>
      </c>
      <c r="AK223" s="367">
        <v>0</v>
      </c>
      <c r="AL223" s="367">
        <v>0</v>
      </c>
      <c r="AM223" s="367">
        <v>0</v>
      </c>
      <c r="AN223" s="367">
        <v>0</v>
      </c>
      <c r="AO223" s="295">
        <v>0</v>
      </c>
      <c r="AP223" s="295">
        <v>0</v>
      </c>
      <c r="AQ223" s="295">
        <v>0</v>
      </c>
      <c r="AR223" s="623">
        <v>0</v>
      </c>
      <c r="AS223" s="896">
        <f t="shared" si="401"/>
        <v>0</v>
      </c>
      <c r="AT223" s="418" t="s">
        <v>1962</v>
      </c>
    </row>
    <row r="224" spans="1:46" s="1" customFormat="1" ht="83.5" hidden="1" customHeight="1" outlineLevel="1" x14ac:dyDescent="0.35">
      <c r="A224" s="590">
        <v>115</v>
      </c>
      <c r="B224" s="612" t="s">
        <v>69</v>
      </c>
      <c r="C224" s="607" t="s">
        <v>1733</v>
      </c>
      <c r="D224" s="583">
        <v>44600</v>
      </c>
      <c r="E224" s="584" t="s">
        <v>1970</v>
      </c>
      <c r="F224" s="559" t="s">
        <v>1966</v>
      </c>
      <c r="G224" s="95" t="s">
        <v>24</v>
      </c>
      <c r="H224" s="310" t="s">
        <v>129</v>
      </c>
      <c r="I224" s="334"/>
      <c r="J224" s="283"/>
      <c r="K224" s="294">
        <f t="shared" si="398"/>
        <v>62.415503999999999</v>
      </c>
      <c r="L224" s="183">
        <f t="shared" si="371"/>
        <v>0</v>
      </c>
      <c r="M224" s="94">
        <f t="shared" si="372"/>
        <v>0</v>
      </c>
      <c r="N224" s="94">
        <f t="shared" si="396"/>
        <v>0</v>
      </c>
      <c r="O224" s="94">
        <f t="shared" si="399"/>
        <v>0</v>
      </c>
      <c r="P224" s="94">
        <f t="shared" si="400"/>
        <v>0</v>
      </c>
      <c r="Q224" s="94">
        <f t="shared" si="390"/>
        <v>62.415503999999999</v>
      </c>
      <c r="R224" s="94">
        <f t="shared" ref="R224:R229" si="402">-AC224</f>
        <v>62.415503999999999</v>
      </c>
      <c r="S224" s="94">
        <f t="shared" si="391"/>
        <v>77.404966999999999</v>
      </c>
      <c r="T224" s="94">
        <f t="shared" si="397"/>
        <v>0</v>
      </c>
      <c r="U224" s="402">
        <f t="shared" si="375"/>
        <v>0</v>
      </c>
      <c r="V224" s="893">
        <v>0</v>
      </c>
      <c r="W224" s="387">
        <v>0</v>
      </c>
      <c r="X224" s="920">
        <f>0</f>
        <v>0</v>
      </c>
      <c r="Y224" s="915">
        <v>0</v>
      </c>
      <c r="Z224" s="367">
        <v>0</v>
      </c>
      <c r="AA224" s="468">
        <v>0</v>
      </c>
      <c r="AB224" s="207">
        <v>0</v>
      </c>
      <c r="AC224" s="207">
        <v>-62.415503999999999</v>
      </c>
      <c r="AD224" s="367">
        <v>0</v>
      </c>
      <c r="AE224" s="468">
        <v>0</v>
      </c>
      <c r="AF224" s="468">
        <v>-62.415503999999999</v>
      </c>
      <c r="AG224" s="468">
        <v>-62.415503999999999</v>
      </c>
      <c r="AH224" s="468">
        <v>-62.415503999999999</v>
      </c>
      <c r="AI224" s="623">
        <f>-0.225149-77.179818</f>
        <v>-77.404966999999999</v>
      </c>
      <c r="AJ224" s="207">
        <v>0</v>
      </c>
      <c r="AK224" s="367">
        <v>0</v>
      </c>
      <c r="AL224" s="367">
        <v>0</v>
      </c>
      <c r="AM224" s="367">
        <v>0</v>
      </c>
      <c r="AN224" s="367">
        <v>0</v>
      </c>
      <c r="AO224" s="295">
        <v>0</v>
      </c>
      <c r="AP224" s="295">
        <v>0</v>
      </c>
      <c r="AQ224" s="295">
        <v>0</v>
      </c>
      <c r="AR224" s="623">
        <v>0</v>
      </c>
      <c r="AS224" s="896">
        <f t="shared" si="401"/>
        <v>0</v>
      </c>
      <c r="AT224" s="418" t="s">
        <v>1965</v>
      </c>
    </row>
    <row r="225" spans="1:46" s="1" customFormat="1" ht="83.5" hidden="1" customHeight="1" outlineLevel="1" x14ac:dyDescent="0.35">
      <c r="A225" s="590">
        <v>116</v>
      </c>
      <c r="B225" s="612" t="s">
        <v>69</v>
      </c>
      <c r="C225" s="607" t="s">
        <v>1733</v>
      </c>
      <c r="D225" s="583">
        <v>44601</v>
      </c>
      <c r="E225" s="584" t="s">
        <v>1971</v>
      </c>
      <c r="F225" s="559" t="s">
        <v>1568</v>
      </c>
      <c r="G225" s="95" t="s">
        <v>24</v>
      </c>
      <c r="H225" s="310" t="s">
        <v>129</v>
      </c>
      <c r="I225" s="334"/>
      <c r="J225" s="283"/>
      <c r="K225" s="294">
        <f t="shared" si="398"/>
        <v>8.4389520000000005</v>
      </c>
      <c r="L225" s="183">
        <f t="shared" si="371"/>
        <v>0</v>
      </c>
      <c r="M225" s="94">
        <f t="shared" si="372"/>
        <v>0</v>
      </c>
      <c r="N225" s="94">
        <f t="shared" si="396"/>
        <v>0</v>
      </c>
      <c r="O225" s="94">
        <f t="shared" si="399"/>
        <v>0</v>
      </c>
      <c r="P225" s="94">
        <f t="shared" si="400"/>
        <v>0</v>
      </c>
      <c r="Q225" s="94">
        <f t="shared" si="390"/>
        <v>8.4389520000000005</v>
      </c>
      <c r="R225" s="94">
        <f t="shared" si="402"/>
        <v>8.4389520000000005</v>
      </c>
      <c r="S225" s="94">
        <f t="shared" si="391"/>
        <v>4.5240549999999997</v>
      </c>
      <c r="T225" s="94">
        <f t="shared" si="397"/>
        <v>0</v>
      </c>
      <c r="U225" s="402">
        <f t="shared" si="375"/>
        <v>0</v>
      </c>
      <c r="V225" s="893">
        <v>0</v>
      </c>
      <c r="W225" s="387">
        <v>0</v>
      </c>
      <c r="X225" s="920">
        <f>0</f>
        <v>0</v>
      </c>
      <c r="Y225" s="915">
        <v>0</v>
      </c>
      <c r="Z225" s="367">
        <v>0</v>
      </c>
      <c r="AA225" s="468">
        <v>0</v>
      </c>
      <c r="AB225" s="207">
        <v>0</v>
      </c>
      <c r="AC225" s="207">
        <v>-8.4389520000000005</v>
      </c>
      <c r="AD225" s="367">
        <v>0</v>
      </c>
      <c r="AE225" s="468">
        <v>0</v>
      </c>
      <c r="AF225" s="468">
        <v>-8.4389520000000005</v>
      </c>
      <c r="AG225" s="468">
        <v>-8.4389520000000005</v>
      </c>
      <c r="AH225" s="468">
        <v>-8.4389520000000005</v>
      </c>
      <c r="AI225" s="623">
        <f>-4.524055</f>
        <v>-4.5240549999999997</v>
      </c>
      <c r="AJ225" s="207">
        <v>0</v>
      </c>
      <c r="AK225" s="367">
        <v>0</v>
      </c>
      <c r="AL225" s="367">
        <v>0</v>
      </c>
      <c r="AM225" s="367">
        <v>0</v>
      </c>
      <c r="AN225" s="367">
        <v>0</v>
      </c>
      <c r="AO225" s="295">
        <v>0</v>
      </c>
      <c r="AP225" s="295">
        <v>0</v>
      </c>
      <c r="AQ225" s="295">
        <v>0</v>
      </c>
      <c r="AR225" s="623">
        <v>0</v>
      </c>
      <c r="AS225" s="896">
        <f t="shared" si="401"/>
        <v>0</v>
      </c>
      <c r="AT225" s="418" t="s">
        <v>1969</v>
      </c>
    </row>
    <row r="226" spans="1:46" s="1" customFormat="1" ht="83.5" hidden="1" customHeight="1" outlineLevel="1" x14ac:dyDescent="0.35">
      <c r="A226" s="590">
        <v>117</v>
      </c>
      <c r="B226" s="612" t="s">
        <v>69</v>
      </c>
      <c r="C226" s="607" t="s">
        <v>1733</v>
      </c>
      <c r="D226" s="583">
        <v>44593</v>
      </c>
      <c r="E226" s="584" t="s">
        <v>1979</v>
      </c>
      <c r="F226" s="559" t="s">
        <v>1980</v>
      </c>
      <c r="G226" s="95" t="s">
        <v>28</v>
      </c>
      <c r="H226" s="310" t="s">
        <v>129</v>
      </c>
      <c r="I226" s="334"/>
      <c r="J226" s="283"/>
      <c r="K226" s="294">
        <f t="shared" si="398"/>
        <v>6.4847000000000002E-2</v>
      </c>
      <c r="L226" s="183">
        <f t="shared" si="371"/>
        <v>0</v>
      </c>
      <c r="M226" s="94">
        <f t="shared" si="372"/>
        <v>0</v>
      </c>
      <c r="N226" s="94">
        <f t="shared" si="396"/>
        <v>0</v>
      </c>
      <c r="O226" s="94">
        <f t="shared" si="399"/>
        <v>0</v>
      </c>
      <c r="P226" s="94">
        <f t="shared" si="400"/>
        <v>0</v>
      </c>
      <c r="Q226" s="94">
        <f t="shared" si="390"/>
        <v>6.4847000000000002E-2</v>
      </c>
      <c r="R226" s="94">
        <f t="shared" si="402"/>
        <v>6.4847000000000002E-2</v>
      </c>
      <c r="S226" s="94">
        <f t="shared" si="391"/>
        <v>4.7350000000000003E-2</v>
      </c>
      <c r="T226" s="94">
        <f t="shared" si="397"/>
        <v>0</v>
      </c>
      <c r="U226" s="402">
        <f t="shared" si="375"/>
        <v>0</v>
      </c>
      <c r="V226" s="893">
        <v>0</v>
      </c>
      <c r="W226" s="387">
        <v>0</v>
      </c>
      <c r="X226" s="920">
        <f>0</f>
        <v>0</v>
      </c>
      <c r="Y226" s="915">
        <v>0</v>
      </c>
      <c r="Z226" s="367">
        <v>0</v>
      </c>
      <c r="AA226" s="468">
        <v>0</v>
      </c>
      <c r="AB226" s="207">
        <v>0</v>
      </c>
      <c r="AC226" s="207">
        <v>-6.4847000000000002E-2</v>
      </c>
      <c r="AD226" s="367">
        <v>0</v>
      </c>
      <c r="AE226" s="468">
        <v>0</v>
      </c>
      <c r="AF226" s="468">
        <v>-6.4847000000000002E-2</v>
      </c>
      <c r="AG226" s="468">
        <v>-6.4847000000000002E-2</v>
      </c>
      <c r="AH226" s="468">
        <v>-6.4847000000000002E-2</v>
      </c>
      <c r="AI226" s="623">
        <v>-4.7350000000000003E-2</v>
      </c>
      <c r="AJ226" s="207">
        <v>0</v>
      </c>
      <c r="AK226" s="367">
        <v>0</v>
      </c>
      <c r="AL226" s="367">
        <v>0</v>
      </c>
      <c r="AM226" s="367">
        <v>0</v>
      </c>
      <c r="AN226" s="367">
        <v>0</v>
      </c>
      <c r="AO226" s="295">
        <v>0</v>
      </c>
      <c r="AP226" s="295">
        <v>0</v>
      </c>
      <c r="AQ226" s="295">
        <v>0</v>
      </c>
      <c r="AR226" s="623">
        <v>0</v>
      </c>
      <c r="AS226" s="896">
        <f>-AR226</f>
        <v>0</v>
      </c>
      <c r="AT226" s="418" t="s">
        <v>1981</v>
      </c>
    </row>
    <row r="227" spans="1:46" s="1" customFormat="1" ht="43.5" hidden="1" customHeight="1" outlineLevel="1" x14ac:dyDescent="0.35">
      <c r="A227" s="590">
        <v>118</v>
      </c>
      <c r="B227" s="612" t="s">
        <v>69</v>
      </c>
      <c r="C227" s="607" t="s">
        <v>1733</v>
      </c>
      <c r="D227" s="583">
        <v>44551</v>
      </c>
      <c r="E227" s="584" t="s">
        <v>1985</v>
      </c>
      <c r="F227" s="559" t="s">
        <v>1986</v>
      </c>
      <c r="G227" s="95" t="s">
        <v>24</v>
      </c>
      <c r="H227" s="310" t="s">
        <v>129</v>
      </c>
      <c r="I227" s="334"/>
      <c r="J227" s="283"/>
      <c r="K227" s="294">
        <f t="shared" si="398"/>
        <v>1.7394799999999999</v>
      </c>
      <c r="L227" s="183">
        <f t="shared" si="371"/>
        <v>0</v>
      </c>
      <c r="M227" s="94">
        <f t="shared" si="372"/>
        <v>0</v>
      </c>
      <c r="N227" s="94">
        <f t="shared" si="396"/>
        <v>0</v>
      </c>
      <c r="O227" s="94">
        <f t="shared" si="399"/>
        <v>0</v>
      </c>
      <c r="P227" s="94">
        <f t="shared" si="400"/>
        <v>0</v>
      </c>
      <c r="Q227" s="94">
        <f t="shared" si="390"/>
        <v>1.7394799999999999</v>
      </c>
      <c r="R227" s="94">
        <f t="shared" si="402"/>
        <v>1.7394799999999999</v>
      </c>
      <c r="S227" s="94">
        <f t="shared" si="391"/>
        <v>0</v>
      </c>
      <c r="T227" s="94">
        <f t="shared" si="397"/>
        <v>0</v>
      </c>
      <c r="U227" s="402">
        <f t="shared" si="375"/>
        <v>0</v>
      </c>
      <c r="V227" s="893">
        <v>0</v>
      </c>
      <c r="W227" s="387">
        <v>0</v>
      </c>
      <c r="X227" s="920">
        <f>0</f>
        <v>0</v>
      </c>
      <c r="Y227" s="915">
        <v>0</v>
      </c>
      <c r="Z227" s="367">
        <v>0</v>
      </c>
      <c r="AA227" s="468">
        <v>0</v>
      </c>
      <c r="AB227" s="207">
        <v>0</v>
      </c>
      <c r="AC227" s="207">
        <v>-1.7394799999999999</v>
      </c>
      <c r="AD227" s="367">
        <v>0</v>
      </c>
      <c r="AE227" s="468">
        <v>0</v>
      </c>
      <c r="AF227" s="468">
        <v>0</v>
      </c>
      <c r="AG227" s="468">
        <v>0</v>
      </c>
      <c r="AH227" s="468">
        <v>0</v>
      </c>
      <c r="AI227" s="387">
        <v>0</v>
      </c>
      <c r="AJ227" s="207">
        <v>0</v>
      </c>
      <c r="AK227" s="367">
        <v>0</v>
      </c>
      <c r="AL227" s="367">
        <v>0</v>
      </c>
      <c r="AM227" s="367">
        <v>0</v>
      </c>
      <c r="AN227" s="367">
        <v>0</v>
      </c>
      <c r="AO227" s="295">
        <v>0</v>
      </c>
      <c r="AP227" s="295">
        <v>0</v>
      </c>
      <c r="AQ227" s="295">
        <v>0</v>
      </c>
      <c r="AR227" s="387">
        <v>0</v>
      </c>
      <c r="AS227" s="896">
        <f t="shared" ref="AS227:AS244" si="403">-AR227</f>
        <v>0</v>
      </c>
      <c r="AT227" s="418" t="s">
        <v>1984</v>
      </c>
    </row>
    <row r="228" spans="1:46" s="1" customFormat="1" ht="101.5" hidden="1" customHeight="1" outlineLevel="1" x14ac:dyDescent="0.35">
      <c r="A228" s="590">
        <v>119</v>
      </c>
      <c r="B228" s="612" t="s">
        <v>69</v>
      </c>
      <c r="C228" s="607" t="s">
        <v>1731</v>
      </c>
      <c r="D228" s="583">
        <v>44614</v>
      </c>
      <c r="E228" s="584" t="s">
        <v>2026</v>
      </c>
      <c r="F228" s="559" t="s">
        <v>2001</v>
      </c>
      <c r="G228" s="95" t="s">
        <v>142</v>
      </c>
      <c r="H228" s="310" t="s">
        <v>129</v>
      </c>
      <c r="I228" s="334"/>
      <c r="J228" s="283"/>
      <c r="K228" s="294">
        <f t="shared" si="398"/>
        <v>1.3135840000000001</v>
      </c>
      <c r="L228" s="183">
        <f t="shared" si="371"/>
        <v>0</v>
      </c>
      <c r="M228" s="94">
        <f t="shared" si="372"/>
        <v>0</v>
      </c>
      <c r="N228" s="94">
        <f t="shared" si="396"/>
        <v>0</v>
      </c>
      <c r="O228" s="94">
        <f t="shared" si="399"/>
        <v>0</v>
      </c>
      <c r="P228" s="94">
        <f t="shared" si="400"/>
        <v>0</v>
      </c>
      <c r="Q228" s="94">
        <f t="shared" si="390"/>
        <v>1.3135840000000001</v>
      </c>
      <c r="R228" s="94">
        <f t="shared" si="402"/>
        <v>1.3135840000000001</v>
      </c>
      <c r="S228" s="94">
        <f t="shared" si="391"/>
        <v>0</v>
      </c>
      <c r="T228" s="94">
        <f t="shared" si="397"/>
        <v>0</v>
      </c>
      <c r="U228" s="402">
        <f t="shared" si="375"/>
        <v>0</v>
      </c>
      <c r="V228" s="893">
        <v>0</v>
      </c>
      <c r="W228" s="387">
        <v>0</v>
      </c>
      <c r="X228" s="920">
        <f>0</f>
        <v>0</v>
      </c>
      <c r="Y228" s="915">
        <v>0</v>
      </c>
      <c r="Z228" s="367">
        <v>0</v>
      </c>
      <c r="AA228" s="468">
        <v>0</v>
      </c>
      <c r="AB228" s="207">
        <v>0</v>
      </c>
      <c r="AC228" s="207">
        <v>-1.3135840000000001</v>
      </c>
      <c r="AD228" s="367">
        <v>0</v>
      </c>
      <c r="AE228" s="468">
        <v>0</v>
      </c>
      <c r="AF228" s="468">
        <v>-1.3135840000000001</v>
      </c>
      <c r="AG228" s="468">
        <v>-1.3135840000000001</v>
      </c>
      <c r="AH228" s="468">
        <v>-1.3135840000000001</v>
      </c>
      <c r="AI228" s="387">
        <v>0</v>
      </c>
      <c r="AJ228" s="207">
        <v>0</v>
      </c>
      <c r="AK228" s="367">
        <v>0</v>
      </c>
      <c r="AL228" s="367">
        <v>0</v>
      </c>
      <c r="AM228" s="367">
        <v>0</v>
      </c>
      <c r="AN228" s="367">
        <v>0</v>
      </c>
      <c r="AO228" s="295">
        <v>0</v>
      </c>
      <c r="AP228" s="295">
        <v>0</v>
      </c>
      <c r="AQ228" s="295">
        <v>0</v>
      </c>
      <c r="AR228" s="387">
        <v>0</v>
      </c>
      <c r="AS228" s="896">
        <f t="shared" si="403"/>
        <v>0</v>
      </c>
      <c r="AT228" s="418" t="s">
        <v>2002</v>
      </c>
    </row>
    <row r="229" spans="1:46" s="1" customFormat="1" ht="43.5" hidden="1" customHeight="1" outlineLevel="1" x14ac:dyDescent="0.35">
      <c r="A229" s="590">
        <v>120</v>
      </c>
      <c r="B229" s="612" t="s">
        <v>69</v>
      </c>
      <c r="C229" s="607" t="s">
        <v>1734</v>
      </c>
      <c r="D229" s="583">
        <v>44614</v>
      </c>
      <c r="E229" s="584" t="s">
        <v>2077</v>
      </c>
      <c r="F229" s="559" t="s">
        <v>2011</v>
      </c>
      <c r="G229" s="95" t="s">
        <v>24</v>
      </c>
      <c r="H229" s="310" t="s">
        <v>130</v>
      </c>
      <c r="I229" s="334"/>
      <c r="J229" s="283"/>
      <c r="K229" s="294">
        <f t="shared" si="398"/>
        <v>2.5194960000000002</v>
      </c>
      <c r="L229" s="183">
        <f t="shared" si="371"/>
        <v>0</v>
      </c>
      <c r="M229" s="94">
        <f t="shared" si="372"/>
        <v>0</v>
      </c>
      <c r="N229" s="94">
        <f t="shared" si="396"/>
        <v>0</v>
      </c>
      <c r="O229" s="94">
        <f t="shared" si="399"/>
        <v>0</v>
      </c>
      <c r="P229" s="94">
        <f t="shared" si="400"/>
        <v>0</v>
      </c>
      <c r="Q229" s="94">
        <f t="shared" si="390"/>
        <v>2.5194960000000002</v>
      </c>
      <c r="R229" s="94">
        <f t="shared" si="402"/>
        <v>2.5194960000000002</v>
      </c>
      <c r="S229" s="94">
        <f t="shared" si="391"/>
        <v>1.0325690000000001</v>
      </c>
      <c r="T229" s="94">
        <f t="shared" si="397"/>
        <v>0</v>
      </c>
      <c r="U229" s="402">
        <f t="shared" si="375"/>
        <v>0</v>
      </c>
      <c r="V229" s="893">
        <v>0</v>
      </c>
      <c r="W229" s="387">
        <v>0</v>
      </c>
      <c r="X229" s="920">
        <f>0</f>
        <v>0</v>
      </c>
      <c r="Y229" s="915">
        <v>0</v>
      </c>
      <c r="Z229" s="367">
        <v>0</v>
      </c>
      <c r="AA229" s="468">
        <v>0</v>
      </c>
      <c r="AB229" s="207">
        <v>0</v>
      </c>
      <c r="AC229" s="207">
        <v>-2.5194960000000002</v>
      </c>
      <c r="AD229" s="367">
        <v>0</v>
      </c>
      <c r="AE229" s="468">
        <v>0</v>
      </c>
      <c r="AF229" s="468">
        <v>-2.5194960000000002</v>
      </c>
      <c r="AG229" s="468">
        <v>-2.5194960000000002</v>
      </c>
      <c r="AH229" s="468">
        <v>-2.5194960000000002</v>
      </c>
      <c r="AI229" s="623">
        <f>-1.032569</f>
        <v>-1.0325690000000001</v>
      </c>
      <c r="AJ229" s="207">
        <v>0</v>
      </c>
      <c r="AK229" s="367">
        <v>0</v>
      </c>
      <c r="AL229" s="367">
        <v>0</v>
      </c>
      <c r="AM229" s="367">
        <v>0</v>
      </c>
      <c r="AN229" s="367">
        <v>0</v>
      </c>
      <c r="AO229" s="295">
        <v>0</v>
      </c>
      <c r="AP229" s="295">
        <v>0</v>
      </c>
      <c r="AQ229" s="295">
        <v>0</v>
      </c>
      <c r="AR229" s="623">
        <v>0</v>
      </c>
      <c r="AS229" s="896">
        <f t="shared" si="403"/>
        <v>0</v>
      </c>
      <c r="AT229" s="418" t="s">
        <v>2010</v>
      </c>
    </row>
    <row r="230" spans="1:46" s="1" customFormat="1" ht="116.15" hidden="1" customHeight="1" outlineLevel="1" x14ac:dyDescent="0.35">
      <c r="A230" s="590">
        <v>121</v>
      </c>
      <c r="B230" s="612" t="s">
        <v>69</v>
      </c>
      <c r="C230" s="607" t="s">
        <v>1733</v>
      </c>
      <c r="D230" s="583">
        <v>44628</v>
      </c>
      <c r="E230" s="584" t="s">
        <v>2029</v>
      </c>
      <c r="F230" s="559" t="s">
        <v>1656</v>
      </c>
      <c r="G230" s="95" t="s">
        <v>24</v>
      </c>
      <c r="H230" s="310" t="s">
        <v>129</v>
      </c>
      <c r="I230" s="334"/>
      <c r="J230" s="283"/>
      <c r="K230" s="294">
        <f t="shared" si="398"/>
        <v>5.1031760000000004</v>
      </c>
      <c r="L230" s="183">
        <f t="shared" si="371"/>
        <v>0</v>
      </c>
      <c r="M230" s="94">
        <f t="shared" si="372"/>
        <v>0</v>
      </c>
      <c r="N230" s="94">
        <f t="shared" si="396"/>
        <v>0</v>
      </c>
      <c r="O230" s="94">
        <f t="shared" si="399"/>
        <v>0</v>
      </c>
      <c r="P230" s="94">
        <f t="shared" si="400"/>
        <v>0</v>
      </c>
      <c r="Q230" s="94">
        <f t="shared" si="390"/>
        <v>5.1031760000000004</v>
      </c>
      <c r="R230" s="94">
        <f>-AC230</f>
        <v>5.1031760000000004</v>
      </c>
      <c r="S230" s="94">
        <f t="shared" si="391"/>
        <v>5.1031649999999997</v>
      </c>
      <c r="T230" s="94">
        <f t="shared" si="397"/>
        <v>0</v>
      </c>
      <c r="U230" s="402">
        <f t="shared" si="375"/>
        <v>0</v>
      </c>
      <c r="V230" s="893">
        <v>0</v>
      </c>
      <c r="W230" s="387">
        <v>0</v>
      </c>
      <c r="X230" s="920">
        <f>0</f>
        <v>0</v>
      </c>
      <c r="Y230" s="915">
        <v>0</v>
      </c>
      <c r="Z230" s="367">
        <v>0</v>
      </c>
      <c r="AA230" s="468">
        <v>0</v>
      </c>
      <c r="AB230" s="207">
        <v>0</v>
      </c>
      <c r="AC230" s="207">
        <v>-5.1031760000000004</v>
      </c>
      <c r="AD230" s="367">
        <v>0</v>
      </c>
      <c r="AE230" s="468">
        <v>0</v>
      </c>
      <c r="AF230" s="468">
        <v>-5.1031760000000004</v>
      </c>
      <c r="AG230" s="468">
        <v>-5.1031760000000004</v>
      </c>
      <c r="AH230" s="468">
        <v>-5.1031760000000004</v>
      </c>
      <c r="AI230" s="623">
        <f>-0.013607-3.058906-1.920319-0.110333</f>
        <v>-5.1031649999999997</v>
      </c>
      <c r="AJ230" s="207">
        <v>0</v>
      </c>
      <c r="AK230" s="367">
        <v>0</v>
      </c>
      <c r="AL230" s="367">
        <v>0</v>
      </c>
      <c r="AM230" s="367">
        <v>0</v>
      </c>
      <c r="AN230" s="367">
        <v>0</v>
      </c>
      <c r="AO230" s="295">
        <v>0</v>
      </c>
      <c r="AP230" s="295">
        <v>0</v>
      </c>
      <c r="AQ230" s="295">
        <v>0</v>
      </c>
      <c r="AR230" s="623">
        <v>0</v>
      </c>
      <c r="AS230" s="896">
        <f t="shared" si="403"/>
        <v>0</v>
      </c>
      <c r="AT230" s="418" t="s">
        <v>2013</v>
      </c>
    </row>
    <row r="231" spans="1:46" s="1" customFormat="1" ht="174" hidden="1" customHeight="1" outlineLevel="1" x14ac:dyDescent="0.35">
      <c r="A231" s="590">
        <v>122</v>
      </c>
      <c r="B231" s="612" t="s">
        <v>69</v>
      </c>
      <c r="C231" s="607" t="s">
        <v>700</v>
      </c>
      <c r="D231" s="583">
        <v>44635</v>
      </c>
      <c r="E231" s="584" t="s">
        <v>2018</v>
      </c>
      <c r="F231" s="559" t="s">
        <v>1656</v>
      </c>
      <c r="G231" s="95" t="s">
        <v>24</v>
      </c>
      <c r="H231" s="310" t="s">
        <v>129</v>
      </c>
      <c r="I231" s="334"/>
      <c r="J231" s="283"/>
      <c r="K231" s="294">
        <f t="shared" si="398"/>
        <v>11.548412000000001</v>
      </c>
      <c r="L231" s="183">
        <f t="shared" si="371"/>
        <v>0</v>
      </c>
      <c r="M231" s="94">
        <f t="shared" si="372"/>
        <v>0</v>
      </c>
      <c r="N231" s="94">
        <f t="shared" si="396"/>
        <v>0</v>
      </c>
      <c r="O231" s="94">
        <f t="shared" si="399"/>
        <v>0</v>
      </c>
      <c r="P231" s="94">
        <f t="shared" si="400"/>
        <v>0</v>
      </c>
      <c r="Q231" s="94">
        <f t="shared" si="390"/>
        <v>11.548412000000001</v>
      </c>
      <c r="R231" s="94">
        <f t="shared" ref="R231:R233" si="404">-AC231</f>
        <v>11.548412000000001</v>
      </c>
      <c r="S231" s="94">
        <f t="shared" si="391"/>
        <v>0</v>
      </c>
      <c r="T231" s="94">
        <f t="shared" si="397"/>
        <v>0</v>
      </c>
      <c r="U231" s="402">
        <f t="shared" si="375"/>
        <v>0</v>
      </c>
      <c r="V231" s="893">
        <v>0</v>
      </c>
      <c r="W231" s="387">
        <v>0</v>
      </c>
      <c r="X231" s="920">
        <f>0</f>
        <v>0</v>
      </c>
      <c r="Y231" s="915">
        <v>0</v>
      </c>
      <c r="Z231" s="367">
        <v>0</v>
      </c>
      <c r="AA231" s="468">
        <v>0</v>
      </c>
      <c r="AB231" s="207">
        <v>0</v>
      </c>
      <c r="AC231" s="207">
        <v>-11.548412000000001</v>
      </c>
      <c r="AD231" s="367">
        <v>0</v>
      </c>
      <c r="AE231" s="468">
        <v>0</v>
      </c>
      <c r="AF231" s="468">
        <v>0</v>
      </c>
      <c r="AG231" s="468">
        <v>-11.548412000000001</v>
      </c>
      <c r="AH231" s="468">
        <v>-11.548412000000001</v>
      </c>
      <c r="AI231" s="387">
        <v>0</v>
      </c>
      <c r="AJ231" s="207">
        <v>0</v>
      </c>
      <c r="AK231" s="367">
        <v>0</v>
      </c>
      <c r="AL231" s="367">
        <v>0</v>
      </c>
      <c r="AM231" s="367">
        <v>0</v>
      </c>
      <c r="AN231" s="367">
        <v>0</v>
      </c>
      <c r="AO231" s="295">
        <v>0</v>
      </c>
      <c r="AP231" s="295">
        <v>0</v>
      </c>
      <c r="AQ231" s="295">
        <v>0</v>
      </c>
      <c r="AR231" s="387">
        <v>0</v>
      </c>
      <c r="AS231" s="896">
        <f t="shared" si="403"/>
        <v>0</v>
      </c>
      <c r="AT231" s="418" t="s">
        <v>2017</v>
      </c>
    </row>
    <row r="232" spans="1:46" s="1" customFormat="1" ht="72.650000000000006" hidden="1" customHeight="1" outlineLevel="1" x14ac:dyDescent="0.35">
      <c r="A232" s="590">
        <v>123</v>
      </c>
      <c r="B232" s="612" t="s">
        <v>69</v>
      </c>
      <c r="C232" s="607" t="s">
        <v>700</v>
      </c>
      <c r="D232" s="583">
        <v>44635</v>
      </c>
      <c r="E232" s="584" t="s">
        <v>2031</v>
      </c>
      <c r="F232" s="559" t="s">
        <v>2032</v>
      </c>
      <c r="G232" s="95" t="s">
        <v>24</v>
      </c>
      <c r="H232" s="310" t="s">
        <v>129</v>
      </c>
      <c r="I232" s="334"/>
      <c r="J232" s="283"/>
      <c r="K232" s="294">
        <f t="shared" si="398"/>
        <v>6.2377700000000003</v>
      </c>
      <c r="L232" s="183">
        <f t="shared" si="371"/>
        <v>0</v>
      </c>
      <c r="M232" s="94">
        <f t="shared" si="372"/>
        <v>0</v>
      </c>
      <c r="N232" s="94">
        <f t="shared" si="396"/>
        <v>0</v>
      </c>
      <c r="O232" s="94">
        <f t="shared" si="399"/>
        <v>0</v>
      </c>
      <c r="P232" s="94">
        <f t="shared" si="400"/>
        <v>0</v>
      </c>
      <c r="Q232" s="94">
        <f t="shared" si="390"/>
        <v>6.2377700000000003</v>
      </c>
      <c r="R232" s="94">
        <f t="shared" si="404"/>
        <v>6.2377700000000003</v>
      </c>
      <c r="S232" s="94">
        <f t="shared" si="391"/>
        <v>3.2576830000000001</v>
      </c>
      <c r="T232" s="94">
        <f t="shared" si="397"/>
        <v>0</v>
      </c>
      <c r="U232" s="402">
        <f t="shared" si="375"/>
        <v>0</v>
      </c>
      <c r="V232" s="893">
        <v>0</v>
      </c>
      <c r="W232" s="387">
        <v>0</v>
      </c>
      <c r="X232" s="920">
        <f>0</f>
        <v>0</v>
      </c>
      <c r="Y232" s="915">
        <v>0</v>
      </c>
      <c r="Z232" s="367">
        <v>0</v>
      </c>
      <c r="AA232" s="468">
        <v>0</v>
      </c>
      <c r="AB232" s="207">
        <v>0</v>
      </c>
      <c r="AC232" s="207">
        <v>-6.2377700000000003</v>
      </c>
      <c r="AD232" s="367">
        <v>0</v>
      </c>
      <c r="AE232" s="468">
        <v>0</v>
      </c>
      <c r="AF232" s="468">
        <v>0</v>
      </c>
      <c r="AG232" s="468">
        <v>-6.2377700000000003</v>
      </c>
      <c r="AH232" s="468">
        <v>-6.2377700000000003</v>
      </c>
      <c r="AI232" s="623">
        <f>-0.010108-0.005831-3.241744</f>
        <v>-3.2576830000000001</v>
      </c>
      <c r="AJ232" s="207">
        <v>0</v>
      </c>
      <c r="AK232" s="367">
        <v>0</v>
      </c>
      <c r="AL232" s="367">
        <v>0</v>
      </c>
      <c r="AM232" s="367">
        <v>0</v>
      </c>
      <c r="AN232" s="367">
        <v>0</v>
      </c>
      <c r="AO232" s="295">
        <v>0</v>
      </c>
      <c r="AP232" s="295">
        <v>0</v>
      </c>
      <c r="AQ232" s="295">
        <v>0</v>
      </c>
      <c r="AR232" s="623">
        <v>0</v>
      </c>
      <c r="AS232" s="896">
        <f t="shared" si="403"/>
        <v>0</v>
      </c>
      <c r="AT232" s="418" t="s">
        <v>2033</v>
      </c>
    </row>
    <row r="233" spans="1:46" s="1" customFormat="1" ht="72.650000000000006" hidden="1" customHeight="1" outlineLevel="1" x14ac:dyDescent="0.35">
      <c r="A233" s="590">
        <v>124</v>
      </c>
      <c r="B233" s="612" t="s">
        <v>69</v>
      </c>
      <c r="C233" s="607" t="s">
        <v>700</v>
      </c>
      <c r="D233" s="583">
        <v>44635</v>
      </c>
      <c r="E233" s="584" t="s">
        <v>2034</v>
      </c>
      <c r="F233" s="559" t="s">
        <v>2035</v>
      </c>
      <c r="G233" s="95" t="s">
        <v>24</v>
      </c>
      <c r="H233" s="310" t="s">
        <v>129</v>
      </c>
      <c r="I233" s="334"/>
      <c r="J233" s="283"/>
      <c r="K233" s="294">
        <f t="shared" si="398"/>
        <v>0.83596899999999996</v>
      </c>
      <c r="L233" s="183">
        <f t="shared" si="371"/>
        <v>0</v>
      </c>
      <c r="M233" s="94">
        <f t="shared" si="372"/>
        <v>0</v>
      </c>
      <c r="N233" s="94">
        <f t="shared" si="396"/>
        <v>0</v>
      </c>
      <c r="O233" s="94">
        <f t="shared" si="399"/>
        <v>0</v>
      </c>
      <c r="P233" s="94">
        <f t="shared" si="400"/>
        <v>0</v>
      </c>
      <c r="Q233" s="94">
        <f t="shared" si="390"/>
        <v>0.83596899999999996</v>
      </c>
      <c r="R233" s="94">
        <f t="shared" si="404"/>
        <v>0.83596899999999996</v>
      </c>
      <c r="S233" s="94">
        <f t="shared" si="391"/>
        <v>0.83596899999999996</v>
      </c>
      <c r="T233" s="94">
        <f t="shared" si="397"/>
        <v>0</v>
      </c>
      <c r="U233" s="402">
        <f t="shared" si="375"/>
        <v>0</v>
      </c>
      <c r="V233" s="893">
        <v>0</v>
      </c>
      <c r="W233" s="387">
        <v>0</v>
      </c>
      <c r="X233" s="920">
        <f>0</f>
        <v>0</v>
      </c>
      <c r="Y233" s="915">
        <v>0</v>
      </c>
      <c r="Z233" s="367">
        <v>0</v>
      </c>
      <c r="AA233" s="468">
        <v>0</v>
      </c>
      <c r="AB233" s="207">
        <v>0</v>
      </c>
      <c r="AC233" s="207">
        <v>-0.83596899999999996</v>
      </c>
      <c r="AD233" s="367">
        <v>0</v>
      </c>
      <c r="AE233" s="468">
        <v>0</v>
      </c>
      <c r="AF233" s="468">
        <v>0</v>
      </c>
      <c r="AG233" s="468">
        <v>-0.83596899999999996</v>
      </c>
      <c r="AH233" s="468">
        <v>-0.83596899999999996</v>
      </c>
      <c r="AI233" s="623">
        <f>-0.835969</f>
        <v>-0.83596899999999996</v>
      </c>
      <c r="AJ233" s="207">
        <v>0</v>
      </c>
      <c r="AK233" s="367">
        <v>0</v>
      </c>
      <c r="AL233" s="367">
        <v>0</v>
      </c>
      <c r="AM233" s="367">
        <v>0</v>
      </c>
      <c r="AN233" s="367">
        <v>0</v>
      </c>
      <c r="AO233" s="295">
        <v>0</v>
      </c>
      <c r="AP233" s="295">
        <v>0</v>
      </c>
      <c r="AQ233" s="295">
        <v>0</v>
      </c>
      <c r="AR233" s="623">
        <v>0</v>
      </c>
      <c r="AS233" s="896">
        <f t="shared" si="403"/>
        <v>0</v>
      </c>
      <c r="AT233" s="418" t="s">
        <v>2036</v>
      </c>
    </row>
    <row r="234" spans="1:46" s="1" customFormat="1" ht="145" hidden="1" customHeight="1" outlineLevel="1" x14ac:dyDescent="0.35">
      <c r="A234" s="590">
        <v>125</v>
      </c>
      <c r="B234" s="612" t="s">
        <v>69</v>
      </c>
      <c r="C234" s="607" t="s">
        <v>700</v>
      </c>
      <c r="D234" s="583" t="s">
        <v>2038</v>
      </c>
      <c r="E234" s="584" t="s">
        <v>2037</v>
      </c>
      <c r="F234" s="559" t="s">
        <v>2039</v>
      </c>
      <c r="G234" s="95" t="s">
        <v>24</v>
      </c>
      <c r="H234" s="310" t="s">
        <v>129</v>
      </c>
      <c r="I234" s="334"/>
      <c r="J234" s="283"/>
      <c r="K234" s="294">
        <f t="shared" si="398"/>
        <v>3.8360000000000003</v>
      </c>
      <c r="L234" s="183">
        <f t="shared" si="371"/>
        <v>0</v>
      </c>
      <c r="M234" s="94">
        <f t="shared" si="372"/>
        <v>0</v>
      </c>
      <c r="N234" s="94">
        <f t="shared" si="396"/>
        <v>0</v>
      </c>
      <c r="O234" s="94">
        <f t="shared" si="399"/>
        <v>0</v>
      </c>
      <c r="P234" s="94">
        <f t="shared" si="400"/>
        <v>0</v>
      </c>
      <c r="Q234" s="94">
        <f t="shared" si="390"/>
        <v>3.8360000000000003</v>
      </c>
      <c r="R234" s="94">
        <f>-AC234</f>
        <v>3.8360000000000003</v>
      </c>
      <c r="S234" s="94">
        <f t="shared" si="391"/>
        <v>0</v>
      </c>
      <c r="T234" s="94">
        <f t="shared" si="397"/>
        <v>0</v>
      </c>
      <c r="U234" s="402">
        <f t="shared" si="375"/>
        <v>0</v>
      </c>
      <c r="V234" s="893">
        <v>0</v>
      </c>
      <c r="W234" s="387">
        <v>0</v>
      </c>
      <c r="X234" s="920">
        <f>0</f>
        <v>0</v>
      </c>
      <c r="Y234" s="915">
        <v>0</v>
      </c>
      <c r="Z234" s="367">
        <v>0</v>
      </c>
      <c r="AA234" s="468">
        <v>0</v>
      </c>
      <c r="AB234" s="207">
        <v>0</v>
      </c>
      <c r="AC234" s="207">
        <f>-0.112-3.724</f>
        <v>-3.8360000000000003</v>
      </c>
      <c r="AD234" s="367">
        <v>0</v>
      </c>
      <c r="AE234" s="468">
        <v>0</v>
      </c>
      <c r="AF234" s="468">
        <v>0</v>
      </c>
      <c r="AG234" s="468">
        <v>0</v>
      </c>
      <c r="AH234" s="468">
        <v>0</v>
      </c>
      <c r="AI234" s="387">
        <f>0</f>
        <v>0</v>
      </c>
      <c r="AJ234" s="207">
        <v>0</v>
      </c>
      <c r="AK234" s="367">
        <v>0</v>
      </c>
      <c r="AL234" s="367">
        <v>0</v>
      </c>
      <c r="AM234" s="367">
        <v>0</v>
      </c>
      <c r="AN234" s="367">
        <v>0</v>
      </c>
      <c r="AO234" s="295">
        <v>0</v>
      </c>
      <c r="AP234" s="295">
        <v>0</v>
      </c>
      <c r="AQ234" s="295">
        <v>0</v>
      </c>
      <c r="AR234" s="387">
        <f>0</f>
        <v>0</v>
      </c>
      <c r="AS234" s="896">
        <f t="shared" si="403"/>
        <v>0</v>
      </c>
      <c r="AT234" s="418" t="s">
        <v>2040</v>
      </c>
    </row>
    <row r="235" spans="1:46" s="1" customFormat="1" ht="72.650000000000006" hidden="1" customHeight="1" outlineLevel="1" x14ac:dyDescent="0.35">
      <c r="A235" s="590">
        <v>126</v>
      </c>
      <c r="B235" s="612" t="s">
        <v>69</v>
      </c>
      <c r="C235" s="607" t="s">
        <v>1731</v>
      </c>
      <c r="D235" s="583">
        <v>44638</v>
      </c>
      <c r="E235" s="584" t="s">
        <v>2043</v>
      </c>
      <c r="F235" s="559" t="s">
        <v>2044</v>
      </c>
      <c r="G235" s="95" t="s">
        <v>142</v>
      </c>
      <c r="H235" s="310" t="s">
        <v>129</v>
      </c>
      <c r="I235" s="334"/>
      <c r="J235" s="283"/>
      <c r="K235" s="294">
        <f t="shared" ref="K235:K240" si="405">M235+P235+U235+R235+T235</f>
        <v>1.4196329999999999</v>
      </c>
      <c r="L235" s="183">
        <f t="shared" si="371"/>
        <v>0</v>
      </c>
      <c r="M235" s="94">
        <f t="shared" ref="M235:M240" si="406">-W235</f>
        <v>0</v>
      </c>
      <c r="N235" s="94">
        <f t="shared" si="396"/>
        <v>0</v>
      </c>
      <c r="O235" s="94">
        <f t="shared" si="399"/>
        <v>0</v>
      </c>
      <c r="P235" s="94">
        <f t="shared" si="400"/>
        <v>0</v>
      </c>
      <c r="Q235" s="94">
        <f t="shared" si="390"/>
        <v>1.4196329999999999</v>
      </c>
      <c r="R235" s="94">
        <f t="shared" ref="R235:R243" si="407">-AC235</f>
        <v>1.4196329999999999</v>
      </c>
      <c r="S235" s="94">
        <f t="shared" si="391"/>
        <v>0</v>
      </c>
      <c r="T235" s="94">
        <f t="shared" si="397"/>
        <v>0</v>
      </c>
      <c r="U235" s="402">
        <f t="shared" si="375"/>
        <v>0</v>
      </c>
      <c r="V235" s="893">
        <v>0</v>
      </c>
      <c r="W235" s="387">
        <v>0</v>
      </c>
      <c r="X235" s="920">
        <f>0</f>
        <v>0</v>
      </c>
      <c r="Y235" s="915">
        <v>0</v>
      </c>
      <c r="Z235" s="367">
        <v>0</v>
      </c>
      <c r="AA235" s="468">
        <v>0</v>
      </c>
      <c r="AB235" s="207">
        <v>0</v>
      </c>
      <c r="AC235" s="207">
        <f>-1.419633</f>
        <v>-1.4196329999999999</v>
      </c>
      <c r="AD235" s="367">
        <v>0</v>
      </c>
      <c r="AE235" s="468">
        <v>0</v>
      </c>
      <c r="AF235" s="468">
        <v>0</v>
      </c>
      <c r="AG235" s="468">
        <v>-1.4196329999999999</v>
      </c>
      <c r="AH235" s="468">
        <v>-1.4196329999999999</v>
      </c>
      <c r="AI235" s="387">
        <f>0</f>
        <v>0</v>
      </c>
      <c r="AJ235" s="207">
        <v>0</v>
      </c>
      <c r="AK235" s="367">
        <v>0</v>
      </c>
      <c r="AL235" s="367">
        <v>0</v>
      </c>
      <c r="AM235" s="367">
        <v>0</v>
      </c>
      <c r="AN235" s="367">
        <v>0</v>
      </c>
      <c r="AO235" s="295">
        <v>0</v>
      </c>
      <c r="AP235" s="295">
        <v>0</v>
      </c>
      <c r="AQ235" s="295">
        <v>0</v>
      </c>
      <c r="AR235" s="387">
        <v>0</v>
      </c>
      <c r="AS235" s="896">
        <f t="shared" si="403"/>
        <v>0</v>
      </c>
      <c r="AT235" s="418" t="s">
        <v>2042</v>
      </c>
    </row>
    <row r="236" spans="1:46" s="1" customFormat="1" ht="87" hidden="1" customHeight="1" outlineLevel="1" x14ac:dyDescent="0.35">
      <c r="A236" s="590">
        <v>127</v>
      </c>
      <c r="B236" s="612" t="s">
        <v>69</v>
      </c>
      <c r="C236" s="607" t="s">
        <v>1733</v>
      </c>
      <c r="D236" s="583">
        <v>44635</v>
      </c>
      <c r="E236" s="584" t="s">
        <v>2080</v>
      </c>
      <c r="F236" s="559" t="s">
        <v>2079</v>
      </c>
      <c r="G236" s="95" t="s">
        <v>24</v>
      </c>
      <c r="H236" s="310" t="s">
        <v>1794</v>
      </c>
      <c r="I236" s="334"/>
      <c r="J236" s="283"/>
      <c r="K236" s="294">
        <f t="shared" ref="K236" si="408">M236+P236+U236+R236+T236</f>
        <v>1.0446E-2</v>
      </c>
      <c r="L236" s="183">
        <f t="shared" ref="L236" si="409">-V236</f>
        <v>0</v>
      </c>
      <c r="M236" s="94">
        <f t="shared" ref="M236" si="410">-W236</f>
        <v>0</v>
      </c>
      <c r="N236" s="94">
        <f t="shared" ref="N236" si="411">-X236</f>
        <v>0</v>
      </c>
      <c r="O236" s="94">
        <f t="shared" ref="O236" si="412">-X236</f>
        <v>0</v>
      </c>
      <c r="P236" s="94">
        <f t="shared" ref="P236" si="413">-AB236</f>
        <v>0</v>
      </c>
      <c r="Q236" s="94">
        <f t="shared" si="390"/>
        <v>1.0446E-2</v>
      </c>
      <c r="R236" s="94">
        <f t="shared" ref="R236" si="414">-AC236</f>
        <v>1.0446E-2</v>
      </c>
      <c r="S236" s="94">
        <f t="shared" si="391"/>
        <v>1.0446E-2</v>
      </c>
      <c r="T236" s="94">
        <f t="shared" ref="T236" si="415">-AJ236</f>
        <v>0</v>
      </c>
      <c r="U236" s="402">
        <f t="shared" ref="U236" si="416">-AQ236</f>
        <v>0</v>
      </c>
      <c r="V236" s="893">
        <v>0</v>
      </c>
      <c r="W236" s="387">
        <v>0</v>
      </c>
      <c r="X236" s="920">
        <f>0</f>
        <v>0</v>
      </c>
      <c r="Y236" s="915">
        <v>0</v>
      </c>
      <c r="Z236" s="367">
        <v>0</v>
      </c>
      <c r="AA236" s="468">
        <v>0</v>
      </c>
      <c r="AB236" s="207">
        <v>0</v>
      </c>
      <c r="AC236" s="207">
        <v>-1.0446E-2</v>
      </c>
      <c r="AD236" s="367">
        <v>0</v>
      </c>
      <c r="AE236" s="468">
        <v>0</v>
      </c>
      <c r="AF236" s="468">
        <v>0</v>
      </c>
      <c r="AG236" s="468">
        <v>-1.0446E-2</v>
      </c>
      <c r="AH236" s="468">
        <v>-1.0446E-2</v>
      </c>
      <c r="AI236" s="623">
        <f>-0.010446</f>
        <v>-1.0446E-2</v>
      </c>
      <c r="AJ236" s="207">
        <v>0</v>
      </c>
      <c r="AK236" s="367">
        <v>0</v>
      </c>
      <c r="AL236" s="367">
        <v>0</v>
      </c>
      <c r="AM236" s="367">
        <v>0</v>
      </c>
      <c r="AN236" s="367">
        <v>0</v>
      </c>
      <c r="AO236" s="295">
        <v>0</v>
      </c>
      <c r="AP236" s="295">
        <v>0</v>
      </c>
      <c r="AQ236" s="295">
        <v>0</v>
      </c>
      <c r="AR236" s="623">
        <v>0</v>
      </c>
      <c r="AS236" s="896">
        <f t="shared" ref="AS236" si="417">-AR236</f>
        <v>0</v>
      </c>
      <c r="AT236" s="418" t="s">
        <v>2078</v>
      </c>
    </row>
    <row r="237" spans="1:46" s="1" customFormat="1" ht="145" hidden="1" customHeight="1" outlineLevel="1" x14ac:dyDescent="0.35">
      <c r="A237" s="590">
        <v>128</v>
      </c>
      <c r="B237" s="612" t="s">
        <v>69</v>
      </c>
      <c r="C237" s="607" t="s">
        <v>1733</v>
      </c>
      <c r="D237" s="583">
        <v>44643</v>
      </c>
      <c r="E237" s="584" t="s">
        <v>2046</v>
      </c>
      <c r="F237" s="559" t="s">
        <v>2041</v>
      </c>
      <c r="G237" s="95" t="s">
        <v>24</v>
      </c>
      <c r="H237" s="310" t="s">
        <v>1794</v>
      </c>
      <c r="I237" s="334"/>
      <c r="J237" s="283"/>
      <c r="K237" s="294">
        <f t="shared" si="405"/>
        <v>5.1949389999999998</v>
      </c>
      <c r="L237" s="183">
        <f t="shared" si="371"/>
        <v>0</v>
      </c>
      <c r="M237" s="94">
        <f t="shared" si="406"/>
        <v>0</v>
      </c>
      <c r="N237" s="94">
        <f t="shared" si="396"/>
        <v>0</v>
      </c>
      <c r="O237" s="94">
        <f t="shared" si="399"/>
        <v>0</v>
      </c>
      <c r="P237" s="94">
        <f t="shared" si="400"/>
        <v>0</v>
      </c>
      <c r="Q237" s="94">
        <f t="shared" si="390"/>
        <v>5.1949389999999998</v>
      </c>
      <c r="R237" s="94">
        <f t="shared" si="407"/>
        <v>5.1949389999999998</v>
      </c>
      <c r="S237" s="94">
        <f t="shared" si="391"/>
        <v>12.772531000000001</v>
      </c>
      <c r="T237" s="94">
        <f t="shared" si="397"/>
        <v>0</v>
      </c>
      <c r="U237" s="402">
        <f t="shared" si="375"/>
        <v>0</v>
      </c>
      <c r="V237" s="893">
        <v>0</v>
      </c>
      <c r="W237" s="387">
        <v>0</v>
      </c>
      <c r="X237" s="920">
        <f>0</f>
        <v>0</v>
      </c>
      <c r="Y237" s="915">
        <v>0</v>
      </c>
      <c r="Z237" s="367">
        <v>0</v>
      </c>
      <c r="AA237" s="468">
        <v>0</v>
      </c>
      <c r="AB237" s="207">
        <v>0</v>
      </c>
      <c r="AC237" s="207">
        <f>-5.194939</f>
        <v>-5.1949389999999998</v>
      </c>
      <c r="AD237" s="367">
        <v>0</v>
      </c>
      <c r="AE237" s="468">
        <v>0</v>
      </c>
      <c r="AF237" s="468">
        <v>0</v>
      </c>
      <c r="AG237" s="468">
        <v>-5.1949389999999998</v>
      </c>
      <c r="AH237" s="468">
        <v>-5.1949389999999998</v>
      </c>
      <c r="AI237" s="623">
        <f>-9.504203-3.268328</f>
        <v>-12.772531000000001</v>
      </c>
      <c r="AJ237" s="207">
        <v>0</v>
      </c>
      <c r="AK237" s="367">
        <v>0</v>
      </c>
      <c r="AL237" s="367">
        <v>0</v>
      </c>
      <c r="AM237" s="367">
        <v>0</v>
      </c>
      <c r="AN237" s="367">
        <v>0</v>
      </c>
      <c r="AO237" s="295">
        <v>0</v>
      </c>
      <c r="AP237" s="295">
        <v>0</v>
      </c>
      <c r="AQ237" s="295">
        <v>0</v>
      </c>
      <c r="AR237" s="623">
        <v>0</v>
      </c>
      <c r="AS237" s="896">
        <f t="shared" si="403"/>
        <v>0</v>
      </c>
      <c r="AT237" s="418" t="s">
        <v>2045</v>
      </c>
    </row>
    <row r="238" spans="1:46" s="1" customFormat="1" ht="72.650000000000006" hidden="1" customHeight="1" outlineLevel="1" x14ac:dyDescent="0.35">
      <c r="A238" s="590">
        <v>129</v>
      </c>
      <c r="B238" s="612" t="s">
        <v>69</v>
      </c>
      <c r="C238" s="607" t="s">
        <v>1733</v>
      </c>
      <c r="D238" s="583">
        <v>44643</v>
      </c>
      <c r="E238" s="584" t="s">
        <v>2049</v>
      </c>
      <c r="F238" s="559" t="s">
        <v>2048</v>
      </c>
      <c r="G238" s="95" t="s">
        <v>24</v>
      </c>
      <c r="H238" s="310" t="s">
        <v>1794</v>
      </c>
      <c r="I238" s="334"/>
      <c r="J238" s="283"/>
      <c r="K238" s="294">
        <f t="shared" si="405"/>
        <v>0.21303</v>
      </c>
      <c r="L238" s="183">
        <f t="shared" si="371"/>
        <v>0</v>
      </c>
      <c r="M238" s="94">
        <f t="shared" si="406"/>
        <v>0</v>
      </c>
      <c r="N238" s="94">
        <f t="shared" si="396"/>
        <v>0</v>
      </c>
      <c r="O238" s="94">
        <f t="shared" si="399"/>
        <v>0</v>
      </c>
      <c r="P238" s="94">
        <f t="shared" si="400"/>
        <v>0</v>
      </c>
      <c r="Q238" s="94">
        <f t="shared" si="390"/>
        <v>0.21303</v>
      </c>
      <c r="R238" s="94">
        <f t="shared" si="407"/>
        <v>0.21303</v>
      </c>
      <c r="S238" s="94">
        <f t="shared" si="391"/>
        <v>0.21304000000000001</v>
      </c>
      <c r="T238" s="94">
        <f t="shared" si="397"/>
        <v>0</v>
      </c>
      <c r="U238" s="402">
        <f t="shared" si="375"/>
        <v>0</v>
      </c>
      <c r="V238" s="893">
        <v>0</v>
      </c>
      <c r="W238" s="387">
        <v>0</v>
      </c>
      <c r="X238" s="920">
        <f>0</f>
        <v>0</v>
      </c>
      <c r="Y238" s="915">
        <v>0</v>
      </c>
      <c r="Z238" s="367">
        <v>0</v>
      </c>
      <c r="AA238" s="468">
        <v>0</v>
      </c>
      <c r="AB238" s="207">
        <v>0</v>
      </c>
      <c r="AC238" s="207">
        <f>-0.21303</f>
        <v>-0.21303</v>
      </c>
      <c r="AD238" s="367">
        <v>0</v>
      </c>
      <c r="AE238" s="468">
        <v>0</v>
      </c>
      <c r="AF238" s="468">
        <v>0</v>
      </c>
      <c r="AG238" s="468">
        <v>-0.21303</v>
      </c>
      <c r="AH238" s="468">
        <v>-0.21303</v>
      </c>
      <c r="AI238" s="623">
        <f>-0.21304</f>
        <v>-0.21304000000000001</v>
      </c>
      <c r="AJ238" s="207">
        <v>0</v>
      </c>
      <c r="AK238" s="367">
        <v>0</v>
      </c>
      <c r="AL238" s="367">
        <v>0</v>
      </c>
      <c r="AM238" s="367">
        <v>0</v>
      </c>
      <c r="AN238" s="367">
        <v>0</v>
      </c>
      <c r="AO238" s="295">
        <v>0</v>
      </c>
      <c r="AP238" s="295">
        <v>0</v>
      </c>
      <c r="AQ238" s="295">
        <v>0</v>
      </c>
      <c r="AR238" s="623">
        <v>0</v>
      </c>
      <c r="AS238" s="896">
        <f t="shared" si="403"/>
        <v>0</v>
      </c>
      <c r="AT238" s="418" t="s">
        <v>2047</v>
      </c>
    </row>
    <row r="239" spans="1:46" s="1" customFormat="1" ht="72.650000000000006" hidden="1" customHeight="1" outlineLevel="1" x14ac:dyDescent="0.35">
      <c r="A239" s="590">
        <v>130</v>
      </c>
      <c r="B239" s="612" t="s">
        <v>69</v>
      </c>
      <c r="C239" s="607" t="s">
        <v>700</v>
      </c>
      <c r="D239" s="583">
        <v>44643</v>
      </c>
      <c r="E239" s="584" t="s">
        <v>2052</v>
      </c>
      <c r="F239" s="559" t="s">
        <v>2051</v>
      </c>
      <c r="G239" s="95" t="s">
        <v>24</v>
      </c>
      <c r="H239" s="310" t="s">
        <v>1794</v>
      </c>
      <c r="I239" s="334"/>
      <c r="J239" s="283"/>
      <c r="K239" s="294">
        <f t="shared" si="405"/>
        <v>1.9684870000000001</v>
      </c>
      <c r="L239" s="183">
        <f t="shared" si="371"/>
        <v>0</v>
      </c>
      <c r="M239" s="94">
        <f t="shared" si="406"/>
        <v>0</v>
      </c>
      <c r="N239" s="94">
        <f t="shared" si="396"/>
        <v>0</v>
      </c>
      <c r="O239" s="94">
        <f t="shared" si="399"/>
        <v>0</v>
      </c>
      <c r="P239" s="94">
        <f t="shared" si="400"/>
        <v>0</v>
      </c>
      <c r="Q239" s="94">
        <f t="shared" si="390"/>
        <v>1.9684870000000001</v>
      </c>
      <c r="R239" s="94">
        <f t="shared" si="407"/>
        <v>1.9684870000000001</v>
      </c>
      <c r="S239" s="94">
        <f t="shared" ref="S239:S262" si="418">-AI239</f>
        <v>1.9684870000000001</v>
      </c>
      <c r="T239" s="94">
        <f t="shared" si="397"/>
        <v>0</v>
      </c>
      <c r="U239" s="402">
        <f t="shared" si="375"/>
        <v>0</v>
      </c>
      <c r="V239" s="893">
        <v>0</v>
      </c>
      <c r="W239" s="387">
        <v>0</v>
      </c>
      <c r="X239" s="920">
        <f>0</f>
        <v>0</v>
      </c>
      <c r="Y239" s="915">
        <v>0</v>
      </c>
      <c r="Z239" s="367">
        <v>0</v>
      </c>
      <c r="AA239" s="468">
        <v>0</v>
      </c>
      <c r="AB239" s="207">
        <v>0</v>
      </c>
      <c r="AC239" s="207">
        <f>-1.968487</f>
        <v>-1.9684870000000001</v>
      </c>
      <c r="AD239" s="367">
        <v>0</v>
      </c>
      <c r="AE239" s="468">
        <v>0</v>
      </c>
      <c r="AF239" s="468">
        <v>0</v>
      </c>
      <c r="AG239" s="468">
        <v>-1.9684870000000001</v>
      </c>
      <c r="AH239" s="468">
        <v>-1.9684870000000001</v>
      </c>
      <c r="AI239" s="623">
        <f>-1.968487</f>
        <v>-1.9684870000000001</v>
      </c>
      <c r="AJ239" s="207">
        <v>0</v>
      </c>
      <c r="AK239" s="367">
        <v>0</v>
      </c>
      <c r="AL239" s="367">
        <v>0</v>
      </c>
      <c r="AM239" s="367">
        <v>0</v>
      </c>
      <c r="AN239" s="367">
        <v>0</v>
      </c>
      <c r="AO239" s="295">
        <v>0</v>
      </c>
      <c r="AP239" s="295">
        <v>0</v>
      </c>
      <c r="AQ239" s="295">
        <v>0</v>
      </c>
      <c r="AR239" s="623">
        <v>0</v>
      </c>
      <c r="AS239" s="896">
        <f t="shared" si="403"/>
        <v>0</v>
      </c>
      <c r="AT239" s="418" t="s">
        <v>2050</v>
      </c>
    </row>
    <row r="240" spans="1:46" s="1" customFormat="1" ht="101.5" hidden="1" customHeight="1" outlineLevel="1" x14ac:dyDescent="0.35">
      <c r="A240" s="590">
        <v>131</v>
      </c>
      <c r="B240" s="612" t="s">
        <v>69</v>
      </c>
      <c r="C240" s="607" t="s">
        <v>1733</v>
      </c>
      <c r="D240" s="583">
        <v>44649</v>
      </c>
      <c r="E240" s="584" t="s">
        <v>2054</v>
      </c>
      <c r="F240" s="559" t="s">
        <v>2055</v>
      </c>
      <c r="G240" s="95" t="s">
        <v>24</v>
      </c>
      <c r="H240" s="310" t="s">
        <v>130</v>
      </c>
      <c r="I240" s="334"/>
      <c r="J240" s="283"/>
      <c r="K240" s="294">
        <f t="shared" si="405"/>
        <v>3.9249130000000001</v>
      </c>
      <c r="L240" s="183">
        <f t="shared" si="371"/>
        <v>0</v>
      </c>
      <c r="M240" s="94">
        <f t="shared" si="406"/>
        <v>0</v>
      </c>
      <c r="N240" s="94">
        <f t="shared" si="396"/>
        <v>0</v>
      </c>
      <c r="O240" s="94">
        <f t="shared" si="399"/>
        <v>0</v>
      </c>
      <c r="P240" s="94">
        <f t="shared" si="400"/>
        <v>0</v>
      </c>
      <c r="Q240" s="94">
        <f t="shared" si="390"/>
        <v>3.9249130000000001</v>
      </c>
      <c r="R240" s="94">
        <f t="shared" si="407"/>
        <v>3.9249130000000001</v>
      </c>
      <c r="S240" s="94">
        <f t="shared" si="418"/>
        <v>3.9241489999999999</v>
      </c>
      <c r="T240" s="94">
        <f t="shared" si="397"/>
        <v>0</v>
      </c>
      <c r="U240" s="402">
        <f t="shared" si="375"/>
        <v>0</v>
      </c>
      <c r="V240" s="893">
        <v>0</v>
      </c>
      <c r="W240" s="387">
        <v>0</v>
      </c>
      <c r="X240" s="920">
        <f>0</f>
        <v>0</v>
      </c>
      <c r="Y240" s="915">
        <v>0</v>
      </c>
      <c r="Z240" s="367">
        <v>0</v>
      </c>
      <c r="AA240" s="468">
        <v>0</v>
      </c>
      <c r="AB240" s="207">
        <v>0</v>
      </c>
      <c r="AC240" s="207">
        <f>-3.924913</f>
        <v>-3.9249130000000001</v>
      </c>
      <c r="AD240" s="367">
        <v>0</v>
      </c>
      <c r="AE240" s="468">
        <v>0</v>
      </c>
      <c r="AF240" s="468">
        <v>0</v>
      </c>
      <c r="AG240" s="468">
        <v>-3.9249130000000001</v>
      </c>
      <c r="AH240" s="468">
        <v>-3.9249130000000001</v>
      </c>
      <c r="AI240" s="623">
        <f>-3.924149</f>
        <v>-3.9241489999999999</v>
      </c>
      <c r="AJ240" s="207">
        <v>0</v>
      </c>
      <c r="AK240" s="367">
        <v>0</v>
      </c>
      <c r="AL240" s="367">
        <v>0</v>
      </c>
      <c r="AM240" s="367">
        <v>0</v>
      </c>
      <c r="AN240" s="367">
        <v>0</v>
      </c>
      <c r="AO240" s="295">
        <v>0</v>
      </c>
      <c r="AP240" s="295">
        <v>0</v>
      </c>
      <c r="AQ240" s="295">
        <v>0</v>
      </c>
      <c r="AR240" s="623">
        <v>0</v>
      </c>
      <c r="AS240" s="896">
        <f t="shared" si="403"/>
        <v>0</v>
      </c>
      <c r="AT240" s="418" t="s">
        <v>2053</v>
      </c>
    </row>
    <row r="241" spans="1:46" s="1" customFormat="1" ht="101.5" hidden="1" customHeight="1" outlineLevel="1" x14ac:dyDescent="0.35">
      <c r="A241" s="590">
        <v>132</v>
      </c>
      <c r="B241" s="612" t="s">
        <v>69</v>
      </c>
      <c r="C241" s="607" t="s">
        <v>1732</v>
      </c>
      <c r="D241" s="583">
        <v>44664</v>
      </c>
      <c r="E241" s="584" t="s">
        <v>2067</v>
      </c>
      <c r="F241" s="559" t="s">
        <v>2068</v>
      </c>
      <c r="G241" s="95" t="s">
        <v>24</v>
      </c>
      <c r="H241" s="310" t="s">
        <v>130</v>
      </c>
      <c r="I241" s="334"/>
      <c r="J241" s="283"/>
      <c r="K241" s="294">
        <f t="shared" ref="K241:K243" si="419">M241+P241+U241+R241+T241</f>
        <v>23.125883999999999</v>
      </c>
      <c r="L241" s="183">
        <f t="shared" si="371"/>
        <v>0</v>
      </c>
      <c r="M241" s="94">
        <f t="shared" ref="M241:M243" si="420">-W241</f>
        <v>0</v>
      </c>
      <c r="N241" s="94">
        <f t="shared" si="396"/>
        <v>0</v>
      </c>
      <c r="O241" s="94">
        <f t="shared" si="399"/>
        <v>0</v>
      </c>
      <c r="P241" s="94">
        <f t="shared" si="400"/>
        <v>0</v>
      </c>
      <c r="Q241" s="94">
        <f t="shared" si="390"/>
        <v>23.125883999999999</v>
      </c>
      <c r="R241" s="94">
        <f t="shared" si="407"/>
        <v>23.125883999999999</v>
      </c>
      <c r="S241" s="94">
        <f t="shared" si="418"/>
        <v>2.9669130000000004</v>
      </c>
      <c r="T241" s="94">
        <f t="shared" si="397"/>
        <v>0</v>
      </c>
      <c r="U241" s="402">
        <f t="shared" si="375"/>
        <v>0</v>
      </c>
      <c r="V241" s="893">
        <v>0</v>
      </c>
      <c r="W241" s="387">
        <v>0</v>
      </c>
      <c r="X241" s="920">
        <f>0</f>
        <v>0</v>
      </c>
      <c r="Y241" s="915">
        <v>0</v>
      </c>
      <c r="Z241" s="367">
        <v>0</v>
      </c>
      <c r="AA241" s="468">
        <v>0</v>
      </c>
      <c r="AB241" s="207">
        <v>0</v>
      </c>
      <c r="AC241" s="207">
        <f>-23.125884</f>
        <v>-23.125883999999999</v>
      </c>
      <c r="AD241" s="367">
        <v>0</v>
      </c>
      <c r="AE241" s="468">
        <v>0</v>
      </c>
      <c r="AF241" s="468">
        <v>0</v>
      </c>
      <c r="AG241" s="468">
        <v>-23.125883999999999</v>
      </c>
      <c r="AH241" s="468">
        <v>-23.125883999999999</v>
      </c>
      <c r="AI241" s="623">
        <f>-0.001309-0.015608-0.01526-0.014374-0.015172-0.012991-2.892199</f>
        <v>-2.9669130000000004</v>
      </c>
      <c r="AJ241" s="207">
        <v>0</v>
      </c>
      <c r="AK241" s="367">
        <v>0</v>
      </c>
      <c r="AL241" s="367">
        <v>0</v>
      </c>
      <c r="AM241" s="367">
        <v>0</v>
      </c>
      <c r="AN241" s="367">
        <v>0</v>
      </c>
      <c r="AO241" s="295">
        <v>0</v>
      </c>
      <c r="AP241" s="295">
        <v>0</v>
      </c>
      <c r="AQ241" s="295">
        <v>0</v>
      </c>
      <c r="AR241" s="623">
        <v>0</v>
      </c>
      <c r="AS241" s="896">
        <f t="shared" si="403"/>
        <v>0</v>
      </c>
      <c r="AT241" s="418" t="s">
        <v>2066</v>
      </c>
    </row>
    <row r="242" spans="1:46" s="1" customFormat="1" ht="72.650000000000006" hidden="1" customHeight="1" outlineLevel="1" x14ac:dyDescent="0.35">
      <c r="A242" s="590">
        <v>133</v>
      </c>
      <c r="B242" s="612" t="s">
        <v>69</v>
      </c>
      <c r="C242" s="607" t="s">
        <v>1733</v>
      </c>
      <c r="D242" s="583">
        <v>44670</v>
      </c>
      <c r="E242" s="584" t="s">
        <v>2073</v>
      </c>
      <c r="F242" s="559" t="s">
        <v>2072</v>
      </c>
      <c r="G242" s="95" t="s">
        <v>24</v>
      </c>
      <c r="H242" s="310" t="s">
        <v>130</v>
      </c>
      <c r="I242" s="334"/>
      <c r="J242" s="283"/>
      <c r="K242" s="294">
        <f t="shared" si="419"/>
        <v>0.909694</v>
      </c>
      <c r="L242" s="183">
        <f t="shared" si="371"/>
        <v>0</v>
      </c>
      <c r="M242" s="94">
        <f t="shared" si="420"/>
        <v>0</v>
      </c>
      <c r="N242" s="94">
        <f t="shared" si="396"/>
        <v>0</v>
      </c>
      <c r="O242" s="94">
        <f t="shared" si="399"/>
        <v>0</v>
      </c>
      <c r="P242" s="94">
        <f t="shared" si="400"/>
        <v>0</v>
      </c>
      <c r="Q242" s="94">
        <f t="shared" si="390"/>
        <v>0.909694</v>
      </c>
      <c r="R242" s="94">
        <f t="shared" si="407"/>
        <v>0.909694</v>
      </c>
      <c r="S242" s="94">
        <f t="shared" si="418"/>
        <v>0.85729299999999997</v>
      </c>
      <c r="T242" s="94">
        <f t="shared" si="397"/>
        <v>0</v>
      </c>
      <c r="U242" s="402">
        <f t="shared" si="375"/>
        <v>0</v>
      </c>
      <c r="V242" s="893">
        <v>0</v>
      </c>
      <c r="W242" s="387">
        <v>0</v>
      </c>
      <c r="X242" s="920">
        <f>0</f>
        <v>0</v>
      </c>
      <c r="Y242" s="915">
        <v>0</v>
      </c>
      <c r="Z242" s="367">
        <v>0</v>
      </c>
      <c r="AA242" s="468">
        <v>0</v>
      </c>
      <c r="AB242" s="207">
        <v>0</v>
      </c>
      <c r="AC242" s="207">
        <f>-0.909694</f>
        <v>-0.909694</v>
      </c>
      <c r="AD242" s="367">
        <v>0</v>
      </c>
      <c r="AE242" s="468">
        <v>0</v>
      </c>
      <c r="AF242" s="468">
        <v>0</v>
      </c>
      <c r="AG242" s="468">
        <v>-0.909694</v>
      </c>
      <c r="AH242" s="468">
        <v>-0.909694</v>
      </c>
      <c r="AI242" s="623">
        <f>-0.857293</f>
        <v>-0.85729299999999997</v>
      </c>
      <c r="AJ242" s="207">
        <v>0</v>
      </c>
      <c r="AK242" s="367">
        <v>0</v>
      </c>
      <c r="AL242" s="367">
        <v>0</v>
      </c>
      <c r="AM242" s="367">
        <v>0</v>
      </c>
      <c r="AN242" s="367">
        <v>0</v>
      </c>
      <c r="AO242" s="295">
        <v>0</v>
      </c>
      <c r="AP242" s="295">
        <v>0</v>
      </c>
      <c r="AQ242" s="295">
        <v>0</v>
      </c>
      <c r="AR242" s="623">
        <v>0</v>
      </c>
      <c r="AS242" s="896">
        <f t="shared" si="403"/>
        <v>0</v>
      </c>
      <c r="AT242" s="418" t="s">
        <v>2071</v>
      </c>
    </row>
    <row r="243" spans="1:46" s="1" customFormat="1" ht="90" hidden="1" customHeight="1" outlineLevel="1" x14ac:dyDescent="0.35">
      <c r="A243" s="590">
        <v>134</v>
      </c>
      <c r="B243" s="612" t="s">
        <v>69</v>
      </c>
      <c r="C243" s="607" t="s">
        <v>1733</v>
      </c>
      <c r="D243" s="583">
        <v>44677</v>
      </c>
      <c r="E243" s="584" t="s">
        <v>2111</v>
      </c>
      <c r="F243" s="559" t="s">
        <v>2084</v>
      </c>
      <c r="G243" s="95" t="s">
        <v>24</v>
      </c>
      <c r="H243" s="310" t="s">
        <v>130</v>
      </c>
      <c r="I243" s="334"/>
      <c r="J243" s="283"/>
      <c r="K243" s="294">
        <f t="shared" si="419"/>
        <v>3.255493</v>
      </c>
      <c r="L243" s="183">
        <f t="shared" si="371"/>
        <v>0</v>
      </c>
      <c r="M243" s="94">
        <f t="shared" si="420"/>
        <v>0</v>
      </c>
      <c r="N243" s="94">
        <f t="shared" si="396"/>
        <v>0</v>
      </c>
      <c r="O243" s="94">
        <f t="shared" si="399"/>
        <v>0</v>
      </c>
      <c r="P243" s="94">
        <f t="shared" si="400"/>
        <v>0</v>
      </c>
      <c r="Q243" s="94">
        <f t="shared" si="390"/>
        <v>3.255493</v>
      </c>
      <c r="R243" s="94">
        <f t="shared" si="407"/>
        <v>3.255493</v>
      </c>
      <c r="S243" s="94">
        <f t="shared" si="418"/>
        <v>0</v>
      </c>
      <c r="T243" s="94">
        <f t="shared" si="397"/>
        <v>0</v>
      </c>
      <c r="U243" s="402">
        <f t="shared" si="375"/>
        <v>0</v>
      </c>
      <c r="V243" s="893">
        <v>0</v>
      </c>
      <c r="W243" s="387">
        <v>0</v>
      </c>
      <c r="X243" s="920">
        <f>0</f>
        <v>0</v>
      </c>
      <c r="Y243" s="915">
        <v>0</v>
      </c>
      <c r="Z243" s="367">
        <v>0</v>
      </c>
      <c r="AA243" s="468">
        <v>0</v>
      </c>
      <c r="AB243" s="207">
        <v>0</v>
      </c>
      <c r="AC243" s="207">
        <f>-3.255493</f>
        <v>-3.255493</v>
      </c>
      <c r="AD243" s="367">
        <v>0</v>
      </c>
      <c r="AE243" s="468">
        <v>0</v>
      </c>
      <c r="AF243" s="468">
        <v>0</v>
      </c>
      <c r="AG243" s="468">
        <v>-3.255493</v>
      </c>
      <c r="AH243" s="468">
        <v>-3.255493</v>
      </c>
      <c r="AI243" s="387">
        <v>0</v>
      </c>
      <c r="AJ243" s="207">
        <v>0</v>
      </c>
      <c r="AK243" s="367">
        <v>0</v>
      </c>
      <c r="AL243" s="367">
        <v>0</v>
      </c>
      <c r="AM243" s="367">
        <v>0</v>
      </c>
      <c r="AN243" s="367">
        <v>0</v>
      </c>
      <c r="AO243" s="295">
        <v>0</v>
      </c>
      <c r="AP243" s="295">
        <v>0</v>
      </c>
      <c r="AQ243" s="295">
        <v>0</v>
      </c>
      <c r="AR243" s="387">
        <v>0</v>
      </c>
      <c r="AS243" s="896">
        <f t="shared" si="403"/>
        <v>0</v>
      </c>
      <c r="AT243" s="418" t="s">
        <v>2083</v>
      </c>
    </row>
    <row r="244" spans="1:46" s="1" customFormat="1" ht="90" hidden="1" customHeight="1" outlineLevel="1" x14ac:dyDescent="0.35">
      <c r="A244" s="590">
        <v>135</v>
      </c>
      <c r="B244" s="612" t="s">
        <v>69</v>
      </c>
      <c r="C244" s="607" t="s">
        <v>1736</v>
      </c>
      <c r="D244" s="583">
        <v>44684</v>
      </c>
      <c r="E244" s="584" t="s">
        <v>2087</v>
      </c>
      <c r="F244" s="559" t="s">
        <v>2086</v>
      </c>
      <c r="G244" s="95" t="s">
        <v>24</v>
      </c>
      <c r="H244" s="310" t="s">
        <v>129</v>
      </c>
      <c r="I244" s="334"/>
      <c r="J244" s="283"/>
      <c r="K244" s="294">
        <v>0.1</v>
      </c>
      <c r="L244" s="183">
        <v>0</v>
      </c>
      <c r="M244" s="94">
        <v>0</v>
      </c>
      <c r="N244" s="94">
        <v>0</v>
      </c>
      <c r="O244" s="94">
        <v>0</v>
      </c>
      <c r="P244" s="94">
        <v>0</v>
      </c>
      <c r="Q244" s="94">
        <v>0.1</v>
      </c>
      <c r="R244" s="94">
        <v>0.1</v>
      </c>
      <c r="S244" s="94">
        <f t="shared" si="418"/>
        <v>0.1</v>
      </c>
      <c r="T244" s="94">
        <f t="shared" si="397"/>
        <v>0</v>
      </c>
      <c r="U244" s="402">
        <v>0</v>
      </c>
      <c r="V244" s="893">
        <v>0</v>
      </c>
      <c r="W244" s="387">
        <v>0</v>
      </c>
      <c r="X244" s="920">
        <v>0</v>
      </c>
      <c r="Y244" s="915">
        <v>0</v>
      </c>
      <c r="Z244" s="367">
        <v>0</v>
      </c>
      <c r="AA244" s="468">
        <v>0</v>
      </c>
      <c r="AB244" s="207">
        <v>0</v>
      </c>
      <c r="AC244" s="207">
        <v>-0.1</v>
      </c>
      <c r="AD244" s="367">
        <v>0</v>
      </c>
      <c r="AE244" s="468">
        <v>0</v>
      </c>
      <c r="AF244" s="468">
        <v>0</v>
      </c>
      <c r="AG244" s="468">
        <v>-0.1</v>
      </c>
      <c r="AH244" s="468">
        <v>-0.1</v>
      </c>
      <c r="AI244" s="623">
        <f>-0.1</f>
        <v>-0.1</v>
      </c>
      <c r="AJ244" s="207">
        <v>0</v>
      </c>
      <c r="AK244" s="367">
        <v>0</v>
      </c>
      <c r="AL244" s="367">
        <v>0</v>
      </c>
      <c r="AM244" s="367">
        <v>0</v>
      </c>
      <c r="AN244" s="367">
        <v>0</v>
      </c>
      <c r="AO244" s="295">
        <v>0</v>
      </c>
      <c r="AP244" s="295">
        <v>0</v>
      </c>
      <c r="AQ244" s="295">
        <v>0</v>
      </c>
      <c r="AR244" s="623">
        <v>0</v>
      </c>
      <c r="AS244" s="896">
        <f t="shared" si="403"/>
        <v>0</v>
      </c>
      <c r="AT244" s="418" t="s">
        <v>2086</v>
      </c>
    </row>
    <row r="245" spans="1:46" s="1" customFormat="1" ht="90" hidden="1" customHeight="1" outlineLevel="1" x14ac:dyDescent="0.35">
      <c r="A245" s="590">
        <v>136</v>
      </c>
      <c r="B245" s="612" t="s">
        <v>69</v>
      </c>
      <c r="C245" s="607" t="s">
        <v>1733</v>
      </c>
      <c r="D245" s="583">
        <v>44649</v>
      </c>
      <c r="E245" s="584" t="s">
        <v>2096</v>
      </c>
      <c r="F245" s="559" t="s">
        <v>2097</v>
      </c>
      <c r="G245" s="95" t="s">
        <v>24</v>
      </c>
      <c r="H245" s="310" t="s">
        <v>129</v>
      </c>
      <c r="I245" s="334"/>
      <c r="J245" s="283"/>
      <c r="K245" s="294">
        <f t="shared" ref="K245:K258" si="421">M245+P245+U245+R245+T245</f>
        <v>8.3390819999999994</v>
      </c>
      <c r="L245" s="183">
        <f t="shared" ref="L245:L258" si="422">-V245</f>
        <v>0</v>
      </c>
      <c r="M245" s="94">
        <f t="shared" ref="M245:M258" si="423">-W245</f>
        <v>0</v>
      </c>
      <c r="N245" s="94">
        <f t="shared" ref="N245:N258" si="424">-X245</f>
        <v>0</v>
      </c>
      <c r="O245" s="94">
        <f t="shared" ref="O245:O258" si="425">-X245</f>
        <v>0</v>
      </c>
      <c r="P245" s="94">
        <f t="shared" ref="P245:P258" si="426">-AB245</f>
        <v>0</v>
      </c>
      <c r="Q245" s="94">
        <f t="shared" ref="Q245:Q249" si="427">-AC245</f>
        <v>8.3390819999999994</v>
      </c>
      <c r="R245" s="94">
        <f t="shared" ref="R245:R249" si="428">-AC245</f>
        <v>8.3390819999999994</v>
      </c>
      <c r="S245" s="94">
        <f t="shared" si="418"/>
        <v>8.3365629999999999</v>
      </c>
      <c r="T245" s="94">
        <f t="shared" ref="T245:T258" si="429">-AJ245</f>
        <v>0</v>
      </c>
      <c r="U245" s="402">
        <f t="shared" ref="U245:U249" si="430">-AQ245</f>
        <v>0</v>
      </c>
      <c r="V245" s="893">
        <v>0</v>
      </c>
      <c r="W245" s="387">
        <v>0</v>
      </c>
      <c r="X245" s="920">
        <f>0</f>
        <v>0</v>
      </c>
      <c r="Y245" s="915">
        <v>0</v>
      </c>
      <c r="Z245" s="367">
        <v>0</v>
      </c>
      <c r="AA245" s="468">
        <v>0</v>
      </c>
      <c r="AB245" s="207">
        <v>0</v>
      </c>
      <c r="AC245" s="207">
        <f>-8.339082</f>
        <v>-8.3390819999999994</v>
      </c>
      <c r="AD245" s="367">
        <v>0</v>
      </c>
      <c r="AE245" s="468">
        <v>0</v>
      </c>
      <c r="AF245" s="468">
        <v>0</v>
      </c>
      <c r="AG245" s="468">
        <v>-8.3390819999999994</v>
      </c>
      <c r="AH245" s="468">
        <v>-8.3390819999999994</v>
      </c>
      <c r="AI245" s="623">
        <f>-0.001194-8.335369</f>
        <v>-8.3365629999999999</v>
      </c>
      <c r="AJ245" s="207">
        <v>0</v>
      </c>
      <c r="AK245" s="367">
        <v>0</v>
      </c>
      <c r="AL245" s="367">
        <v>0</v>
      </c>
      <c r="AM245" s="367">
        <v>0</v>
      </c>
      <c r="AN245" s="367">
        <v>0</v>
      </c>
      <c r="AO245" s="295">
        <v>0</v>
      </c>
      <c r="AP245" s="295">
        <v>0</v>
      </c>
      <c r="AQ245" s="295">
        <v>0</v>
      </c>
      <c r="AR245" s="623">
        <v>0</v>
      </c>
      <c r="AS245" s="896">
        <f t="shared" ref="AS245:AS258" si="431">-AR245</f>
        <v>0</v>
      </c>
      <c r="AT245" s="418" t="s">
        <v>2095</v>
      </c>
    </row>
    <row r="246" spans="1:46" s="1" customFormat="1" ht="90" hidden="1" customHeight="1" outlineLevel="1" x14ac:dyDescent="0.35">
      <c r="A246" s="590">
        <v>137</v>
      </c>
      <c r="B246" s="612" t="s">
        <v>69</v>
      </c>
      <c r="C246" s="607" t="s">
        <v>1732</v>
      </c>
      <c r="D246" s="583">
        <v>44698</v>
      </c>
      <c r="E246" s="584" t="s">
        <v>2102</v>
      </c>
      <c r="F246" s="559" t="s">
        <v>2101</v>
      </c>
      <c r="G246" s="95" t="s">
        <v>24</v>
      </c>
      <c r="H246" s="310" t="s">
        <v>130</v>
      </c>
      <c r="I246" s="334"/>
      <c r="J246" s="283"/>
      <c r="K246" s="294">
        <f t="shared" si="421"/>
        <v>31.968716000000001</v>
      </c>
      <c r="L246" s="183">
        <f t="shared" si="422"/>
        <v>0</v>
      </c>
      <c r="M246" s="94">
        <f t="shared" si="423"/>
        <v>0</v>
      </c>
      <c r="N246" s="94">
        <f t="shared" si="424"/>
        <v>0</v>
      </c>
      <c r="O246" s="94">
        <f t="shared" si="425"/>
        <v>0</v>
      </c>
      <c r="P246" s="94">
        <f t="shared" si="426"/>
        <v>0</v>
      </c>
      <c r="Q246" s="94">
        <f t="shared" si="427"/>
        <v>31.968716000000001</v>
      </c>
      <c r="R246" s="94">
        <f t="shared" si="428"/>
        <v>31.968716000000001</v>
      </c>
      <c r="S246" s="94">
        <f t="shared" si="418"/>
        <v>31.954985600000001</v>
      </c>
      <c r="T246" s="94">
        <f t="shared" si="429"/>
        <v>0</v>
      </c>
      <c r="U246" s="402">
        <f t="shared" si="430"/>
        <v>0</v>
      </c>
      <c r="V246" s="893">
        <v>0</v>
      </c>
      <c r="W246" s="387">
        <v>0</v>
      </c>
      <c r="X246" s="920">
        <f>0</f>
        <v>0</v>
      </c>
      <c r="Y246" s="915">
        <v>0</v>
      </c>
      <c r="Z246" s="367">
        <v>0</v>
      </c>
      <c r="AA246" s="468">
        <v>0</v>
      </c>
      <c r="AB246" s="207">
        <v>0</v>
      </c>
      <c r="AC246" s="207">
        <f>-31.968716</f>
        <v>-31.968716000000001</v>
      </c>
      <c r="AD246" s="367">
        <v>0</v>
      </c>
      <c r="AE246" s="468">
        <v>0</v>
      </c>
      <c r="AF246" s="468">
        <v>0</v>
      </c>
      <c r="AG246" s="468">
        <v>-31.968716000000001</v>
      </c>
      <c r="AH246" s="468">
        <v>-31.968716000000001</v>
      </c>
      <c r="AI246" s="623">
        <f>-0.003809-0.0017496-0.029832-0.062538-4.019555-27.837502</f>
        <v>-31.954985600000001</v>
      </c>
      <c r="AJ246" s="207">
        <v>0</v>
      </c>
      <c r="AK246" s="367">
        <v>0</v>
      </c>
      <c r="AL246" s="367">
        <v>0</v>
      </c>
      <c r="AM246" s="367">
        <v>0</v>
      </c>
      <c r="AN246" s="367">
        <v>0</v>
      </c>
      <c r="AO246" s="295">
        <v>0</v>
      </c>
      <c r="AP246" s="295">
        <v>0</v>
      </c>
      <c r="AQ246" s="295">
        <v>0</v>
      </c>
      <c r="AR246" s="623">
        <v>0</v>
      </c>
      <c r="AS246" s="896">
        <f t="shared" si="431"/>
        <v>0</v>
      </c>
      <c r="AT246" s="418" t="s">
        <v>2103</v>
      </c>
    </row>
    <row r="247" spans="1:46" s="1" customFormat="1" ht="90" hidden="1" customHeight="1" outlineLevel="1" x14ac:dyDescent="0.35">
      <c r="A247" s="590">
        <v>138</v>
      </c>
      <c r="B247" s="612" t="s">
        <v>69</v>
      </c>
      <c r="C247" s="607" t="s">
        <v>1732</v>
      </c>
      <c r="D247" s="583">
        <v>44712</v>
      </c>
      <c r="E247" s="584" t="s">
        <v>2114</v>
      </c>
      <c r="F247" s="559" t="s">
        <v>2113</v>
      </c>
      <c r="G247" s="95" t="s">
        <v>24</v>
      </c>
      <c r="H247" s="310" t="s">
        <v>130</v>
      </c>
      <c r="I247" s="334"/>
      <c r="J247" s="283"/>
      <c r="K247" s="294">
        <f t="shared" si="421"/>
        <v>6.6969339999999997</v>
      </c>
      <c r="L247" s="183">
        <f t="shared" si="422"/>
        <v>0</v>
      </c>
      <c r="M247" s="94">
        <f t="shared" si="423"/>
        <v>0</v>
      </c>
      <c r="N247" s="94">
        <f t="shared" si="424"/>
        <v>0</v>
      </c>
      <c r="O247" s="94">
        <f t="shared" si="425"/>
        <v>0</v>
      </c>
      <c r="P247" s="94">
        <f t="shared" si="426"/>
        <v>0</v>
      </c>
      <c r="Q247" s="94">
        <f t="shared" si="427"/>
        <v>6.6969339999999997</v>
      </c>
      <c r="R247" s="94">
        <f t="shared" si="428"/>
        <v>6.6969339999999997</v>
      </c>
      <c r="S247" s="94">
        <f t="shared" si="418"/>
        <v>9.0878069999999997</v>
      </c>
      <c r="T247" s="94">
        <f t="shared" si="429"/>
        <v>0</v>
      </c>
      <c r="U247" s="402">
        <f t="shared" si="430"/>
        <v>0</v>
      </c>
      <c r="V247" s="893">
        <v>0</v>
      </c>
      <c r="W247" s="387">
        <v>0</v>
      </c>
      <c r="X247" s="920">
        <f>0</f>
        <v>0</v>
      </c>
      <c r="Y247" s="915">
        <v>0</v>
      </c>
      <c r="Z247" s="367">
        <v>0</v>
      </c>
      <c r="AA247" s="468">
        <v>0</v>
      </c>
      <c r="AB247" s="207">
        <v>0</v>
      </c>
      <c r="AC247" s="207">
        <f>-6.696934</f>
        <v>-6.6969339999999997</v>
      </c>
      <c r="AD247" s="367">
        <v>0</v>
      </c>
      <c r="AE247" s="468">
        <v>0</v>
      </c>
      <c r="AF247" s="468">
        <v>0</v>
      </c>
      <c r="AG247" s="468">
        <v>-6.6969339999999997</v>
      </c>
      <c r="AH247" s="468">
        <v>-6.6969339999999997</v>
      </c>
      <c r="AI247" s="623">
        <f>-0.076253-0.044173-0.063181-0.037328-0.014683-0.005864-0.438699-8.407626</f>
        <v>-9.0878069999999997</v>
      </c>
      <c r="AJ247" s="207">
        <v>0</v>
      </c>
      <c r="AK247" s="367">
        <v>0</v>
      </c>
      <c r="AL247" s="367">
        <v>0</v>
      </c>
      <c r="AM247" s="367">
        <v>0</v>
      </c>
      <c r="AN247" s="367">
        <v>0</v>
      </c>
      <c r="AO247" s="295">
        <v>0</v>
      </c>
      <c r="AP247" s="295">
        <v>0</v>
      </c>
      <c r="AQ247" s="295">
        <v>0</v>
      </c>
      <c r="AR247" s="623">
        <v>0</v>
      </c>
      <c r="AS247" s="896">
        <f t="shared" si="431"/>
        <v>0</v>
      </c>
      <c r="AT247" s="418" t="s">
        <v>2112</v>
      </c>
    </row>
    <row r="248" spans="1:46" s="1" customFormat="1" ht="90" hidden="1" customHeight="1" outlineLevel="1" x14ac:dyDescent="0.35">
      <c r="A248" s="590">
        <v>139</v>
      </c>
      <c r="B248" s="612" t="s">
        <v>69</v>
      </c>
      <c r="C248" s="607" t="s">
        <v>1732</v>
      </c>
      <c r="D248" s="583">
        <v>44756</v>
      </c>
      <c r="E248" s="584" t="s">
        <v>2117</v>
      </c>
      <c r="F248" s="559" t="s">
        <v>2115</v>
      </c>
      <c r="G248" s="95" t="s">
        <v>24</v>
      </c>
      <c r="H248" s="310" t="s">
        <v>130</v>
      </c>
      <c r="I248" s="334"/>
      <c r="J248" s="283"/>
      <c r="K248" s="294">
        <f t="shared" si="421"/>
        <v>35.854661</v>
      </c>
      <c r="L248" s="183">
        <f t="shared" si="422"/>
        <v>0</v>
      </c>
      <c r="M248" s="94">
        <f t="shared" si="423"/>
        <v>0</v>
      </c>
      <c r="N248" s="94">
        <f t="shared" si="424"/>
        <v>0</v>
      </c>
      <c r="O248" s="94">
        <f t="shared" si="425"/>
        <v>0</v>
      </c>
      <c r="P248" s="94">
        <f t="shared" si="426"/>
        <v>0</v>
      </c>
      <c r="Q248" s="94">
        <f t="shared" si="427"/>
        <v>35.854661</v>
      </c>
      <c r="R248" s="94">
        <f t="shared" si="428"/>
        <v>35.854661</v>
      </c>
      <c r="S248" s="94">
        <f t="shared" si="418"/>
        <v>48.021071999999997</v>
      </c>
      <c r="T248" s="94">
        <f t="shared" si="429"/>
        <v>0</v>
      </c>
      <c r="U248" s="402">
        <f t="shared" si="430"/>
        <v>0</v>
      </c>
      <c r="V248" s="893">
        <v>0</v>
      </c>
      <c r="W248" s="387">
        <v>0</v>
      </c>
      <c r="X248" s="920">
        <f>0</f>
        <v>0</v>
      </c>
      <c r="Y248" s="915">
        <v>0</v>
      </c>
      <c r="Z248" s="367">
        <v>0</v>
      </c>
      <c r="AA248" s="468">
        <v>0</v>
      </c>
      <c r="AB248" s="207">
        <v>0</v>
      </c>
      <c r="AC248" s="207">
        <f>-35.854661</f>
        <v>-35.854661</v>
      </c>
      <c r="AD248" s="367">
        <v>0</v>
      </c>
      <c r="AE248" s="468">
        <v>0</v>
      </c>
      <c r="AF248" s="468">
        <v>0</v>
      </c>
      <c r="AG248" s="468">
        <v>-35.854661</v>
      </c>
      <c r="AH248" s="468">
        <v>-35.854661</v>
      </c>
      <c r="AI248" s="623">
        <f>-0.08698-47.934092</f>
        <v>-48.021071999999997</v>
      </c>
      <c r="AJ248" s="207">
        <v>0</v>
      </c>
      <c r="AK248" s="367">
        <v>0</v>
      </c>
      <c r="AL248" s="367">
        <v>0</v>
      </c>
      <c r="AM248" s="367">
        <v>0</v>
      </c>
      <c r="AN248" s="367">
        <v>0</v>
      </c>
      <c r="AO248" s="295">
        <v>0</v>
      </c>
      <c r="AP248" s="295">
        <v>0</v>
      </c>
      <c r="AQ248" s="295">
        <v>0</v>
      </c>
      <c r="AR248" s="623">
        <v>0</v>
      </c>
      <c r="AS248" s="896">
        <f t="shared" si="431"/>
        <v>0</v>
      </c>
      <c r="AT248" s="418" t="s">
        <v>2116</v>
      </c>
    </row>
    <row r="249" spans="1:46" s="1" customFormat="1" ht="90" hidden="1" customHeight="1" outlineLevel="1" x14ac:dyDescent="0.35">
      <c r="A249" s="590">
        <v>140</v>
      </c>
      <c r="B249" s="612" t="s">
        <v>69</v>
      </c>
      <c r="C249" s="607" t="s">
        <v>1732</v>
      </c>
      <c r="D249" s="583">
        <v>44756</v>
      </c>
      <c r="E249" s="584" t="s">
        <v>2117</v>
      </c>
      <c r="F249" s="559" t="s">
        <v>2118</v>
      </c>
      <c r="G249" s="95" t="s">
        <v>24</v>
      </c>
      <c r="H249" s="310" t="s">
        <v>130</v>
      </c>
      <c r="I249" s="334"/>
      <c r="J249" s="283"/>
      <c r="K249" s="294">
        <f t="shared" si="421"/>
        <v>12.175806</v>
      </c>
      <c r="L249" s="183">
        <f t="shared" si="422"/>
        <v>0</v>
      </c>
      <c r="M249" s="94">
        <f t="shared" si="423"/>
        <v>0</v>
      </c>
      <c r="N249" s="94">
        <f t="shared" si="424"/>
        <v>0</v>
      </c>
      <c r="O249" s="94">
        <f t="shared" si="425"/>
        <v>0</v>
      </c>
      <c r="P249" s="94">
        <f t="shared" si="426"/>
        <v>0</v>
      </c>
      <c r="Q249" s="94">
        <f t="shared" si="427"/>
        <v>12.175806</v>
      </c>
      <c r="R249" s="94">
        <f t="shared" si="428"/>
        <v>12.175806</v>
      </c>
      <c r="S249" s="94">
        <f t="shared" si="418"/>
        <v>0</v>
      </c>
      <c r="T249" s="94">
        <f t="shared" si="429"/>
        <v>0</v>
      </c>
      <c r="U249" s="402">
        <f t="shared" si="430"/>
        <v>0</v>
      </c>
      <c r="V249" s="893">
        <v>0</v>
      </c>
      <c r="W249" s="387">
        <v>0</v>
      </c>
      <c r="X249" s="920">
        <f>0</f>
        <v>0</v>
      </c>
      <c r="Y249" s="915">
        <v>0</v>
      </c>
      <c r="Z249" s="367">
        <v>0</v>
      </c>
      <c r="AA249" s="468">
        <v>0</v>
      </c>
      <c r="AB249" s="207">
        <v>0</v>
      </c>
      <c r="AC249" s="207">
        <f>-12.175806</f>
        <v>-12.175806</v>
      </c>
      <c r="AD249" s="367">
        <v>0</v>
      </c>
      <c r="AE249" s="468">
        <v>0</v>
      </c>
      <c r="AF249" s="468">
        <v>0</v>
      </c>
      <c r="AG249" s="468">
        <v>-12.175806</v>
      </c>
      <c r="AH249" s="468">
        <v>-12.175806</v>
      </c>
      <c r="AI249" s="387">
        <v>0</v>
      </c>
      <c r="AJ249" s="207">
        <v>0</v>
      </c>
      <c r="AK249" s="367">
        <v>0</v>
      </c>
      <c r="AL249" s="367">
        <v>0</v>
      </c>
      <c r="AM249" s="367">
        <v>0</v>
      </c>
      <c r="AN249" s="367">
        <v>0</v>
      </c>
      <c r="AO249" s="295">
        <v>0</v>
      </c>
      <c r="AP249" s="295">
        <v>0</v>
      </c>
      <c r="AQ249" s="295">
        <v>0</v>
      </c>
      <c r="AR249" s="387">
        <v>0</v>
      </c>
      <c r="AS249" s="896">
        <f t="shared" si="431"/>
        <v>0</v>
      </c>
      <c r="AT249" s="418" t="s">
        <v>2119</v>
      </c>
    </row>
    <row r="250" spans="1:46" s="1" customFormat="1" ht="90" hidden="1" customHeight="1" outlineLevel="1" x14ac:dyDescent="0.35">
      <c r="A250" s="590">
        <v>141</v>
      </c>
      <c r="B250" s="612" t="s">
        <v>69</v>
      </c>
      <c r="C250" s="607" t="s">
        <v>700</v>
      </c>
      <c r="D250" s="583">
        <v>44748</v>
      </c>
      <c r="E250" s="584" t="s">
        <v>2128</v>
      </c>
      <c r="F250" s="559" t="s">
        <v>2129</v>
      </c>
      <c r="G250" s="95" t="s">
        <v>24</v>
      </c>
      <c r="H250" s="310" t="s">
        <v>1794</v>
      </c>
      <c r="I250" s="334"/>
      <c r="J250" s="283"/>
      <c r="K250" s="294">
        <f t="shared" si="421"/>
        <v>3.6823070000000002</v>
      </c>
      <c r="L250" s="183">
        <f t="shared" si="422"/>
        <v>0</v>
      </c>
      <c r="M250" s="94">
        <f t="shared" si="423"/>
        <v>0</v>
      </c>
      <c r="N250" s="94">
        <f t="shared" si="424"/>
        <v>0</v>
      </c>
      <c r="O250" s="94">
        <f t="shared" si="425"/>
        <v>0</v>
      </c>
      <c r="P250" s="94">
        <f t="shared" si="426"/>
        <v>0</v>
      </c>
      <c r="Q250" s="94">
        <f t="shared" ref="Q250:Q251" si="432">-AC250</f>
        <v>3.6823070000000002</v>
      </c>
      <c r="R250" s="94">
        <f t="shared" ref="R250:R256" si="433">-AC250</f>
        <v>3.6823070000000002</v>
      </c>
      <c r="S250" s="94">
        <f t="shared" si="418"/>
        <v>0</v>
      </c>
      <c r="T250" s="94">
        <f t="shared" si="429"/>
        <v>0</v>
      </c>
      <c r="U250" s="402">
        <f t="shared" ref="U250:U256" si="434">-AQ250</f>
        <v>0</v>
      </c>
      <c r="V250" s="893">
        <v>0</v>
      </c>
      <c r="W250" s="387">
        <v>0</v>
      </c>
      <c r="X250" s="920">
        <f>0</f>
        <v>0</v>
      </c>
      <c r="Y250" s="915">
        <v>0</v>
      </c>
      <c r="Z250" s="367">
        <v>0</v>
      </c>
      <c r="AA250" s="468">
        <v>0</v>
      </c>
      <c r="AB250" s="207">
        <v>0</v>
      </c>
      <c r="AC250" s="207">
        <f>-3.682307</f>
        <v>-3.6823070000000002</v>
      </c>
      <c r="AD250" s="367">
        <v>0</v>
      </c>
      <c r="AE250" s="468">
        <v>0</v>
      </c>
      <c r="AF250" s="468">
        <v>0</v>
      </c>
      <c r="AG250" s="468">
        <v>-3.6823070000000002</v>
      </c>
      <c r="AH250" s="468">
        <v>-3.6823070000000002</v>
      </c>
      <c r="AI250" s="387">
        <v>0</v>
      </c>
      <c r="AJ250" s="207">
        <v>0</v>
      </c>
      <c r="AK250" s="367">
        <v>0</v>
      </c>
      <c r="AL250" s="367">
        <v>0</v>
      </c>
      <c r="AM250" s="367">
        <v>0</v>
      </c>
      <c r="AN250" s="367">
        <v>0</v>
      </c>
      <c r="AO250" s="295">
        <v>0</v>
      </c>
      <c r="AP250" s="295">
        <v>0</v>
      </c>
      <c r="AQ250" s="295">
        <v>0</v>
      </c>
      <c r="AR250" s="387">
        <v>0</v>
      </c>
      <c r="AS250" s="896">
        <f t="shared" si="431"/>
        <v>0</v>
      </c>
      <c r="AT250" s="418" t="s">
        <v>2127</v>
      </c>
    </row>
    <row r="251" spans="1:46" s="1" customFormat="1" ht="116.5" hidden="1" customHeight="1" outlineLevel="1" x14ac:dyDescent="0.35">
      <c r="A251" s="590">
        <v>142</v>
      </c>
      <c r="B251" s="612" t="s">
        <v>69</v>
      </c>
      <c r="C251" s="607" t="s">
        <v>1732</v>
      </c>
      <c r="D251" s="583">
        <v>44810</v>
      </c>
      <c r="E251" s="584" t="s">
        <v>2137</v>
      </c>
      <c r="F251" s="559" t="s">
        <v>2136</v>
      </c>
      <c r="G251" s="95" t="s">
        <v>24</v>
      </c>
      <c r="H251" s="310" t="s">
        <v>130</v>
      </c>
      <c r="I251" s="334"/>
      <c r="J251" s="283"/>
      <c r="K251" s="294">
        <f t="shared" si="421"/>
        <v>6.7979700000000003</v>
      </c>
      <c r="L251" s="183">
        <f t="shared" si="422"/>
        <v>0</v>
      </c>
      <c r="M251" s="94">
        <f t="shared" si="423"/>
        <v>0</v>
      </c>
      <c r="N251" s="94">
        <f t="shared" si="424"/>
        <v>0</v>
      </c>
      <c r="O251" s="94">
        <f t="shared" si="425"/>
        <v>0</v>
      </c>
      <c r="P251" s="94">
        <f t="shared" si="426"/>
        <v>0</v>
      </c>
      <c r="Q251" s="94">
        <f t="shared" si="432"/>
        <v>6.7979700000000003</v>
      </c>
      <c r="R251" s="94">
        <f t="shared" si="433"/>
        <v>6.7979700000000003</v>
      </c>
      <c r="S251" s="94">
        <f t="shared" si="418"/>
        <v>6.730505</v>
      </c>
      <c r="T251" s="94">
        <f t="shared" si="429"/>
        <v>0</v>
      </c>
      <c r="U251" s="402">
        <f t="shared" si="434"/>
        <v>0</v>
      </c>
      <c r="V251" s="893">
        <v>0</v>
      </c>
      <c r="W251" s="387">
        <v>0</v>
      </c>
      <c r="X251" s="920">
        <f>0</f>
        <v>0</v>
      </c>
      <c r="Y251" s="915">
        <v>0</v>
      </c>
      <c r="Z251" s="367">
        <v>0</v>
      </c>
      <c r="AA251" s="468">
        <v>0</v>
      </c>
      <c r="AB251" s="207">
        <v>0</v>
      </c>
      <c r="AC251" s="207">
        <f>-6.79797</f>
        <v>-6.7979700000000003</v>
      </c>
      <c r="AD251" s="367">
        <v>0</v>
      </c>
      <c r="AE251" s="468">
        <v>0</v>
      </c>
      <c r="AF251" s="468">
        <v>0</v>
      </c>
      <c r="AG251" s="468">
        <v>0</v>
      </c>
      <c r="AH251" s="468">
        <v>0</v>
      </c>
      <c r="AI251" s="623">
        <f>-0.00305-0.00093-0.243975-6.48255</f>
        <v>-6.730505</v>
      </c>
      <c r="AJ251" s="207">
        <v>0</v>
      </c>
      <c r="AK251" s="367">
        <v>0</v>
      </c>
      <c r="AL251" s="367">
        <v>0</v>
      </c>
      <c r="AM251" s="367">
        <v>0</v>
      </c>
      <c r="AN251" s="367">
        <v>0</v>
      </c>
      <c r="AO251" s="295">
        <v>0</v>
      </c>
      <c r="AP251" s="295">
        <v>0</v>
      </c>
      <c r="AQ251" s="295">
        <v>0</v>
      </c>
      <c r="AR251" s="623">
        <v>0</v>
      </c>
      <c r="AS251" s="896">
        <f t="shared" si="431"/>
        <v>0</v>
      </c>
      <c r="AT251" s="418" t="s">
        <v>2135</v>
      </c>
    </row>
    <row r="252" spans="1:46" s="1" customFormat="1" ht="116.5" hidden="1" customHeight="1" outlineLevel="1" x14ac:dyDescent="0.35">
      <c r="A252" s="590">
        <v>143</v>
      </c>
      <c r="B252" s="612" t="s">
        <v>69</v>
      </c>
      <c r="C252" s="607" t="s">
        <v>1734</v>
      </c>
      <c r="D252" s="583">
        <v>44839</v>
      </c>
      <c r="E252" s="584" t="s">
        <v>2299</v>
      </c>
      <c r="F252" s="559" t="s">
        <v>2300</v>
      </c>
      <c r="G252" s="95" t="s">
        <v>24</v>
      </c>
      <c r="H252" s="310" t="s">
        <v>130</v>
      </c>
      <c r="I252" s="334"/>
      <c r="J252" s="283"/>
      <c r="K252" s="294">
        <f t="shared" si="421"/>
        <v>0.15229000000000001</v>
      </c>
      <c r="L252" s="183">
        <f t="shared" si="422"/>
        <v>0</v>
      </c>
      <c r="M252" s="94">
        <f t="shared" si="423"/>
        <v>0</v>
      </c>
      <c r="N252" s="94">
        <f t="shared" si="424"/>
        <v>0</v>
      </c>
      <c r="O252" s="94">
        <f t="shared" si="425"/>
        <v>0</v>
      </c>
      <c r="P252" s="94">
        <f t="shared" si="426"/>
        <v>0</v>
      </c>
      <c r="Q252" s="94">
        <f t="shared" ref="Q252:Q256" si="435">-AC252</f>
        <v>0.15229000000000001</v>
      </c>
      <c r="R252" s="94">
        <f t="shared" si="433"/>
        <v>0.15229000000000001</v>
      </c>
      <c r="S252" s="94">
        <f t="shared" si="418"/>
        <v>0.15729000000000001</v>
      </c>
      <c r="T252" s="94">
        <f t="shared" si="429"/>
        <v>0</v>
      </c>
      <c r="U252" s="402">
        <f t="shared" si="434"/>
        <v>0</v>
      </c>
      <c r="V252" s="893">
        <v>0</v>
      </c>
      <c r="W252" s="387">
        <v>0</v>
      </c>
      <c r="X252" s="920">
        <f>0</f>
        <v>0</v>
      </c>
      <c r="Y252" s="915">
        <v>0</v>
      </c>
      <c r="Z252" s="367">
        <v>0</v>
      </c>
      <c r="AA252" s="468">
        <v>0</v>
      </c>
      <c r="AB252" s="207">
        <v>0</v>
      </c>
      <c r="AC252" s="207">
        <f>-0.15229</f>
        <v>-0.15229000000000001</v>
      </c>
      <c r="AD252" s="367">
        <v>0</v>
      </c>
      <c r="AE252" s="468">
        <v>0</v>
      </c>
      <c r="AF252" s="468">
        <v>0</v>
      </c>
      <c r="AG252" s="468">
        <v>0</v>
      </c>
      <c r="AH252" s="468">
        <v>0</v>
      </c>
      <c r="AI252" s="623">
        <f>-0.15729</f>
        <v>-0.15729000000000001</v>
      </c>
      <c r="AJ252" s="207">
        <v>0</v>
      </c>
      <c r="AK252" s="367">
        <v>0</v>
      </c>
      <c r="AL252" s="367">
        <v>0</v>
      </c>
      <c r="AM252" s="367">
        <v>0</v>
      </c>
      <c r="AN252" s="367">
        <v>0</v>
      </c>
      <c r="AO252" s="295">
        <v>0</v>
      </c>
      <c r="AP252" s="295">
        <v>0</v>
      </c>
      <c r="AQ252" s="295">
        <v>0</v>
      </c>
      <c r="AR252" s="623">
        <v>0</v>
      </c>
      <c r="AS252" s="896">
        <f t="shared" si="431"/>
        <v>0</v>
      </c>
      <c r="AT252" s="418" t="s">
        <v>2304</v>
      </c>
    </row>
    <row r="253" spans="1:46" s="1" customFormat="1" ht="116.5" hidden="1" customHeight="1" outlineLevel="1" x14ac:dyDescent="0.35">
      <c r="A253" s="590">
        <v>144</v>
      </c>
      <c r="B253" s="612" t="s">
        <v>69</v>
      </c>
      <c r="C253" s="607" t="s">
        <v>1733</v>
      </c>
      <c r="D253" s="583">
        <v>44839</v>
      </c>
      <c r="E253" s="584" t="s">
        <v>2301</v>
      </c>
      <c r="F253" s="559" t="s">
        <v>2302</v>
      </c>
      <c r="G253" s="95" t="s">
        <v>24</v>
      </c>
      <c r="H253" s="310" t="s">
        <v>130</v>
      </c>
      <c r="I253" s="334"/>
      <c r="J253" s="283"/>
      <c r="K253" s="294">
        <f t="shared" si="421"/>
        <v>16.711867999999999</v>
      </c>
      <c r="L253" s="183">
        <f t="shared" si="422"/>
        <v>0</v>
      </c>
      <c r="M253" s="94">
        <f t="shared" si="423"/>
        <v>0</v>
      </c>
      <c r="N253" s="94">
        <f t="shared" si="424"/>
        <v>0</v>
      </c>
      <c r="O253" s="94">
        <f t="shared" si="425"/>
        <v>0</v>
      </c>
      <c r="P253" s="94">
        <f t="shared" si="426"/>
        <v>0</v>
      </c>
      <c r="Q253" s="94">
        <f t="shared" si="435"/>
        <v>16.711867999999999</v>
      </c>
      <c r="R253" s="94">
        <f t="shared" si="433"/>
        <v>16.711867999999999</v>
      </c>
      <c r="S253" s="94">
        <f t="shared" si="418"/>
        <v>0.111926</v>
      </c>
      <c r="T253" s="94">
        <f t="shared" si="429"/>
        <v>0</v>
      </c>
      <c r="U253" s="402">
        <f t="shared" si="434"/>
        <v>0</v>
      </c>
      <c r="V253" s="893">
        <v>0</v>
      </c>
      <c r="W253" s="387">
        <v>0</v>
      </c>
      <c r="X253" s="920">
        <f>0</f>
        <v>0</v>
      </c>
      <c r="Y253" s="915">
        <v>0</v>
      </c>
      <c r="Z253" s="367">
        <v>0</v>
      </c>
      <c r="AA253" s="468">
        <v>0</v>
      </c>
      <c r="AB253" s="207">
        <v>0</v>
      </c>
      <c r="AC253" s="207">
        <f>-16.711868</f>
        <v>-16.711867999999999</v>
      </c>
      <c r="AD253" s="367">
        <v>0</v>
      </c>
      <c r="AE253" s="468">
        <v>0</v>
      </c>
      <c r="AF253" s="468">
        <v>0</v>
      </c>
      <c r="AG253" s="468">
        <v>0</v>
      </c>
      <c r="AH253" s="468">
        <v>0</v>
      </c>
      <c r="AI253" s="623">
        <f>-0.000541-0.111385</f>
        <v>-0.111926</v>
      </c>
      <c r="AJ253" s="207">
        <v>0</v>
      </c>
      <c r="AK253" s="367">
        <v>0</v>
      </c>
      <c r="AL253" s="367">
        <v>0</v>
      </c>
      <c r="AM253" s="367">
        <v>0</v>
      </c>
      <c r="AN253" s="367">
        <v>0</v>
      </c>
      <c r="AO253" s="295">
        <v>0</v>
      </c>
      <c r="AP253" s="295">
        <v>0</v>
      </c>
      <c r="AQ253" s="295">
        <v>0</v>
      </c>
      <c r="AR253" s="623">
        <v>0</v>
      </c>
      <c r="AS253" s="896">
        <f t="shared" si="431"/>
        <v>0</v>
      </c>
      <c r="AT253" s="418" t="s">
        <v>2303</v>
      </c>
    </row>
    <row r="254" spans="1:46" s="1" customFormat="1" ht="116.5" hidden="1" customHeight="1" outlineLevel="1" x14ac:dyDescent="0.35">
      <c r="A254" s="590">
        <v>145</v>
      </c>
      <c r="B254" s="612" t="s">
        <v>69</v>
      </c>
      <c r="C254" s="607" t="s">
        <v>1733</v>
      </c>
      <c r="D254" s="583">
        <v>44832</v>
      </c>
      <c r="E254" s="584" t="s">
        <v>2309</v>
      </c>
      <c r="F254" s="559" t="s">
        <v>2310</v>
      </c>
      <c r="G254" s="95" t="s">
        <v>24</v>
      </c>
      <c r="H254" s="310" t="s">
        <v>130</v>
      </c>
      <c r="I254" s="334"/>
      <c r="J254" s="283"/>
      <c r="K254" s="294">
        <f t="shared" si="421"/>
        <v>0.16203200000000001</v>
      </c>
      <c r="L254" s="183">
        <f t="shared" si="422"/>
        <v>0</v>
      </c>
      <c r="M254" s="94">
        <f t="shared" si="423"/>
        <v>0</v>
      </c>
      <c r="N254" s="94">
        <f t="shared" si="424"/>
        <v>0</v>
      </c>
      <c r="O254" s="94">
        <f t="shared" si="425"/>
        <v>0</v>
      </c>
      <c r="P254" s="94">
        <f t="shared" si="426"/>
        <v>0</v>
      </c>
      <c r="Q254" s="94">
        <f t="shared" si="435"/>
        <v>0.16203200000000001</v>
      </c>
      <c r="R254" s="94">
        <f t="shared" si="433"/>
        <v>0.16203200000000001</v>
      </c>
      <c r="S254" s="94">
        <f t="shared" si="418"/>
        <v>0.25905800000000001</v>
      </c>
      <c r="T254" s="94">
        <f t="shared" si="429"/>
        <v>0</v>
      </c>
      <c r="U254" s="402">
        <f t="shared" si="434"/>
        <v>0</v>
      </c>
      <c r="V254" s="893">
        <v>0</v>
      </c>
      <c r="W254" s="387">
        <v>0</v>
      </c>
      <c r="X254" s="920">
        <f>0</f>
        <v>0</v>
      </c>
      <c r="Y254" s="915">
        <v>0</v>
      </c>
      <c r="Z254" s="367">
        <v>0</v>
      </c>
      <c r="AA254" s="468">
        <v>0</v>
      </c>
      <c r="AB254" s="207">
        <v>0</v>
      </c>
      <c r="AC254" s="207">
        <f>-0.162032</f>
        <v>-0.16203200000000001</v>
      </c>
      <c r="AD254" s="367">
        <v>0</v>
      </c>
      <c r="AE254" s="468">
        <v>0</v>
      </c>
      <c r="AF254" s="468">
        <v>0</v>
      </c>
      <c r="AG254" s="468">
        <v>0</v>
      </c>
      <c r="AH254" s="468">
        <v>0</v>
      </c>
      <c r="AI254" s="623">
        <f>-0.259058</f>
        <v>-0.25905800000000001</v>
      </c>
      <c r="AJ254" s="207">
        <v>0</v>
      </c>
      <c r="AK254" s="367">
        <v>0</v>
      </c>
      <c r="AL254" s="367">
        <v>0</v>
      </c>
      <c r="AM254" s="367">
        <v>0</v>
      </c>
      <c r="AN254" s="367">
        <v>0</v>
      </c>
      <c r="AO254" s="295">
        <v>0</v>
      </c>
      <c r="AP254" s="295">
        <v>0</v>
      </c>
      <c r="AQ254" s="295">
        <v>0</v>
      </c>
      <c r="AR254" s="623">
        <v>0</v>
      </c>
      <c r="AS254" s="896">
        <f t="shared" si="431"/>
        <v>0</v>
      </c>
      <c r="AT254" s="418" t="s">
        <v>2311</v>
      </c>
    </row>
    <row r="255" spans="1:46" s="1" customFormat="1" ht="116.5" hidden="1" customHeight="1" outlineLevel="1" x14ac:dyDescent="0.35">
      <c r="A255" s="590">
        <v>146</v>
      </c>
      <c r="B255" s="612" t="s">
        <v>69</v>
      </c>
      <c r="C255" s="607" t="s">
        <v>1734</v>
      </c>
      <c r="D255" s="583">
        <v>44880</v>
      </c>
      <c r="E255" s="584" t="s">
        <v>2329</v>
      </c>
      <c r="F255" s="559" t="s">
        <v>2330</v>
      </c>
      <c r="G255" s="95" t="s">
        <v>24</v>
      </c>
      <c r="H255" s="310" t="s">
        <v>130</v>
      </c>
      <c r="I255" s="334"/>
      <c r="J255" s="283"/>
      <c r="K255" s="294">
        <f t="shared" ref="K255" si="436">M255+P255+U255+R255+T255</f>
        <v>6.1291999999999999E-2</v>
      </c>
      <c r="L255" s="183">
        <f t="shared" ref="L255" si="437">-V255</f>
        <v>0</v>
      </c>
      <c r="M255" s="94">
        <f t="shared" ref="M255" si="438">-W255</f>
        <v>0</v>
      </c>
      <c r="N255" s="94">
        <f t="shared" ref="N255" si="439">-X255</f>
        <v>0</v>
      </c>
      <c r="O255" s="94">
        <f t="shared" ref="O255" si="440">-X255</f>
        <v>0</v>
      </c>
      <c r="P255" s="94">
        <f t="shared" ref="P255" si="441">-AB255</f>
        <v>0</v>
      </c>
      <c r="Q255" s="94">
        <f t="shared" si="435"/>
        <v>6.1291999999999999E-2</v>
      </c>
      <c r="R255" s="94">
        <f t="shared" si="433"/>
        <v>6.1291999999999999E-2</v>
      </c>
      <c r="S255" s="94">
        <f t="shared" si="418"/>
        <v>0</v>
      </c>
      <c r="T255" s="94">
        <f t="shared" ref="T255" si="442">-AJ255</f>
        <v>0</v>
      </c>
      <c r="U255" s="402">
        <f t="shared" si="434"/>
        <v>0</v>
      </c>
      <c r="V255" s="893">
        <v>0</v>
      </c>
      <c r="W255" s="387">
        <v>0</v>
      </c>
      <c r="X255" s="920">
        <f>0</f>
        <v>0</v>
      </c>
      <c r="Y255" s="915">
        <v>0</v>
      </c>
      <c r="Z255" s="367">
        <v>0</v>
      </c>
      <c r="AA255" s="468">
        <v>0</v>
      </c>
      <c r="AB255" s="207">
        <v>0</v>
      </c>
      <c r="AC255" s="207">
        <f>-0.061292</f>
        <v>-6.1291999999999999E-2</v>
      </c>
      <c r="AD255" s="367">
        <v>0</v>
      </c>
      <c r="AE255" s="468">
        <v>0</v>
      </c>
      <c r="AF255" s="468">
        <v>0</v>
      </c>
      <c r="AG255" s="468">
        <v>0</v>
      </c>
      <c r="AH255" s="468">
        <v>0</v>
      </c>
      <c r="AI255" s="387">
        <v>0</v>
      </c>
      <c r="AJ255" s="207">
        <v>0</v>
      </c>
      <c r="AK255" s="367">
        <v>0</v>
      </c>
      <c r="AL255" s="367">
        <v>0</v>
      </c>
      <c r="AM255" s="367">
        <v>0</v>
      </c>
      <c r="AN255" s="367">
        <v>0</v>
      </c>
      <c r="AO255" s="295">
        <v>0</v>
      </c>
      <c r="AP255" s="295">
        <v>0</v>
      </c>
      <c r="AQ255" s="295">
        <v>0</v>
      </c>
      <c r="AR255" s="387">
        <v>0</v>
      </c>
      <c r="AS255" s="896">
        <f t="shared" ref="AS255" si="443">-AR255</f>
        <v>0</v>
      </c>
      <c r="AT255" s="418" t="s">
        <v>2311</v>
      </c>
    </row>
    <row r="256" spans="1:46" s="1" customFormat="1" ht="116.5" hidden="1" customHeight="1" outlineLevel="1" x14ac:dyDescent="0.35">
      <c r="A256" s="590">
        <v>147</v>
      </c>
      <c r="B256" s="612" t="s">
        <v>69</v>
      </c>
      <c r="C256" s="607" t="s">
        <v>1734</v>
      </c>
      <c r="D256" s="583">
        <v>44880</v>
      </c>
      <c r="E256" s="584" t="s">
        <v>2331</v>
      </c>
      <c r="F256" s="559" t="s">
        <v>2332</v>
      </c>
      <c r="G256" s="95" t="s">
        <v>24</v>
      </c>
      <c r="H256" s="310" t="s">
        <v>130</v>
      </c>
      <c r="I256" s="334"/>
      <c r="J256" s="283"/>
      <c r="K256" s="294">
        <f t="shared" si="421"/>
        <v>0.306087</v>
      </c>
      <c r="L256" s="183">
        <f t="shared" si="422"/>
        <v>0</v>
      </c>
      <c r="M256" s="94">
        <f t="shared" si="423"/>
        <v>0</v>
      </c>
      <c r="N256" s="94">
        <f t="shared" si="424"/>
        <v>0</v>
      </c>
      <c r="O256" s="94">
        <f t="shared" si="425"/>
        <v>0</v>
      </c>
      <c r="P256" s="94">
        <f t="shared" si="426"/>
        <v>0</v>
      </c>
      <c r="Q256" s="94">
        <f t="shared" si="435"/>
        <v>0.306087</v>
      </c>
      <c r="R256" s="94">
        <f t="shared" si="433"/>
        <v>0.306087</v>
      </c>
      <c r="S256" s="94">
        <f t="shared" si="418"/>
        <v>0</v>
      </c>
      <c r="T256" s="94">
        <f t="shared" si="429"/>
        <v>0</v>
      </c>
      <c r="U256" s="402">
        <f t="shared" si="434"/>
        <v>0</v>
      </c>
      <c r="V256" s="893">
        <v>0</v>
      </c>
      <c r="W256" s="387">
        <v>0</v>
      </c>
      <c r="X256" s="920">
        <f>0</f>
        <v>0</v>
      </c>
      <c r="Y256" s="915">
        <v>0</v>
      </c>
      <c r="Z256" s="367">
        <v>0</v>
      </c>
      <c r="AA256" s="468">
        <v>0</v>
      </c>
      <c r="AB256" s="207">
        <v>0</v>
      </c>
      <c r="AC256" s="207">
        <f>-0.306087</f>
        <v>-0.306087</v>
      </c>
      <c r="AD256" s="367">
        <v>0</v>
      </c>
      <c r="AE256" s="468">
        <v>0</v>
      </c>
      <c r="AF256" s="468">
        <v>0</v>
      </c>
      <c r="AG256" s="468">
        <v>0</v>
      </c>
      <c r="AH256" s="468">
        <v>0</v>
      </c>
      <c r="AI256" s="387">
        <v>0</v>
      </c>
      <c r="AJ256" s="207">
        <v>0</v>
      </c>
      <c r="AK256" s="367">
        <v>0</v>
      </c>
      <c r="AL256" s="367">
        <v>0</v>
      </c>
      <c r="AM256" s="367">
        <v>0</v>
      </c>
      <c r="AN256" s="367">
        <v>0</v>
      </c>
      <c r="AO256" s="295">
        <v>0</v>
      </c>
      <c r="AP256" s="295">
        <v>0</v>
      </c>
      <c r="AQ256" s="295">
        <v>0</v>
      </c>
      <c r="AR256" s="387">
        <v>0</v>
      </c>
      <c r="AS256" s="896">
        <f t="shared" si="431"/>
        <v>0</v>
      </c>
      <c r="AT256" s="418" t="s">
        <v>2311</v>
      </c>
    </row>
    <row r="257" spans="1:46" s="1" customFormat="1" ht="116.5" hidden="1" customHeight="1" outlineLevel="1" x14ac:dyDescent="0.35">
      <c r="A257" s="590">
        <v>148</v>
      </c>
      <c r="B257" s="612" t="s">
        <v>69</v>
      </c>
      <c r="C257" s="607" t="s">
        <v>1736</v>
      </c>
      <c r="D257" s="583">
        <v>44894</v>
      </c>
      <c r="E257" s="584" t="s">
        <v>2333</v>
      </c>
      <c r="F257" s="559" t="s">
        <v>2334</v>
      </c>
      <c r="G257" s="95" t="s">
        <v>24</v>
      </c>
      <c r="H257" s="310" t="s">
        <v>130</v>
      </c>
      <c r="I257" s="334"/>
      <c r="J257" s="283"/>
      <c r="K257" s="294">
        <f t="shared" si="421"/>
        <v>4.0320000000000002E-2</v>
      </c>
      <c r="L257" s="183">
        <f t="shared" si="422"/>
        <v>0</v>
      </c>
      <c r="M257" s="94">
        <f t="shared" si="423"/>
        <v>0</v>
      </c>
      <c r="N257" s="94">
        <f t="shared" si="424"/>
        <v>0</v>
      </c>
      <c r="O257" s="94">
        <f t="shared" si="425"/>
        <v>0</v>
      </c>
      <c r="P257" s="94">
        <f t="shared" si="426"/>
        <v>0</v>
      </c>
      <c r="Q257" s="94">
        <f t="shared" ref="Q257:Q258" si="444">-AC257</f>
        <v>4.0320000000000002E-2</v>
      </c>
      <c r="R257" s="94">
        <f t="shared" ref="R257:R258" si="445">-AC257</f>
        <v>4.0320000000000002E-2</v>
      </c>
      <c r="S257" s="94">
        <f t="shared" si="418"/>
        <v>4.0320000000000002E-2</v>
      </c>
      <c r="T257" s="94">
        <f t="shared" si="429"/>
        <v>0</v>
      </c>
      <c r="U257" s="402">
        <f t="shared" ref="U257:U258" si="446">-AQ257</f>
        <v>0</v>
      </c>
      <c r="V257" s="893">
        <v>0</v>
      </c>
      <c r="W257" s="387">
        <v>0</v>
      </c>
      <c r="X257" s="920">
        <f>0</f>
        <v>0</v>
      </c>
      <c r="Y257" s="915">
        <v>0</v>
      </c>
      <c r="Z257" s="367">
        <v>0</v>
      </c>
      <c r="AA257" s="468">
        <v>0</v>
      </c>
      <c r="AB257" s="207">
        <v>0</v>
      </c>
      <c r="AC257" s="898">
        <f>-0.04032</f>
        <v>-4.0320000000000002E-2</v>
      </c>
      <c r="AD257" s="367">
        <v>0</v>
      </c>
      <c r="AE257" s="468">
        <v>0</v>
      </c>
      <c r="AF257" s="468">
        <v>0</v>
      </c>
      <c r="AG257" s="468">
        <v>0</v>
      </c>
      <c r="AH257" s="468">
        <v>0</v>
      </c>
      <c r="AI257" s="623">
        <f>-0.04032</f>
        <v>-4.0320000000000002E-2</v>
      </c>
      <c r="AJ257" s="207">
        <v>0</v>
      </c>
      <c r="AK257" s="367">
        <v>0</v>
      </c>
      <c r="AL257" s="367">
        <v>0</v>
      </c>
      <c r="AM257" s="367">
        <v>0</v>
      </c>
      <c r="AN257" s="367">
        <v>0</v>
      </c>
      <c r="AO257" s="295">
        <v>0</v>
      </c>
      <c r="AP257" s="295">
        <v>0</v>
      </c>
      <c r="AQ257" s="295">
        <v>0</v>
      </c>
      <c r="AR257" s="623">
        <v>0</v>
      </c>
      <c r="AS257" s="896">
        <f t="shared" si="431"/>
        <v>0</v>
      </c>
      <c r="AT257" s="418" t="s">
        <v>2311</v>
      </c>
    </row>
    <row r="258" spans="1:46" s="1" customFormat="1" ht="116.5" hidden="1" customHeight="1" outlineLevel="1" x14ac:dyDescent="0.35">
      <c r="A258" s="590">
        <v>148</v>
      </c>
      <c r="B258" s="612" t="s">
        <v>69</v>
      </c>
      <c r="C258" s="607" t="s">
        <v>1733</v>
      </c>
      <c r="D258" s="583">
        <v>44908</v>
      </c>
      <c r="E258" s="584" t="s">
        <v>2343</v>
      </c>
      <c r="F258" s="559" t="s">
        <v>2342</v>
      </c>
      <c r="G258" s="95" t="s">
        <v>24</v>
      </c>
      <c r="H258" s="310" t="s">
        <v>129</v>
      </c>
      <c r="I258" s="334"/>
      <c r="J258" s="283"/>
      <c r="K258" s="294">
        <f t="shared" si="421"/>
        <v>0.106403</v>
      </c>
      <c r="L258" s="183">
        <f t="shared" si="422"/>
        <v>0</v>
      </c>
      <c r="M258" s="94">
        <f t="shared" si="423"/>
        <v>0</v>
      </c>
      <c r="N258" s="94">
        <f t="shared" si="424"/>
        <v>0</v>
      </c>
      <c r="O258" s="94">
        <f t="shared" si="425"/>
        <v>0</v>
      </c>
      <c r="P258" s="94">
        <f t="shared" si="426"/>
        <v>0</v>
      </c>
      <c r="Q258" s="94">
        <f t="shared" si="444"/>
        <v>0.106403</v>
      </c>
      <c r="R258" s="94">
        <f t="shared" si="445"/>
        <v>0.106403</v>
      </c>
      <c r="S258" s="94">
        <f t="shared" si="418"/>
        <v>0.59352300000000002</v>
      </c>
      <c r="T258" s="94">
        <f t="shared" si="429"/>
        <v>0</v>
      </c>
      <c r="U258" s="402">
        <f t="shared" si="446"/>
        <v>0</v>
      </c>
      <c r="V258" s="893">
        <v>0</v>
      </c>
      <c r="W258" s="387">
        <v>0</v>
      </c>
      <c r="X258" s="920">
        <f>0</f>
        <v>0</v>
      </c>
      <c r="Y258" s="915">
        <v>0</v>
      </c>
      <c r="Z258" s="367">
        <v>0</v>
      </c>
      <c r="AA258" s="468">
        <v>0</v>
      </c>
      <c r="AB258" s="207">
        <v>0</v>
      </c>
      <c r="AC258" s="898">
        <f>-0.106403</f>
        <v>-0.106403</v>
      </c>
      <c r="AD258" s="367">
        <v>0</v>
      </c>
      <c r="AE258" s="468">
        <v>0</v>
      </c>
      <c r="AF258" s="468">
        <v>0</v>
      </c>
      <c r="AG258" s="468">
        <v>0</v>
      </c>
      <c r="AH258" s="468">
        <v>0</v>
      </c>
      <c r="AI258" s="623">
        <f>-0.593523</f>
        <v>-0.59352300000000002</v>
      </c>
      <c r="AJ258" s="207">
        <v>0</v>
      </c>
      <c r="AK258" s="367">
        <v>0</v>
      </c>
      <c r="AL258" s="367">
        <v>0</v>
      </c>
      <c r="AM258" s="367">
        <v>0</v>
      </c>
      <c r="AN258" s="367">
        <v>0</v>
      </c>
      <c r="AO258" s="295">
        <v>0</v>
      </c>
      <c r="AP258" s="295">
        <v>0</v>
      </c>
      <c r="AQ258" s="295">
        <v>0</v>
      </c>
      <c r="AR258" s="623">
        <v>0</v>
      </c>
      <c r="AS258" s="896">
        <f t="shared" si="431"/>
        <v>0</v>
      </c>
      <c r="AT258" s="418"/>
    </row>
    <row r="259" spans="1:46" s="1" customFormat="1" ht="116.5" hidden="1" customHeight="1" outlineLevel="1" x14ac:dyDescent="0.35">
      <c r="A259" s="590">
        <v>148</v>
      </c>
      <c r="B259" s="612" t="s">
        <v>69</v>
      </c>
      <c r="C259" s="607" t="s">
        <v>1733</v>
      </c>
      <c r="D259" s="583">
        <v>44908</v>
      </c>
      <c r="E259" s="584" t="s">
        <v>2344</v>
      </c>
      <c r="F259" s="559" t="s">
        <v>2342</v>
      </c>
      <c r="G259" s="95" t="s">
        <v>24</v>
      </c>
      <c r="H259" s="310" t="s">
        <v>129</v>
      </c>
      <c r="I259" s="334"/>
      <c r="J259" s="283"/>
      <c r="K259" s="294">
        <f t="shared" ref="K259:K262" si="447">M259+P259+U259+R259+T259</f>
        <v>1.677438</v>
      </c>
      <c r="L259" s="183">
        <f t="shared" ref="L259:L262" si="448">-V259</f>
        <v>0</v>
      </c>
      <c r="M259" s="94">
        <f t="shared" ref="M259:M262" si="449">-W259</f>
        <v>0</v>
      </c>
      <c r="N259" s="94">
        <f t="shared" ref="N259:N262" si="450">-X259</f>
        <v>0</v>
      </c>
      <c r="O259" s="94">
        <f t="shared" ref="O259:O262" si="451">-X259</f>
        <v>0</v>
      </c>
      <c r="P259" s="94">
        <f t="shared" ref="P259:P262" si="452">-AB259</f>
        <v>0</v>
      </c>
      <c r="Q259" s="94">
        <f t="shared" ref="Q259:Q262" si="453">-AC259</f>
        <v>1.677438</v>
      </c>
      <c r="R259" s="94">
        <f t="shared" ref="R259:R262" si="454">-AC259</f>
        <v>1.677438</v>
      </c>
      <c r="S259" s="94">
        <f t="shared" si="418"/>
        <v>1.677438</v>
      </c>
      <c r="T259" s="94">
        <f t="shared" ref="T259:T262" si="455">-AJ259</f>
        <v>0</v>
      </c>
      <c r="U259" s="402">
        <f t="shared" ref="U259:U262" si="456">-AQ259</f>
        <v>0</v>
      </c>
      <c r="V259" s="893">
        <v>0</v>
      </c>
      <c r="W259" s="387">
        <v>0</v>
      </c>
      <c r="X259" s="920">
        <f>0</f>
        <v>0</v>
      </c>
      <c r="Y259" s="915">
        <v>0</v>
      </c>
      <c r="Z259" s="367">
        <v>0</v>
      </c>
      <c r="AA259" s="468">
        <v>0</v>
      </c>
      <c r="AB259" s="207">
        <v>0</v>
      </c>
      <c r="AC259" s="898">
        <f>-1.677438</f>
        <v>-1.677438</v>
      </c>
      <c r="AD259" s="367">
        <v>0</v>
      </c>
      <c r="AE259" s="468">
        <v>0</v>
      </c>
      <c r="AF259" s="468">
        <v>0</v>
      </c>
      <c r="AG259" s="468">
        <v>0</v>
      </c>
      <c r="AH259" s="468">
        <v>0</v>
      </c>
      <c r="AI259" s="623">
        <f>-1.677438</f>
        <v>-1.677438</v>
      </c>
      <c r="AJ259" s="207">
        <v>0</v>
      </c>
      <c r="AK259" s="367">
        <v>0</v>
      </c>
      <c r="AL259" s="367">
        <v>0</v>
      </c>
      <c r="AM259" s="367">
        <v>0</v>
      </c>
      <c r="AN259" s="367">
        <v>0</v>
      </c>
      <c r="AO259" s="295">
        <v>0</v>
      </c>
      <c r="AP259" s="295">
        <v>0</v>
      </c>
      <c r="AQ259" s="295">
        <v>0</v>
      </c>
      <c r="AR259" s="623">
        <v>0</v>
      </c>
      <c r="AS259" s="896">
        <f t="shared" ref="AS259:AS262" si="457">-AR259</f>
        <v>0</v>
      </c>
      <c r="AT259" s="418"/>
    </row>
    <row r="260" spans="1:46" s="1" customFormat="1" ht="116.5" hidden="1" customHeight="1" outlineLevel="1" x14ac:dyDescent="0.35">
      <c r="A260" s="590">
        <v>148</v>
      </c>
      <c r="B260" s="612" t="s">
        <v>69</v>
      </c>
      <c r="C260" s="607" t="s">
        <v>1736</v>
      </c>
      <c r="D260" s="583">
        <v>44916</v>
      </c>
      <c r="E260" s="584" t="s">
        <v>2345</v>
      </c>
      <c r="F260" s="559" t="s">
        <v>2346</v>
      </c>
      <c r="G260" s="95" t="s">
        <v>24</v>
      </c>
      <c r="H260" s="310" t="s">
        <v>129</v>
      </c>
      <c r="I260" s="334"/>
      <c r="J260" s="283"/>
      <c r="K260" s="294">
        <f t="shared" si="447"/>
        <v>0.36120000000000002</v>
      </c>
      <c r="L260" s="183">
        <f t="shared" si="448"/>
        <v>0</v>
      </c>
      <c r="M260" s="94">
        <f t="shared" si="449"/>
        <v>0</v>
      </c>
      <c r="N260" s="94">
        <f t="shared" si="450"/>
        <v>0</v>
      </c>
      <c r="O260" s="94">
        <f t="shared" si="451"/>
        <v>0</v>
      </c>
      <c r="P260" s="94">
        <f t="shared" si="452"/>
        <v>0</v>
      </c>
      <c r="Q260" s="94">
        <f t="shared" si="453"/>
        <v>0.36120000000000002</v>
      </c>
      <c r="R260" s="94">
        <f t="shared" si="454"/>
        <v>0.36120000000000002</v>
      </c>
      <c r="S260" s="94">
        <f t="shared" si="418"/>
        <v>0.36120000000000002</v>
      </c>
      <c r="T260" s="94">
        <f t="shared" si="455"/>
        <v>0</v>
      </c>
      <c r="U260" s="402">
        <f t="shared" si="456"/>
        <v>0</v>
      </c>
      <c r="V260" s="893">
        <v>0</v>
      </c>
      <c r="W260" s="387">
        <v>0</v>
      </c>
      <c r="X260" s="920">
        <f>0</f>
        <v>0</v>
      </c>
      <c r="Y260" s="915">
        <v>0</v>
      </c>
      <c r="Z260" s="367">
        <v>0</v>
      </c>
      <c r="AA260" s="468">
        <v>0</v>
      </c>
      <c r="AB260" s="207">
        <v>0</v>
      </c>
      <c r="AC260" s="898">
        <f>-0.3612</f>
        <v>-0.36120000000000002</v>
      </c>
      <c r="AD260" s="367">
        <v>0</v>
      </c>
      <c r="AE260" s="468">
        <v>0</v>
      </c>
      <c r="AF260" s="468">
        <v>0</v>
      </c>
      <c r="AG260" s="468">
        <v>0</v>
      </c>
      <c r="AH260" s="468">
        <v>0</v>
      </c>
      <c r="AI260" s="623">
        <f>-0.3612</f>
        <v>-0.36120000000000002</v>
      </c>
      <c r="AJ260" s="207">
        <v>0</v>
      </c>
      <c r="AK260" s="367">
        <v>0</v>
      </c>
      <c r="AL260" s="367">
        <v>0</v>
      </c>
      <c r="AM260" s="367">
        <v>0</v>
      </c>
      <c r="AN260" s="367">
        <v>0</v>
      </c>
      <c r="AO260" s="295">
        <v>0</v>
      </c>
      <c r="AP260" s="295">
        <v>0</v>
      </c>
      <c r="AQ260" s="295">
        <v>0</v>
      </c>
      <c r="AR260" s="623">
        <v>0</v>
      </c>
      <c r="AS260" s="896">
        <f t="shared" si="457"/>
        <v>0</v>
      </c>
      <c r="AT260" s="418"/>
    </row>
    <row r="261" spans="1:46" s="1" customFormat="1" ht="116.5" hidden="1" customHeight="1" outlineLevel="1" x14ac:dyDescent="0.35">
      <c r="A261" s="590">
        <v>148</v>
      </c>
      <c r="B261" s="612" t="s">
        <v>69</v>
      </c>
      <c r="C261" s="607" t="s">
        <v>1733</v>
      </c>
      <c r="D261" s="583">
        <v>44888</v>
      </c>
      <c r="E261" s="584" t="s">
        <v>2348</v>
      </c>
      <c r="F261" s="559" t="s">
        <v>2347</v>
      </c>
      <c r="G261" s="95" t="s">
        <v>24</v>
      </c>
      <c r="H261" s="310" t="s">
        <v>129</v>
      </c>
      <c r="I261" s="334"/>
      <c r="J261" s="283"/>
      <c r="K261" s="294">
        <f t="shared" ref="K261" si="458">M261+P261+U261+R261+T261</f>
        <v>0.10704900000000001</v>
      </c>
      <c r="L261" s="183">
        <f t="shared" ref="L261" si="459">-V261</f>
        <v>0</v>
      </c>
      <c r="M261" s="94">
        <f t="shared" ref="M261" si="460">-W261</f>
        <v>0</v>
      </c>
      <c r="N261" s="94">
        <f t="shared" ref="N261" si="461">-X261</f>
        <v>0</v>
      </c>
      <c r="O261" s="94">
        <f t="shared" ref="O261" si="462">-X261</f>
        <v>0</v>
      </c>
      <c r="P261" s="94">
        <f t="shared" ref="P261" si="463">-AB261</f>
        <v>0</v>
      </c>
      <c r="Q261" s="94">
        <f t="shared" ref="Q261" si="464">-AC261</f>
        <v>0.10704900000000001</v>
      </c>
      <c r="R261" s="94">
        <f t="shared" ref="R261" si="465">-AC261</f>
        <v>0.10704900000000001</v>
      </c>
      <c r="S261" s="94">
        <f t="shared" ref="S261" si="466">-AI261</f>
        <v>0.10704900000000001</v>
      </c>
      <c r="T261" s="94">
        <f t="shared" ref="T261" si="467">-AJ261</f>
        <v>0</v>
      </c>
      <c r="U261" s="402">
        <f t="shared" ref="U261" si="468">-AQ261</f>
        <v>0</v>
      </c>
      <c r="V261" s="893">
        <v>0</v>
      </c>
      <c r="W261" s="387">
        <v>0</v>
      </c>
      <c r="X261" s="920">
        <f>0</f>
        <v>0</v>
      </c>
      <c r="Y261" s="915">
        <v>0</v>
      </c>
      <c r="Z261" s="367">
        <v>0</v>
      </c>
      <c r="AA261" s="468">
        <v>0</v>
      </c>
      <c r="AB261" s="207">
        <v>0</v>
      </c>
      <c r="AC261" s="898">
        <f>-0.107049</f>
        <v>-0.10704900000000001</v>
      </c>
      <c r="AD261" s="367">
        <v>0</v>
      </c>
      <c r="AE261" s="468">
        <v>0</v>
      </c>
      <c r="AF261" s="468">
        <v>0</v>
      </c>
      <c r="AG261" s="468">
        <v>0</v>
      </c>
      <c r="AH261" s="468">
        <v>0</v>
      </c>
      <c r="AI261" s="623">
        <f>-0.107049</f>
        <v>-0.10704900000000001</v>
      </c>
      <c r="AJ261" s="207">
        <v>0</v>
      </c>
      <c r="AK261" s="367">
        <v>0</v>
      </c>
      <c r="AL261" s="367">
        <v>0</v>
      </c>
      <c r="AM261" s="367">
        <v>0</v>
      </c>
      <c r="AN261" s="367">
        <v>0</v>
      </c>
      <c r="AO261" s="295">
        <v>0</v>
      </c>
      <c r="AP261" s="295">
        <v>0</v>
      </c>
      <c r="AQ261" s="295">
        <v>0</v>
      </c>
      <c r="AR261" s="387">
        <v>0</v>
      </c>
      <c r="AS261" s="896">
        <f t="shared" ref="AS261" si="469">-AR261</f>
        <v>0</v>
      </c>
      <c r="AT261" s="418"/>
    </row>
    <row r="262" spans="1:46" s="1" customFormat="1" ht="116.5" hidden="1" customHeight="1" outlineLevel="1" x14ac:dyDescent="0.35">
      <c r="A262" s="590">
        <v>148</v>
      </c>
      <c r="B262" s="612" t="s">
        <v>69</v>
      </c>
      <c r="C262" s="607" t="s">
        <v>1733</v>
      </c>
      <c r="D262" s="583" t="s">
        <v>2366</v>
      </c>
      <c r="E262" s="960" t="s">
        <v>2362</v>
      </c>
      <c r="F262" s="559"/>
      <c r="G262" s="95" t="s">
        <v>24</v>
      </c>
      <c r="H262" s="310" t="s">
        <v>129</v>
      </c>
      <c r="I262" s="334"/>
      <c r="J262" s="283"/>
      <c r="K262" s="294">
        <f t="shared" si="447"/>
        <v>23.918201</v>
      </c>
      <c r="L262" s="183">
        <f t="shared" si="448"/>
        <v>0</v>
      </c>
      <c r="M262" s="94">
        <f t="shared" si="449"/>
        <v>0</v>
      </c>
      <c r="N262" s="94">
        <f t="shared" si="450"/>
        <v>0</v>
      </c>
      <c r="O262" s="94">
        <f t="shared" si="451"/>
        <v>0</v>
      </c>
      <c r="P262" s="94">
        <f t="shared" si="452"/>
        <v>0</v>
      </c>
      <c r="Q262" s="94">
        <f t="shared" si="453"/>
        <v>0</v>
      </c>
      <c r="R262" s="94">
        <f t="shared" si="454"/>
        <v>0</v>
      </c>
      <c r="S262" s="94">
        <f t="shared" si="418"/>
        <v>0</v>
      </c>
      <c r="T262" s="94">
        <f t="shared" si="455"/>
        <v>23.918201</v>
      </c>
      <c r="U262" s="402">
        <f t="shared" si="456"/>
        <v>0</v>
      </c>
      <c r="V262" s="893">
        <v>0</v>
      </c>
      <c r="W262" s="387">
        <v>0</v>
      </c>
      <c r="X262" s="920">
        <f>0</f>
        <v>0</v>
      </c>
      <c r="Y262" s="915">
        <v>0</v>
      </c>
      <c r="Z262" s="367">
        <v>0</v>
      </c>
      <c r="AA262" s="468">
        <v>0</v>
      </c>
      <c r="AB262" s="207">
        <v>0</v>
      </c>
      <c r="AC262" s="898">
        <v>0</v>
      </c>
      <c r="AD262" s="367">
        <v>0</v>
      </c>
      <c r="AE262" s="468">
        <v>0</v>
      </c>
      <c r="AF262" s="468">
        <v>0</v>
      </c>
      <c r="AG262" s="468">
        <v>0</v>
      </c>
      <c r="AH262" s="468">
        <v>0</v>
      </c>
      <c r="AI262" s="623">
        <v>0</v>
      </c>
      <c r="AJ262" s="207">
        <f>-5.008353-0.015-1.942216-6.256596-4.846788-1.318295-4.530953</f>
        <v>-23.918201</v>
      </c>
      <c r="AK262" s="367">
        <v>0</v>
      </c>
      <c r="AL262" s="367">
        <v>0</v>
      </c>
      <c r="AM262" s="367">
        <v>0</v>
      </c>
      <c r="AN262" s="367">
        <v>0</v>
      </c>
      <c r="AO262" s="295">
        <v>0</v>
      </c>
      <c r="AP262" s="295">
        <v>0</v>
      </c>
      <c r="AQ262" s="295">
        <v>0</v>
      </c>
      <c r="AR262" s="623">
        <f>-5.008353-0.015-1.942216-6.256596-4.846788-1.318295-4.530953</f>
        <v>-23.918201</v>
      </c>
      <c r="AS262" s="896">
        <f t="shared" si="457"/>
        <v>23.918201</v>
      </c>
      <c r="AT262" s="418"/>
    </row>
    <row r="263" spans="1:46" s="1" customFormat="1" ht="18.5" collapsed="1" x14ac:dyDescent="0.35">
      <c r="A263" s="436">
        <v>2</v>
      </c>
      <c r="B263" s="618" t="s">
        <v>1722</v>
      </c>
      <c r="C263" s="599"/>
      <c r="D263" s="345"/>
      <c r="E263" s="622"/>
      <c r="F263" s="478"/>
      <c r="G263" s="378" t="s">
        <v>1727</v>
      </c>
      <c r="H263" s="379" t="s">
        <v>1727</v>
      </c>
      <c r="I263" s="346"/>
      <c r="J263" s="381"/>
      <c r="K263" s="347">
        <f t="shared" ref="K263:AS263" ca="1" si="470">SUM(K264:K280)</f>
        <v>705.07547599999998</v>
      </c>
      <c r="L263" s="363">
        <f t="shared" si="470"/>
        <v>410.863496</v>
      </c>
      <c r="M263" s="363">
        <f t="shared" si="470"/>
        <v>408.375744</v>
      </c>
      <c r="N263" s="363">
        <f t="shared" si="470"/>
        <v>309.52261499999992</v>
      </c>
      <c r="O263" s="363">
        <f t="shared" si="470"/>
        <v>309.52261499999992</v>
      </c>
      <c r="P263" s="363">
        <f t="shared" si="470"/>
        <v>227.910798</v>
      </c>
      <c r="Q263" s="363">
        <f t="shared" ref="Q263" si="471">SUM(Q264:Q280)</f>
        <v>68.788933999999998</v>
      </c>
      <c r="R263" s="363">
        <f t="shared" si="470"/>
        <v>68.788933999999998</v>
      </c>
      <c r="S263" s="363">
        <f t="shared" ref="S263" si="472">SUM(S264:S280)</f>
        <v>68.769563000000005</v>
      </c>
      <c r="T263" s="363">
        <f t="shared" si="470"/>
        <v>0</v>
      </c>
      <c r="U263" s="364">
        <f t="shared" si="470"/>
        <v>0</v>
      </c>
      <c r="V263" s="572">
        <f t="shared" si="470"/>
        <v>-410.863496</v>
      </c>
      <c r="W263" s="347">
        <f t="shared" si="470"/>
        <v>-408.375744</v>
      </c>
      <c r="X263" s="363">
        <f t="shared" si="470"/>
        <v>-309.52261499999992</v>
      </c>
      <c r="Y263" s="365">
        <f t="shared" si="470"/>
        <v>-135.19999999999999</v>
      </c>
      <c r="Z263" s="365">
        <f t="shared" si="470"/>
        <v>-203.601079</v>
      </c>
      <c r="AA263" s="567">
        <f t="shared" si="470"/>
        <v>-293.60107899999997</v>
      </c>
      <c r="AB263" s="350">
        <f t="shared" si="470"/>
        <v>-227.910798</v>
      </c>
      <c r="AC263" s="363">
        <f t="shared" si="470"/>
        <v>-68.788933999999998</v>
      </c>
      <c r="AD263" s="365">
        <f t="shared" si="470"/>
        <v>0</v>
      </c>
      <c r="AE263" s="467">
        <f t="shared" si="470"/>
        <v>0</v>
      </c>
      <c r="AF263" s="467">
        <f t="shared" si="470"/>
        <v>-23.788934000000001</v>
      </c>
      <c r="AG263" s="467">
        <f t="shared" ref="AG263:AI263" si="473">SUM(AG264:AG280)</f>
        <v>-68.788933999999998</v>
      </c>
      <c r="AH263" s="467">
        <f t="shared" si="473"/>
        <v>-68.788933999999998</v>
      </c>
      <c r="AI263" s="347">
        <f t="shared" si="473"/>
        <v>-68.769563000000005</v>
      </c>
      <c r="AJ263" s="363">
        <f t="shared" si="470"/>
        <v>0</v>
      </c>
      <c r="AK263" s="365">
        <f t="shared" ref="AK263:AL263" si="474">SUM(AK264:AK280)</f>
        <v>0</v>
      </c>
      <c r="AL263" s="365">
        <f t="shared" si="474"/>
        <v>0</v>
      </c>
      <c r="AM263" s="365">
        <f t="shared" ref="AM263:AP263" si="475">SUM(AM264:AM280)</f>
        <v>0</v>
      </c>
      <c r="AN263" s="365">
        <f t="shared" ref="AN263" si="476">SUM(AN264:AN280)</f>
        <v>0</v>
      </c>
      <c r="AO263" s="364">
        <f t="shared" si="475"/>
        <v>0</v>
      </c>
      <c r="AP263" s="364">
        <f t="shared" si="475"/>
        <v>0</v>
      </c>
      <c r="AQ263" s="364">
        <f t="shared" si="470"/>
        <v>0</v>
      </c>
      <c r="AR263" s="347">
        <f t="shared" si="470"/>
        <v>0</v>
      </c>
      <c r="AS263" s="909">
        <f t="shared" si="470"/>
        <v>0</v>
      </c>
      <c r="AT263" s="348"/>
    </row>
    <row r="264" spans="1:46" ht="132" hidden="1" customHeight="1" outlineLevel="1" x14ac:dyDescent="0.35">
      <c r="A264" s="392">
        <v>1</v>
      </c>
      <c r="B264" s="620" t="s">
        <v>35</v>
      </c>
      <c r="C264" s="606" t="s">
        <v>35</v>
      </c>
      <c r="D264" s="262" t="s">
        <v>296</v>
      </c>
      <c r="E264" s="432" t="s">
        <v>295</v>
      </c>
      <c r="F264" s="480" t="s">
        <v>356</v>
      </c>
      <c r="G264" s="94" t="s">
        <v>23</v>
      </c>
      <c r="H264" s="310" t="s">
        <v>128</v>
      </c>
      <c r="I264" s="334"/>
      <c r="J264" s="283"/>
      <c r="K264" s="294">
        <f t="shared" ref="K264:K280" si="477">M264+P264+U264+R264+T264</f>
        <v>250</v>
      </c>
      <c r="L264" s="182">
        <f t="shared" ref="L264:N270" si="478">-V264</f>
        <v>250</v>
      </c>
      <c r="M264" s="80">
        <f>-W264</f>
        <v>250</v>
      </c>
      <c r="N264" s="80">
        <f>-X264</f>
        <v>0</v>
      </c>
      <c r="O264" s="80">
        <f t="shared" ref="O264:O280" si="479">-X264</f>
        <v>0</v>
      </c>
      <c r="P264" s="80">
        <f t="shared" ref="P264:P280" si="480">-AB264</f>
        <v>0</v>
      </c>
      <c r="Q264" s="80">
        <f t="shared" ref="Q264:Q280" si="481">-AC264</f>
        <v>0</v>
      </c>
      <c r="R264" s="80">
        <f t="shared" ref="R264:R270" si="482">-AC264</f>
        <v>0</v>
      </c>
      <c r="S264" s="80">
        <f t="shared" ref="S264:S280" si="483">-AI264</f>
        <v>0</v>
      </c>
      <c r="T264" s="80">
        <f t="shared" ref="T264:T270" si="484">-AJ264</f>
        <v>0</v>
      </c>
      <c r="U264" s="401">
        <f>-AQ264</f>
        <v>0</v>
      </c>
      <c r="V264" s="893">
        <v>-250</v>
      </c>
      <c r="W264" s="387">
        <v>-250</v>
      </c>
      <c r="X264" s="207">
        <v>0</v>
      </c>
      <c r="Y264" s="367">
        <v>0</v>
      </c>
      <c r="Z264" s="367">
        <v>0</v>
      </c>
      <c r="AA264" s="468">
        <v>0</v>
      </c>
      <c r="AB264" s="207">
        <v>0</v>
      </c>
      <c r="AC264" s="207">
        <v>0</v>
      </c>
      <c r="AD264" s="367">
        <v>0</v>
      </c>
      <c r="AE264" s="468">
        <v>0</v>
      </c>
      <c r="AF264" s="468">
        <v>0</v>
      </c>
      <c r="AG264" s="468">
        <v>0</v>
      </c>
      <c r="AH264" s="468">
        <v>0</v>
      </c>
      <c r="AI264" s="387">
        <v>0</v>
      </c>
      <c r="AJ264" s="207">
        <v>0</v>
      </c>
      <c r="AK264" s="367">
        <v>0</v>
      </c>
      <c r="AL264" s="367">
        <v>0</v>
      </c>
      <c r="AM264" s="367">
        <v>0</v>
      </c>
      <c r="AN264" s="367">
        <v>0</v>
      </c>
      <c r="AO264" s="295">
        <v>0</v>
      </c>
      <c r="AP264" s="295">
        <v>0</v>
      </c>
      <c r="AQ264" s="295">
        <v>0</v>
      </c>
      <c r="AR264" s="387">
        <v>0</v>
      </c>
      <c r="AS264" s="896">
        <f t="shared" ref="AS264:AS269" si="485">-AR264</f>
        <v>0</v>
      </c>
      <c r="AT264" s="408" t="s">
        <v>297</v>
      </c>
    </row>
    <row r="265" spans="1:46" ht="145" hidden="1" customHeight="1" outlineLevel="1" x14ac:dyDescent="0.35">
      <c r="A265" s="392">
        <v>2</v>
      </c>
      <c r="B265" s="620" t="s">
        <v>35</v>
      </c>
      <c r="C265" s="606" t="s">
        <v>35</v>
      </c>
      <c r="D265" s="263">
        <v>43915</v>
      </c>
      <c r="E265" s="432" t="s">
        <v>62</v>
      </c>
      <c r="F265" s="494" t="s">
        <v>65</v>
      </c>
      <c r="G265" s="80" t="s">
        <v>23</v>
      </c>
      <c r="H265" s="310" t="s">
        <v>128</v>
      </c>
      <c r="I265" s="334"/>
      <c r="J265" s="283"/>
      <c r="K265" s="294">
        <f t="shared" si="477"/>
        <v>6</v>
      </c>
      <c r="L265" s="182">
        <f t="shared" si="478"/>
        <v>6</v>
      </c>
      <c r="M265" s="80">
        <f t="shared" si="478"/>
        <v>6</v>
      </c>
      <c r="N265" s="80">
        <f t="shared" si="478"/>
        <v>0</v>
      </c>
      <c r="O265" s="80">
        <f t="shared" si="479"/>
        <v>0</v>
      </c>
      <c r="P265" s="80">
        <f t="shared" si="480"/>
        <v>0</v>
      </c>
      <c r="Q265" s="80">
        <f t="shared" si="481"/>
        <v>0</v>
      </c>
      <c r="R265" s="80">
        <f t="shared" si="482"/>
        <v>0</v>
      </c>
      <c r="S265" s="80">
        <f t="shared" si="483"/>
        <v>0</v>
      </c>
      <c r="T265" s="80">
        <f t="shared" si="484"/>
        <v>0</v>
      </c>
      <c r="U265" s="401">
        <f>-AQ265</f>
        <v>0</v>
      </c>
      <c r="V265" s="893">
        <v>-6</v>
      </c>
      <c r="W265" s="387">
        <v>-6</v>
      </c>
      <c r="X265" s="207">
        <v>0</v>
      </c>
      <c r="Y265" s="367">
        <v>0</v>
      </c>
      <c r="Z265" s="367">
        <v>0</v>
      </c>
      <c r="AA265" s="468">
        <v>0</v>
      </c>
      <c r="AB265" s="207">
        <v>0</v>
      </c>
      <c r="AC265" s="207">
        <v>0</v>
      </c>
      <c r="AD265" s="367">
        <v>0</v>
      </c>
      <c r="AE265" s="468">
        <v>0</v>
      </c>
      <c r="AF265" s="468">
        <v>0</v>
      </c>
      <c r="AG265" s="468">
        <v>0</v>
      </c>
      <c r="AH265" s="468">
        <v>0</v>
      </c>
      <c r="AI265" s="387">
        <v>0</v>
      </c>
      <c r="AJ265" s="207">
        <v>0</v>
      </c>
      <c r="AK265" s="367">
        <v>0</v>
      </c>
      <c r="AL265" s="367">
        <v>0</v>
      </c>
      <c r="AM265" s="367">
        <v>0</v>
      </c>
      <c r="AN265" s="367">
        <v>0</v>
      </c>
      <c r="AO265" s="295">
        <v>0</v>
      </c>
      <c r="AP265" s="295">
        <v>0</v>
      </c>
      <c r="AQ265" s="295">
        <v>0</v>
      </c>
      <c r="AR265" s="387">
        <v>0</v>
      </c>
      <c r="AS265" s="896">
        <f t="shared" si="485"/>
        <v>0</v>
      </c>
      <c r="AT265" s="408" t="s">
        <v>579</v>
      </c>
    </row>
    <row r="266" spans="1:46" ht="43.5" hidden="1" customHeight="1" outlineLevel="1" x14ac:dyDescent="0.35">
      <c r="A266" s="392">
        <v>3</v>
      </c>
      <c r="B266" s="620" t="s">
        <v>35</v>
      </c>
      <c r="C266" s="606" t="s">
        <v>35</v>
      </c>
      <c r="D266" s="263">
        <v>43944</v>
      </c>
      <c r="E266" s="432" t="s">
        <v>239</v>
      </c>
      <c r="F266" s="480" t="s">
        <v>227</v>
      </c>
      <c r="G266" s="80" t="s">
        <v>23</v>
      </c>
      <c r="H266" s="310" t="s">
        <v>128</v>
      </c>
      <c r="I266" s="334"/>
      <c r="J266" s="283"/>
      <c r="K266" s="294">
        <f t="shared" si="477"/>
        <v>4.5082990000000001</v>
      </c>
      <c r="L266" s="182">
        <f t="shared" si="478"/>
        <v>4.5082990000000001</v>
      </c>
      <c r="M266" s="80">
        <f t="shared" si="478"/>
        <v>4.5082990000000001</v>
      </c>
      <c r="N266" s="80">
        <f t="shared" si="478"/>
        <v>0</v>
      </c>
      <c r="O266" s="80">
        <f t="shared" si="479"/>
        <v>0</v>
      </c>
      <c r="P266" s="80">
        <f t="shared" si="480"/>
        <v>0</v>
      </c>
      <c r="Q266" s="80">
        <f t="shared" si="481"/>
        <v>0</v>
      </c>
      <c r="R266" s="80">
        <f t="shared" si="482"/>
        <v>0</v>
      </c>
      <c r="S266" s="80">
        <f t="shared" si="483"/>
        <v>0</v>
      </c>
      <c r="T266" s="80">
        <f t="shared" si="484"/>
        <v>0</v>
      </c>
      <c r="U266" s="401">
        <f>-AQ266</f>
        <v>0</v>
      </c>
      <c r="V266" s="893">
        <v>-4.5082990000000001</v>
      </c>
      <c r="W266" s="387">
        <v>-4.5082990000000001</v>
      </c>
      <c r="X266" s="207">
        <v>0</v>
      </c>
      <c r="Y266" s="367">
        <v>0</v>
      </c>
      <c r="Z266" s="367">
        <v>0</v>
      </c>
      <c r="AA266" s="468">
        <v>0</v>
      </c>
      <c r="AB266" s="207">
        <v>0</v>
      </c>
      <c r="AC266" s="207">
        <v>0</v>
      </c>
      <c r="AD266" s="367">
        <v>0</v>
      </c>
      <c r="AE266" s="468">
        <v>0</v>
      </c>
      <c r="AF266" s="468">
        <v>0</v>
      </c>
      <c r="AG266" s="468">
        <v>0</v>
      </c>
      <c r="AH266" s="468">
        <v>0</v>
      </c>
      <c r="AI266" s="387">
        <v>0</v>
      </c>
      <c r="AJ266" s="207">
        <v>0</v>
      </c>
      <c r="AK266" s="367">
        <v>0</v>
      </c>
      <c r="AL266" s="367">
        <v>0</v>
      </c>
      <c r="AM266" s="367">
        <v>0</v>
      </c>
      <c r="AN266" s="367">
        <v>0</v>
      </c>
      <c r="AO266" s="295">
        <v>0</v>
      </c>
      <c r="AP266" s="295">
        <v>0</v>
      </c>
      <c r="AQ266" s="295">
        <v>0</v>
      </c>
      <c r="AR266" s="387">
        <v>0</v>
      </c>
      <c r="AS266" s="896">
        <f t="shared" si="485"/>
        <v>0</v>
      </c>
      <c r="AT266" s="408" t="s">
        <v>187</v>
      </c>
    </row>
    <row r="267" spans="1:46" ht="72.650000000000006" hidden="1" customHeight="1" outlineLevel="1" x14ac:dyDescent="0.35">
      <c r="A267" s="392">
        <v>4</v>
      </c>
      <c r="B267" s="620" t="s">
        <v>35</v>
      </c>
      <c r="C267" s="606" t="s">
        <v>35</v>
      </c>
      <c r="D267" s="264" t="s">
        <v>1434</v>
      </c>
      <c r="E267" s="432" t="s">
        <v>1433</v>
      </c>
      <c r="F267" s="480" t="s">
        <v>155</v>
      </c>
      <c r="G267" s="80" t="s">
        <v>23</v>
      </c>
      <c r="H267" s="310" t="s">
        <v>128</v>
      </c>
      <c r="I267" s="334"/>
      <c r="J267" s="283"/>
      <c r="K267" s="294">
        <f t="shared" si="477"/>
        <v>35.229999999999997</v>
      </c>
      <c r="L267" s="182">
        <f t="shared" si="478"/>
        <v>0</v>
      </c>
      <c r="M267" s="80">
        <f t="shared" si="478"/>
        <v>0</v>
      </c>
      <c r="N267" s="80">
        <f t="shared" si="478"/>
        <v>35.229999999999997</v>
      </c>
      <c r="O267" s="80">
        <f t="shared" si="479"/>
        <v>35.229999999999997</v>
      </c>
      <c r="P267" s="80">
        <f t="shared" si="480"/>
        <v>35.229999999999997</v>
      </c>
      <c r="Q267" s="80">
        <f t="shared" si="481"/>
        <v>0</v>
      </c>
      <c r="R267" s="80">
        <f t="shared" si="482"/>
        <v>0</v>
      </c>
      <c r="S267" s="80">
        <f t="shared" si="483"/>
        <v>0</v>
      </c>
      <c r="T267" s="80">
        <f t="shared" si="484"/>
        <v>0</v>
      </c>
      <c r="U267" s="401">
        <f>-AQ267</f>
        <v>0</v>
      </c>
      <c r="V267" s="893">
        <v>0</v>
      </c>
      <c r="W267" s="387">
        <v>0</v>
      </c>
      <c r="X267" s="207">
        <v>-35.229999999999997</v>
      </c>
      <c r="Y267" s="367">
        <v>-35.200000000000003</v>
      </c>
      <c r="Z267" s="367">
        <v>-35.229999999999997</v>
      </c>
      <c r="AA267" s="468">
        <v>-35.229999999999997</v>
      </c>
      <c r="AB267" s="207">
        <v>-35.229999999999997</v>
      </c>
      <c r="AC267" s="207">
        <v>0</v>
      </c>
      <c r="AD267" s="367">
        <v>0</v>
      </c>
      <c r="AE267" s="468">
        <v>0</v>
      </c>
      <c r="AF267" s="468">
        <v>0</v>
      </c>
      <c r="AG267" s="468">
        <v>0</v>
      </c>
      <c r="AH267" s="468">
        <v>0</v>
      </c>
      <c r="AI267" s="387">
        <v>0</v>
      </c>
      <c r="AJ267" s="207">
        <v>0</v>
      </c>
      <c r="AK267" s="367">
        <v>0</v>
      </c>
      <c r="AL267" s="367">
        <v>0</v>
      </c>
      <c r="AM267" s="367">
        <v>0</v>
      </c>
      <c r="AN267" s="367">
        <v>0</v>
      </c>
      <c r="AO267" s="295">
        <v>0</v>
      </c>
      <c r="AP267" s="295">
        <v>0</v>
      </c>
      <c r="AQ267" s="295">
        <v>0</v>
      </c>
      <c r="AR267" s="387">
        <v>0</v>
      </c>
      <c r="AS267" s="896">
        <f t="shared" si="485"/>
        <v>0</v>
      </c>
      <c r="AT267" s="408" t="s">
        <v>1367</v>
      </c>
    </row>
    <row r="268" spans="1:46" ht="58.5" hidden="1" customHeight="1" outlineLevel="1" x14ac:dyDescent="0.35">
      <c r="A268" s="392">
        <v>5</v>
      </c>
      <c r="B268" s="620" t="s">
        <v>35</v>
      </c>
      <c r="C268" s="606" t="s">
        <v>35</v>
      </c>
      <c r="D268" s="263">
        <v>44279</v>
      </c>
      <c r="E268" s="432" t="s">
        <v>1343</v>
      </c>
      <c r="F268" s="480" t="s">
        <v>1221</v>
      </c>
      <c r="G268" s="80" t="s">
        <v>23</v>
      </c>
      <c r="H268" s="310" t="s">
        <v>127</v>
      </c>
      <c r="I268" s="334"/>
      <c r="J268" s="283"/>
      <c r="K268" s="294">
        <f t="shared" si="477"/>
        <v>1.8174589999999999</v>
      </c>
      <c r="L268" s="182">
        <f t="shared" ref="L268" si="486">-V268</f>
        <v>0</v>
      </c>
      <c r="M268" s="80">
        <f t="shared" ref="M268" si="487">-W268</f>
        <v>0</v>
      </c>
      <c r="N268" s="80">
        <f t="shared" ref="N268" si="488">-X268</f>
        <v>1.91916</v>
      </c>
      <c r="O268" s="80">
        <f t="shared" si="479"/>
        <v>1.91916</v>
      </c>
      <c r="P268" s="80">
        <f t="shared" si="480"/>
        <v>1.8174589999999999</v>
      </c>
      <c r="Q268" s="80">
        <f t="shared" si="481"/>
        <v>0</v>
      </c>
      <c r="R268" s="80">
        <f t="shared" si="482"/>
        <v>0</v>
      </c>
      <c r="S268" s="80">
        <f t="shared" si="483"/>
        <v>0</v>
      </c>
      <c r="T268" s="80">
        <f t="shared" ref="T268" si="489">-AJ268</f>
        <v>0</v>
      </c>
      <c r="U268" s="401">
        <f t="shared" ref="U268" si="490">-AQ268</f>
        <v>0</v>
      </c>
      <c r="V268" s="893">
        <v>0</v>
      </c>
      <c r="W268" s="387">
        <v>0</v>
      </c>
      <c r="X268" s="207">
        <v>-1.91916</v>
      </c>
      <c r="Y268" s="367">
        <v>0</v>
      </c>
      <c r="Z268" s="367">
        <v>-1.91916</v>
      </c>
      <c r="AA268" s="468">
        <v>-1.91916</v>
      </c>
      <c r="AB268" s="207">
        <f>-1.817459</f>
        <v>-1.8174589999999999</v>
      </c>
      <c r="AC268" s="207">
        <v>0</v>
      </c>
      <c r="AD268" s="367">
        <v>0</v>
      </c>
      <c r="AE268" s="468">
        <v>0</v>
      </c>
      <c r="AF268" s="468">
        <v>0</v>
      </c>
      <c r="AG268" s="468">
        <v>0</v>
      </c>
      <c r="AH268" s="468">
        <v>0</v>
      </c>
      <c r="AI268" s="387">
        <v>0</v>
      </c>
      <c r="AJ268" s="207">
        <v>0</v>
      </c>
      <c r="AK268" s="367">
        <v>0</v>
      </c>
      <c r="AL268" s="367">
        <v>0</v>
      </c>
      <c r="AM268" s="367">
        <v>0</v>
      </c>
      <c r="AN268" s="367">
        <v>0</v>
      </c>
      <c r="AO268" s="295">
        <v>0</v>
      </c>
      <c r="AP268" s="295">
        <v>0</v>
      </c>
      <c r="AQ268" s="295">
        <v>0</v>
      </c>
      <c r="AR268" s="387">
        <v>0</v>
      </c>
      <c r="AS268" s="896">
        <f t="shared" ref="AS268" si="491">-AR268</f>
        <v>0</v>
      </c>
      <c r="AT268" s="408" t="s">
        <v>1222</v>
      </c>
    </row>
    <row r="269" spans="1:46" ht="76.5" hidden="1" customHeight="1" outlineLevel="1" x14ac:dyDescent="0.35">
      <c r="A269" s="392">
        <v>6</v>
      </c>
      <c r="B269" s="620" t="s">
        <v>35</v>
      </c>
      <c r="C269" s="606" t="s">
        <v>35</v>
      </c>
      <c r="D269" s="86">
        <v>44431</v>
      </c>
      <c r="E269" s="432" t="s">
        <v>1591</v>
      </c>
      <c r="F269" s="480" t="s">
        <v>1589</v>
      </c>
      <c r="G269" s="80" t="s">
        <v>23</v>
      </c>
      <c r="H269" s="310" t="s">
        <v>128</v>
      </c>
      <c r="I269" s="334"/>
      <c r="J269" s="283"/>
      <c r="K269" s="294">
        <f t="shared" si="477"/>
        <v>45</v>
      </c>
      <c r="L269" s="182">
        <f t="shared" si="478"/>
        <v>0</v>
      </c>
      <c r="M269" s="80">
        <f t="shared" si="478"/>
        <v>0</v>
      </c>
      <c r="N269" s="80">
        <f t="shared" si="478"/>
        <v>90</v>
      </c>
      <c r="O269" s="80">
        <f t="shared" si="479"/>
        <v>90</v>
      </c>
      <c r="P269" s="80">
        <f t="shared" si="480"/>
        <v>45</v>
      </c>
      <c r="Q269" s="80">
        <f t="shared" si="481"/>
        <v>0</v>
      </c>
      <c r="R269" s="80">
        <f t="shared" si="482"/>
        <v>0</v>
      </c>
      <c r="S269" s="80">
        <f t="shared" si="483"/>
        <v>0</v>
      </c>
      <c r="T269" s="80">
        <f t="shared" si="484"/>
        <v>0</v>
      </c>
      <c r="U269" s="401">
        <f>-AQ269</f>
        <v>0</v>
      </c>
      <c r="V269" s="893">
        <v>0</v>
      </c>
      <c r="W269" s="387">
        <v>0</v>
      </c>
      <c r="X269" s="207">
        <f>-90</f>
        <v>-90</v>
      </c>
      <c r="Y269" s="367">
        <v>0</v>
      </c>
      <c r="Z269" s="367">
        <v>0</v>
      </c>
      <c r="AA269" s="468">
        <v>-90</v>
      </c>
      <c r="AB269" s="207">
        <v>-45</v>
      </c>
      <c r="AC269" s="207">
        <v>0</v>
      </c>
      <c r="AD269" s="367">
        <v>0</v>
      </c>
      <c r="AE269" s="468">
        <v>0</v>
      </c>
      <c r="AF269" s="468">
        <v>0</v>
      </c>
      <c r="AG269" s="468">
        <v>0</v>
      </c>
      <c r="AH269" s="468">
        <v>0</v>
      </c>
      <c r="AI269" s="387">
        <v>0</v>
      </c>
      <c r="AJ269" s="207">
        <v>0</v>
      </c>
      <c r="AK269" s="367">
        <v>0</v>
      </c>
      <c r="AL269" s="367">
        <v>0</v>
      </c>
      <c r="AM269" s="367">
        <v>0</v>
      </c>
      <c r="AN269" s="367">
        <v>0</v>
      </c>
      <c r="AO269" s="295">
        <v>0</v>
      </c>
      <c r="AP269" s="295">
        <v>0</v>
      </c>
      <c r="AQ269" s="295">
        <v>0</v>
      </c>
      <c r="AR269" s="387">
        <v>0</v>
      </c>
      <c r="AS269" s="896">
        <f t="shared" si="485"/>
        <v>0</v>
      </c>
      <c r="AT269" s="408" t="s">
        <v>1590</v>
      </c>
    </row>
    <row r="270" spans="1:46" ht="76.5" hidden="1" customHeight="1" outlineLevel="1" x14ac:dyDescent="0.35">
      <c r="A270" s="392">
        <v>7</v>
      </c>
      <c r="B270" s="612" t="s">
        <v>158</v>
      </c>
      <c r="C270" s="604" t="s">
        <v>158</v>
      </c>
      <c r="D270" s="63">
        <v>43950</v>
      </c>
      <c r="E270" s="432" t="s">
        <v>160</v>
      </c>
      <c r="F270" s="480" t="s">
        <v>157</v>
      </c>
      <c r="G270" s="71" t="s">
        <v>23</v>
      </c>
      <c r="H270" s="310" t="s">
        <v>171</v>
      </c>
      <c r="I270" s="334"/>
      <c r="J270" s="283"/>
      <c r="K270" s="294" cm="1">
        <f t="array" aca="1" ref="K270" ca="1">K270:AS270=M270+P270+U270+R270+T270</f>
        <v>0</v>
      </c>
      <c r="L270" s="20">
        <f t="shared" si="478"/>
        <v>75</v>
      </c>
      <c r="M270" s="95">
        <f>-W270</f>
        <v>72.512248</v>
      </c>
      <c r="N270" s="94">
        <f t="shared" si="478"/>
        <v>0</v>
      </c>
      <c r="O270" s="94">
        <f t="shared" ref="O270" si="492">-X270</f>
        <v>0</v>
      </c>
      <c r="P270" s="94">
        <f>-AB270</f>
        <v>0</v>
      </c>
      <c r="Q270" s="94">
        <f t="shared" si="481"/>
        <v>0</v>
      </c>
      <c r="R270" s="94">
        <f t="shared" si="482"/>
        <v>0</v>
      </c>
      <c r="S270" s="94">
        <f t="shared" si="483"/>
        <v>0</v>
      </c>
      <c r="T270" s="94">
        <f t="shared" si="484"/>
        <v>0</v>
      </c>
      <c r="U270" s="402">
        <f>-AQ270</f>
        <v>0</v>
      </c>
      <c r="V270" s="573">
        <v>-75</v>
      </c>
      <c r="W270" s="326">
        <v>-72.512248</v>
      </c>
      <c r="X270" s="207">
        <v>0</v>
      </c>
      <c r="Y270" s="367">
        <v>0</v>
      </c>
      <c r="Z270" s="367">
        <v>0</v>
      </c>
      <c r="AA270" s="468">
        <v>0</v>
      </c>
      <c r="AB270" s="207">
        <v>0</v>
      </c>
      <c r="AC270" s="207">
        <v>0</v>
      </c>
      <c r="AD270" s="367">
        <v>0</v>
      </c>
      <c r="AE270" s="468">
        <v>0</v>
      </c>
      <c r="AF270" s="468">
        <v>0</v>
      </c>
      <c r="AG270" s="468">
        <v>0</v>
      </c>
      <c r="AH270" s="468">
        <v>0</v>
      </c>
      <c r="AI270" s="387">
        <v>0</v>
      </c>
      <c r="AJ270" s="207">
        <v>0</v>
      </c>
      <c r="AK270" s="367">
        <v>0</v>
      </c>
      <c r="AL270" s="367">
        <v>0</v>
      </c>
      <c r="AM270" s="367">
        <v>0</v>
      </c>
      <c r="AN270" s="367">
        <v>0</v>
      </c>
      <c r="AO270" s="295">
        <v>0</v>
      </c>
      <c r="AP270" s="295">
        <v>0</v>
      </c>
      <c r="AQ270" s="295">
        <v>0</v>
      </c>
      <c r="AR270" s="387">
        <v>0</v>
      </c>
      <c r="AS270" s="896">
        <f>-AR270</f>
        <v>0</v>
      </c>
      <c r="AT270" s="408" t="s">
        <v>159</v>
      </c>
    </row>
    <row r="271" spans="1:46" ht="87" hidden="1" customHeight="1" outlineLevel="1" x14ac:dyDescent="0.35">
      <c r="A271" s="392">
        <v>8</v>
      </c>
      <c r="B271" s="612" t="s">
        <v>158</v>
      </c>
      <c r="C271" s="604" t="s">
        <v>158</v>
      </c>
      <c r="D271" s="63">
        <v>44277</v>
      </c>
      <c r="E271" s="432" t="s">
        <v>1340</v>
      </c>
      <c r="F271" s="480" t="s">
        <v>1215</v>
      </c>
      <c r="G271" s="71" t="s">
        <v>23</v>
      </c>
      <c r="H271" s="310" t="s">
        <v>171</v>
      </c>
      <c r="I271" s="334"/>
      <c r="J271" s="283"/>
      <c r="K271" s="294">
        <f t="shared" si="477"/>
        <v>35.839587999999999</v>
      </c>
      <c r="L271" s="20">
        <f t="shared" ref="L271:N276" si="493">-V271</f>
        <v>0</v>
      </c>
      <c r="M271" s="95">
        <f t="shared" si="493"/>
        <v>0</v>
      </c>
      <c r="N271" s="94">
        <f t="shared" si="493"/>
        <v>55</v>
      </c>
      <c r="O271" s="94">
        <f t="shared" si="479"/>
        <v>55</v>
      </c>
      <c r="P271" s="94">
        <f t="shared" si="480"/>
        <v>35.839587999999999</v>
      </c>
      <c r="Q271" s="94">
        <f t="shared" si="481"/>
        <v>0</v>
      </c>
      <c r="R271" s="94">
        <f t="shared" ref="R271:R277" si="494">-AC271</f>
        <v>0</v>
      </c>
      <c r="S271" s="94">
        <f t="shared" si="483"/>
        <v>0</v>
      </c>
      <c r="T271" s="94">
        <f t="shared" ref="T271:T277" si="495">-AJ271</f>
        <v>0</v>
      </c>
      <c r="U271" s="402">
        <f>-AQ271</f>
        <v>0</v>
      </c>
      <c r="V271" s="573">
        <v>0</v>
      </c>
      <c r="W271" s="326">
        <v>0</v>
      </c>
      <c r="X271" s="207">
        <v>-55</v>
      </c>
      <c r="Y271" s="367">
        <v>0</v>
      </c>
      <c r="Z271" s="367">
        <v>-55</v>
      </c>
      <c r="AA271" s="468">
        <v>-55</v>
      </c>
      <c r="AB271" s="207">
        <v>-35.839587999999999</v>
      </c>
      <c r="AC271" s="207">
        <v>0</v>
      </c>
      <c r="AD271" s="367">
        <v>0</v>
      </c>
      <c r="AE271" s="468">
        <v>0</v>
      </c>
      <c r="AF271" s="468">
        <v>0</v>
      </c>
      <c r="AG271" s="468">
        <v>0</v>
      </c>
      <c r="AH271" s="468">
        <v>0</v>
      </c>
      <c r="AI271" s="387">
        <v>0</v>
      </c>
      <c r="AJ271" s="207">
        <v>0</v>
      </c>
      <c r="AK271" s="367">
        <v>0</v>
      </c>
      <c r="AL271" s="367">
        <v>0</v>
      </c>
      <c r="AM271" s="367">
        <v>0</v>
      </c>
      <c r="AN271" s="367">
        <v>0</v>
      </c>
      <c r="AO271" s="295">
        <v>0</v>
      </c>
      <c r="AP271" s="295">
        <v>0</v>
      </c>
      <c r="AQ271" s="295">
        <v>0</v>
      </c>
      <c r="AR271" s="387">
        <v>0</v>
      </c>
      <c r="AS271" s="896">
        <f t="shared" ref="AS271:AS272" si="496">-AR271</f>
        <v>0</v>
      </c>
      <c r="AT271" s="408" t="s">
        <v>1216</v>
      </c>
    </row>
    <row r="272" spans="1:46" ht="43.5" hidden="1" customHeight="1" outlineLevel="1" x14ac:dyDescent="0.35">
      <c r="A272" s="392">
        <v>9</v>
      </c>
      <c r="B272" s="612" t="s">
        <v>158</v>
      </c>
      <c r="C272" s="604" t="s">
        <v>158</v>
      </c>
      <c r="D272" s="63">
        <v>44295</v>
      </c>
      <c r="E272" s="432" t="s">
        <v>1339</v>
      </c>
      <c r="F272" s="480" t="s">
        <v>1218</v>
      </c>
      <c r="G272" s="71" t="s">
        <v>23</v>
      </c>
      <c r="H272" s="310" t="s">
        <v>171</v>
      </c>
      <c r="I272" s="334"/>
      <c r="J272" s="283"/>
      <c r="K272" s="294">
        <f t="shared" si="477"/>
        <v>90.611063999999999</v>
      </c>
      <c r="L272" s="20">
        <f t="shared" si="493"/>
        <v>0</v>
      </c>
      <c r="M272" s="95">
        <f t="shared" si="493"/>
        <v>0</v>
      </c>
      <c r="N272" s="94">
        <f t="shared" si="493"/>
        <v>100</v>
      </c>
      <c r="O272" s="94">
        <f t="shared" si="479"/>
        <v>100</v>
      </c>
      <c r="P272" s="94">
        <f t="shared" si="480"/>
        <v>90.611063999999999</v>
      </c>
      <c r="Q272" s="94">
        <f t="shared" si="481"/>
        <v>0</v>
      </c>
      <c r="R272" s="94">
        <f t="shared" si="494"/>
        <v>0</v>
      </c>
      <c r="S272" s="94">
        <f t="shared" si="483"/>
        <v>0</v>
      </c>
      <c r="T272" s="94">
        <f t="shared" si="495"/>
        <v>0</v>
      </c>
      <c r="U272" s="402">
        <f>-AQ272</f>
        <v>0</v>
      </c>
      <c r="V272" s="573">
        <v>0</v>
      </c>
      <c r="W272" s="326">
        <v>0</v>
      </c>
      <c r="X272" s="207">
        <v>-100</v>
      </c>
      <c r="Y272" s="367">
        <v>-100</v>
      </c>
      <c r="Z272" s="367">
        <v>-100</v>
      </c>
      <c r="AA272" s="468">
        <v>-100</v>
      </c>
      <c r="AB272" s="895">
        <v>-90.611063999999999</v>
      </c>
      <c r="AC272" s="207">
        <v>0</v>
      </c>
      <c r="AD272" s="367">
        <v>0</v>
      </c>
      <c r="AE272" s="468">
        <v>0</v>
      </c>
      <c r="AF272" s="468">
        <v>0</v>
      </c>
      <c r="AG272" s="468">
        <v>0</v>
      </c>
      <c r="AH272" s="468">
        <v>0</v>
      </c>
      <c r="AI272" s="917">
        <v>0</v>
      </c>
      <c r="AJ272" s="207">
        <v>0</v>
      </c>
      <c r="AK272" s="367">
        <v>0</v>
      </c>
      <c r="AL272" s="367">
        <v>0</v>
      </c>
      <c r="AM272" s="367">
        <v>0</v>
      </c>
      <c r="AN272" s="367">
        <v>0</v>
      </c>
      <c r="AO272" s="295">
        <v>0</v>
      </c>
      <c r="AP272" s="295">
        <v>0</v>
      </c>
      <c r="AQ272" s="295">
        <v>0</v>
      </c>
      <c r="AR272" s="917">
        <v>0</v>
      </c>
      <c r="AS272" s="896">
        <f t="shared" si="496"/>
        <v>0</v>
      </c>
      <c r="AT272" s="408" t="s">
        <v>1219</v>
      </c>
    </row>
    <row r="273" spans="1:46" ht="87" hidden="1" customHeight="1" outlineLevel="1" x14ac:dyDescent="0.35">
      <c r="A273" s="392">
        <v>10</v>
      </c>
      <c r="B273" s="612" t="s">
        <v>158</v>
      </c>
      <c r="C273" s="604" t="s">
        <v>158</v>
      </c>
      <c r="D273" s="63">
        <v>44705</v>
      </c>
      <c r="E273" s="432" t="s">
        <v>2108</v>
      </c>
      <c r="F273" s="480" t="s">
        <v>1218</v>
      </c>
      <c r="G273" s="71" t="s">
        <v>23</v>
      </c>
      <c r="H273" s="310" t="s">
        <v>171</v>
      </c>
      <c r="I273" s="334"/>
      <c r="J273" s="283"/>
      <c r="K273" s="294">
        <f t="shared" si="477"/>
        <v>23.788934000000001</v>
      </c>
      <c r="L273" s="20">
        <f t="shared" ref="L273" si="497">-V273</f>
        <v>0</v>
      </c>
      <c r="M273" s="95">
        <f t="shared" ref="M273" si="498">-W273</f>
        <v>0</v>
      </c>
      <c r="N273" s="94">
        <f t="shared" ref="N273" si="499">-X273</f>
        <v>0</v>
      </c>
      <c r="O273" s="94">
        <f t="shared" si="479"/>
        <v>0</v>
      </c>
      <c r="P273" s="94">
        <f t="shared" si="480"/>
        <v>0</v>
      </c>
      <c r="Q273" s="94">
        <f t="shared" si="481"/>
        <v>23.788934000000001</v>
      </c>
      <c r="R273" s="94">
        <f>-AC273</f>
        <v>23.788934000000001</v>
      </c>
      <c r="S273" s="94">
        <f t="shared" si="483"/>
        <v>23.769563000000002</v>
      </c>
      <c r="T273" s="94">
        <f t="shared" ref="T273" si="500">-AJ273</f>
        <v>0</v>
      </c>
      <c r="U273" s="402">
        <f t="shared" ref="U273" si="501">-AQ273</f>
        <v>0</v>
      </c>
      <c r="V273" s="573">
        <v>0</v>
      </c>
      <c r="W273" s="326">
        <v>0</v>
      </c>
      <c r="X273" s="207">
        <v>0</v>
      </c>
      <c r="Y273" s="367">
        <v>0</v>
      </c>
      <c r="Z273" s="367">
        <v>0</v>
      </c>
      <c r="AA273" s="468">
        <v>0</v>
      </c>
      <c r="AB273" s="895">
        <v>0</v>
      </c>
      <c r="AC273" s="207">
        <v>-23.788934000000001</v>
      </c>
      <c r="AD273" s="367">
        <v>0</v>
      </c>
      <c r="AE273" s="468">
        <v>0</v>
      </c>
      <c r="AF273" s="468">
        <v>-23.788934000000001</v>
      </c>
      <c r="AG273" s="468">
        <v>-23.788934000000001</v>
      </c>
      <c r="AH273" s="468">
        <v>-23.788934000000001</v>
      </c>
      <c r="AI273" s="623">
        <f>-23.769563</f>
        <v>-23.769563000000002</v>
      </c>
      <c r="AJ273" s="207">
        <v>0</v>
      </c>
      <c r="AK273" s="367">
        <v>0</v>
      </c>
      <c r="AL273" s="367">
        <v>0</v>
      </c>
      <c r="AM273" s="367">
        <v>0</v>
      </c>
      <c r="AN273" s="367">
        <v>0</v>
      </c>
      <c r="AO273" s="295">
        <v>0</v>
      </c>
      <c r="AP273" s="295">
        <v>0</v>
      </c>
      <c r="AQ273" s="295">
        <v>0</v>
      </c>
      <c r="AR273" s="623">
        <v>0</v>
      </c>
      <c r="AS273" s="896">
        <f t="shared" ref="AS273" si="502">-AR273</f>
        <v>0</v>
      </c>
      <c r="AT273" s="408" t="s">
        <v>1913</v>
      </c>
    </row>
    <row r="274" spans="1:46" ht="159.65" hidden="1" customHeight="1" outlineLevel="1" x14ac:dyDescent="0.35">
      <c r="A274" s="392">
        <v>11</v>
      </c>
      <c r="B274" s="612" t="s">
        <v>221</v>
      </c>
      <c r="C274" s="604" t="s">
        <v>221</v>
      </c>
      <c r="D274" s="63" t="s">
        <v>299</v>
      </c>
      <c r="E274" s="440" t="s">
        <v>348</v>
      </c>
      <c r="F274" s="480" t="s">
        <v>300</v>
      </c>
      <c r="G274" s="242" t="s">
        <v>23</v>
      </c>
      <c r="H274" s="310" t="s">
        <v>131</v>
      </c>
      <c r="I274" s="334"/>
      <c r="J274" s="283"/>
      <c r="K274" s="294">
        <f t="shared" si="477"/>
        <v>6.3417579999999996</v>
      </c>
      <c r="L274" s="20">
        <f t="shared" si="493"/>
        <v>6.3417579999999996</v>
      </c>
      <c r="M274" s="95">
        <f t="shared" si="493"/>
        <v>6.3417579999999996</v>
      </c>
      <c r="N274" s="94">
        <f t="shared" si="493"/>
        <v>0</v>
      </c>
      <c r="O274" s="94">
        <f t="shared" si="479"/>
        <v>0</v>
      </c>
      <c r="P274" s="94">
        <f t="shared" si="480"/>
        <v>0</v>
      </c>
      <c r="Q274" s="94">
        <f t="shared" si="481"/>
        <v>0</v>
      </c>
      <c r="R274" s="94">
        <f t="shared" si="494"/>
        <v>0</v>
      </c>
      <c r="S274" s="94">
        <f t="shared" si="483"/>
        <v>0</v>
      </c>
      <c r="T274" s="94">
        <f t="shared" si="495"/>
        <v>0</v>
      </c>
      <c r="U274" s="402">
        <f>-AQ274</f>
        <v>0</v>
      </c>
      <c r="V274" s="573">
        <v>-6.3417579999999996</v>
      </c>
      <c r="W274" s="326">
        <v>-6.3417579999999996</v>
      </c>
      <c r="X274" s="207">
        <v>0</v>
      </c>
      <c r="Y274" s="367">
        <v>0</v>
      </c>
      <c r="Z274" s="367">
        <v>0</v>
      </c>
      <c r="AA274" s="468">
        <v>0</v>
      </c>
      <c r="AB274" s="207">
        <v>0</v>
      </c>
      <c r="AC274" s="207">
        <v>0</v>
      </c>
      <c r="AD274" s="367">
        <v>0</v>
      </c>
      <c r="AE274" s="468">
        <v>0</v>
      </c>
      <c r="AF274" s="468">
        <v>0</v>
      </c>
      <c r="AG274" s="468">
        <v>0</v>
      </c>
      <c r="AH274" s="468">
        <v>0</v>
      </c>
      <c r="AI274" s="387">
        <v>0</v>
      </c>
      <c r="AJ274" s="207">
        <v>0</v>
      </c>
      <c r="AK274" s="367">
        <v>0</v>
      </c>
      <c r="AL274" s="367">
        <v>0</v>
      </c>
      <c r="AM274" s="367">
        <v>0</v>
      </c>
      <c r="AN274" s="367">
        <v>0</v>
      </c>
      <c r="AO274" s="295">
        <v>0</v>
      </c>
      <c r="AP274" s="295">
        <v>0</v>
      </c>
      <c r="AQ274" s="295">
        <v>0</v>
      </c>
      <c r="AR274" s="387">
        <v>0</v>
      </c>
      <c r="AS274" s="896">
        <f>-AR274</f>
        <v>0</v>
      </c>
      <c r="AT274" s="1178" t="s">
        <v>338</v>
      </c>
    </row>
    <row r="275" spans="1:46" ht="130.5" hidden="1" customHeight="1" outlineLevel="1" x14ac:dyDescent="0.35">
      <c r="A275" s="392">
        <v>12</v>
      </c>
      <c r="B275" s="612" t="s">
        <v>221</v>
      </c>
      <c r="C275" s="604" t="s">
        <v>221</v>
      </c>
      <c r="D275" s="63" t="s">
        <v>299</v>
      </c>
      <c r="E275" s="432" t="s">
        <v>349</v>
      </c>
      <c r="F275" s="480" t="s">
        <v>301</v>
      </c>
      <c r="G275" s="242" t="s">
        <v>23</v>
      </c>
      <c r="H275" s="310" t="s">
        <v>127</v>
      </c>
      <c r="I275" s="334"/>
      <c r="J275" s="283"/>
      <c r="K275" s="294">
        <f t="shared" si="477"/>
        <v>27.236225999999998</v>
      </c>
      <c r="L275" s="20">
        <f t="shared" si="493"/>
        <v>27.236225999999998</v>
      </c>
      <c r="M275" s="95">
        <f t="shared" si="493"/>
        <v>27.236225999999998</v>
      </c>
      <c r="N275" s="94">
        <f t="shared" si="493"/>
        <v>0</v>
      </c>
      <c r="O275" s="94">
        <f t="shared" si="479"/>
        <v>0</v>
      </c>
      <c r="P275" s="94">
        <f t="shared" si="480"/>
        <v>0</v>
      </c>
      <c r="Q275" s="94">
        <f t="shared" si="481"/>
        <v>0</v>
      </c>
      <c r="R275" s="94">
        <f t="shared" si="494"/>
        <v>0</v>
      </c>
      <c r="S275" s="94">
        <f t="shared" si="483"/>
        <v>0</v>
      </c>
      <c r="T275" s="94">
        <f t="shared" si="495"/>
        <v>0</v>
      </c>
      <c r="U275" s="402">
        <f>-AQ275</f>
        <v>0</v>
      </c>
      <c r="V275" s="573">
        <v>-27.236225999999998</v>
      </c>
      <c r="W275" s="326">
        <v>-27.236225999999998</v>
      </c>
      <c r="X275" s="207">
        <v>0</v>
      </c>
      <c r="Y275" s="367">
        <v>0</v>
      </c>
      <c r="Z275" s="367">
        <v>0</v>
      </c>
      <c r="AA275" s="468">
        <v>0</v>
      </c>
      <c r="AB275" s="207">
        <v>0</v>
      </c>
      <c r="AC275" s="207">
        <v>0</v>
      </c>
      <c r="AD275" s="367">
        <v>0</v>
      </c>
      <c r="AE275" s="468">
        <v>0</v>
      </c>
      <c r="AF275" s="468">
        <v>0</v>
      </c>
      <c r="AG275" s="468">
        <v>0</v>
      </c>
      <c r="AH275" s="468">
        <v>0</v>
      </c>
      <c r="AI275" s="387">
        <v>0</v>
      </c>
      <c r="AJ275" s="207">
        <v>0</v>
      </c>
      <c r="AK275" s="367">
        <v>0</v>
      </c>
      <c r="AL275" s="367">
        <v>0</v>
      </c>
      <c r="AM275" s="367">
        <v>0</v>
      </c>
      <c r="AN275" s="367">
        <v>0</v>
      </c>
      <c r="AO275" s="295">
        <v>0</v>
      </c>
      <c r="AP275" s="295">
        <v>0</v>
      </c>
      <c r="AQ275" s="295">
        <v>0</v>
      </c>
      <c r="AR275" s="387">
        <v>0</v>
      </c>
      <c r="AS275" s="896">
        <f>-AR275</f>
        <v>0</v>
      </c>
      <c r="AT275" s="1178"/>
    </row>
    <row r="276" spans="1:46" ht="87" hidden="1" customHeight="1" outlineLevel="1" x14ac:dyDescent="0.35">
      <c r="A276" s="392">
        <v>13</v>
      </c>
      <c r="B276" s="612" t="s">
        <v>221</v>
      </c>
      <c r="C276" s="604" t="s">
        <v>221</v>
      </c>
      <c r="D276" s="63" t="s">
        <v>299</v>
      </c>
      <c r="E276" s="432" t="s">
        <v>350</v>
      </c>
      <c r="F276" s="480" t="s">
        <v>302</v>
      </c>
      <c r="G276" s="242" t="s">
        <v>23</v>
      </c>
      <c r="H276" s="310" t="s">
        <v>128</v>
      </c>
      <c r="I276" s="334"/>
      <c r="J276" s="283"/>
      <c r="K276" s="294">
        <f t="shared" si="477"/>
        <v>32.422015999999999</v>
      </c>
      <c r="L276" s="20">
        <f t="shared" si="493"/>
        <v>32.422015999999999</v>
      </c>
      <c r="M276" s="95">
        <f t="shared" si="493"/>
        <v>32.422015999999999</v>
      </c>
      <c r="N276" s="94">
        <f t="shared" si="493"/>
        <v>0</v>
      </c>
      <c r="O276" s="94">
        <f t="shared" si="479"/>
        <v>0</v>
      </c>
      <c r="P276" s="94">
        <f t="shared" si="480"/>
        <v>0</v>
      </c>
      <c r="Q276" s="94">
        <f t="shared" si="481"/>
        <v>0</v>
      </c>
      <c r="R276" s="94">
        <f t="shared" si="494"/>
        <v>0</v>
      </c>
      <c r="S276" s="94">
        <f t="shared" si="483"/>
        <v>0</v>
      </c>
      <c r="T276" s="94">
        <f t="shared" si="495"/>
        <v>0</v>
      </c>
      <c r="U276" s="402">
        <f>-AQ276</f>
        <v>0</v>
      </c>
      <c r="V276" s="573">
        <v>-32.422015999999999</v>
      </c>
      <c r="W276" s="326">
        <v>-32.422015999999999</v>
      </c>
      <c r="X276" s="207">
        <v>0</v>
      </c>
      <c r="Y276" s="367">
        <v>0</v>
      </c>
      <c r="Z276" s="367">
        <v>0</v>
      </c>
      <c r="AA276" s="468">
        <v>0</v>
      </c>
      <c r="AB276" s="207">
        <v>0</v>
      </c>
      <c r="AC276" s="207">
        <v>0</v>
      </c>
      <c r="AD276" s="367">
        <v>0</v>
      </c>
      <c r="AE276" s="468">
        <v>0</v>
      </c>
      <c r="AF276" s="468">
        <v>0</v>
      </c>
      <c r="AG276" s="468">
        <v>0</v>
      </c>
      <c r="AH276" s="468">
        <v>0</v>
      </c>
      <c r="AI276" s="387">
        <v>0</v>
      </c>
      <c r="AJ276" s="207">
        <v>0</v>
      </c>
      <c r="AK276" s="367">
        <v>0</v>
      </c>
      <c r="AL276" s="367">
        <v>0</v>
      </c>
      <c r="AM276" s="367">
        <v>0</v>
      </c>
      <c r="AN276" s="367">
        <v>0</v>
      </c>
      <c r="AO276" s="295">
        <v>0</v>
      </c>
      <c r="AP276" s="295">
        <v>0</v>
      </c>
      <c r="AQ276" s="295">
        <v>0</v>
      </c>
      <c r="AR276" s="387">
        <v>0</v>
      </c>
      <c r="AS276" s="896">
        <f>-AR276</f>
        <v>0</v>
      </c>
      <c r="AT276" s="1178"/>
    </row>
    <row r="277" spans="1:46" ht="87" hidden="1" customHeight="1" outlineLevel="1" x14ac:dyDescent="0.35">
      <c r="A277" s="392">
        <v>14</v>
      </c>
      <c r="B277" s="612" t="s">
        <v>221</v>
      </c>
      <c r="C277" s="604" t="s">
        <v>221</v>
      </c>
      <c r="D277" s="63" t="s">
        <v>414</v>
      </c>
      <c r="E277" s="432" t="s">
        <v>603</v>
      </c>
      <c r="F277" s="480" t="s">
        <v>413</v>
      </c>
      <c r="G277" s="242" t="s">
        <v>23</v>
      </c>
      <c r="H277" s="310" t="s">
        <v>127</v>
      </c>
      <c r="I277" s="334"/>
      <c r="J277" s="283"/>
      <c r="K277" s="294">
        <f t="shared" si="477"/>
        <v>9.3551970000000004</v>
      </c>
      <c r="L277" s="20">
        <f t="shared" ref="L277:L278" si="503">-V277</f>
        <v>9.3551970000000004</v>
      </c>
      <c r="M277" s="95">
        <f t="shared" ref="M277:M278" si="504">-W277</f>
        <v>9.3551970000000004</v>
      </c>
      <c r="N277" s="94">
        <f t="shared" ref="N277:N278" si="505">-X277</f>
        <v>0</v>
      </c>
      <c r="O277" s="94">
        <f t="shared" si="479"/>
        <v>0</v>
      </c>
      <c r="P277" s="94">
        <f t="shared" si="480"/>
        <v>0</v>
      </c>
      <c r="Q277" s="94">
        <f t="shared" si="481"/>
        <v>0</v>
      </c>
      <c r="R277" s="94">
        <f t="shared" si="494"/>
        <v>0</v>
      </c>
      <c r="S277" s="94">
        <f t="shared" si="483"/>
        <v>0</v>
      </c>
      <c r="T277" s="94">
        <f t="shared" si="495"/>
        <v>0</v>
      </c>
      <c r="U277" s="402">
        <f>-AQ277</f>
        <v>0</v>
      </c>
      <c r="V277" s="573">
        <v>-9.3551970000000004</v>
      </c>
      <c r="W277" s="326">
        <v>-9.3551970000000004</v>
      </c>
      <c r="X277" s="207">
        <v>0</v>
      </c>
      <c r="Y277" s="367">
        <v>0</v>
      </c>
      <c r="Z277" s="367">
        <v>0</v>
      </c>
      <c r="AA277" s="468">
        <v>0</v>
      </c>
      <c r="AB277" s="207">
        <v>0</v>
      </c>
      <c r="AC277" s="207">
        <v>0</v>
      </c>
      <c r="AD277" s="367">
        <v>0</v>
      </c>
      <c r="AE277" s="468">
        <v>0</v>
      </c>
      <c r="AF277" s="468">
        <v>0</v>
      </c>
      <c r="AG277" s="468">
        <v>0</v>
      </c>
      <c r="AH277" s="468">
        <v>0</v>
      </c>
      <c r="AI277" s="387">
        <v>0</v>
      </c>
      <c r="AJ277" s="207">
        <v>0</v>
      </c>
      <c r="AK277" s="367">
        <v>0</v>
      </c>
      <c r="AL277" s="367">
        <v>0</v>
      </c>
      <c r="AM277" s="367">
        <v>0</v>
      </c>
      <c r="AN277" s="367">
        <v>0</v>
      </c>
      <c r="AO277" s="295">
        <v>0</v>
      </c>
      <c r="AP277" s="295">
        <v>0</v>
      </c>
      <c r="AQ277" s="295">
        <v>0</v>
      </c>
      <c r="AR277" s="387">
        <v>0</v>
      </c>
      <c r="AS277" s="896">
        <f t="shared" ref="AS277:AS278" si="506">-AR277</f>
        <v>0</v>
      </c>
      <c r="AT277" s="408" t="s">
        <v>412</v>
      </c>
    </row>
    <row r="278" spans="1:46" ht="101.5" hidden="1" customHeight="1" outlineLevel="1" x14ac:dyDescent="0.35">
      <c r="A278" s="392">
        <v>15</v>
      </c>
      <c r="B278" s="612" t="s">
        <v>221</v>
      </c>
      <c r="C278" s="604" t="s">
        <v>221</v>
      </c>
      <c r="D278" s="63">
        <v>44343</v>
      </c>
      <c r="E278" s="432" t="s">
        <v>1437</v>
      </c>
      <c r="F278" s="480" t="s">
        <v>1436</v>
      </c>
      <c r="G278" s="242" t="s">
        <v>23</v>
      </c>
      <c r="H278" s="310" t="s">
        <v>127</v>
      </c>
      <c r="I278" s="334"/>
      <c r="J278" s="283"/>
      <c r="K278" s="294">
        <f t="shared" si="477"/>
        <v>11.451919</v>
      </c>
      <c r="L278" s="20">
        <f t="shared" si="503"/>
        <v>0</v>
      </c>
      <c r="M278" s="95">
        <f t="shared" si="504"/>
        <v>0</v>
      </c>
      <c r="N278" s="94">
        <f t="shared" si="505"/>
        <v>11.451919</v>
      </c>
      <c r="O278" s="94">
        <f t="shared" si="479"/>
        <v>11.451919</v>
      </c>
      <c r="P278" s="94">
        <f t="shared" si="480"/>
        <v>11.451919</v>
      </c>
      <c r="Q278" s="94">
        <f t="shared" si="481"/>
        <v>0</v>
      </c>
      <c r="R278" s="94">
        <f t="shared" ref="R278" si="507">-AC278</f>
        <v>0</v>
      </c>
      <c r="S278" s="94">
        <f t="shared" si="483"/>
        <v>0</v>
      </c>
      <c r="T278" s="94">
        <f t="shared" ref="T278" si="508">-AJ278</f>
        <v>0</v>
      </c>
      <c r="U278" s="402">
        <f t="shared" ref="U278" si="509">-AQ278</f>
        <v>0</v>
      </c>
      <c r="V278" s="573">
        <v>0</v>
      </c>
      <c r="W278" s="326">
        <v>0</v>
      </c>
      <c r="X278" s="207">
        <v>-11.451919</v>
      </c>
      <c r="Y278" s="367">
        <v>0</v>
      </c>
      <c r="Z278" s="367">
        <v>-11.451919</v>
      </c>
      <c r="AA278" s="468">
        <v>-11.451919</v>
      </c>
      <c r="AB278" s="207">
        <v>-11.451919</v>
      </c>
      <c r="AC278" s="207">
        <v>0</v>
      </c>
      <c r="AD278" s="367">
        <v>0</v>
      </c>
      <c r="AE278" s="468">
        <v>0</v>
      </c>
      <c r="AF278" s="468">
        <v>0</v>
      </c>
      <c r="AG278" s="468">
        <v>0</v>
      </c>
      <c r="AH278" s="468">
        <v>0</v>
      </c>
      <c r="AI278" s="387">
        <v>0</v>
      </c>
      <c r="AJ278" s="207">
        <v>0</v>
      </c>
      <c r="AK278" s="367">
        <v>0</v>
      </c>
      <c r="AL278" s="367">
        <v>0</v>
      </c>
      <c r="AM278" s="367">
        <v>0</v>
      </c>
      <c r="AN278" s="367">
        <v>0</v>
      </c>
      <c r="AO278" s="295">
        <v>0</v>
      </c>
      <c r="AP278" s="295">
        <v>0</v>
      </c>
      <c r="AQ278" s="295">
        <v>0</v>
      </c>
      <c r="AR278" s="387">
        <v>0</v>
      </c>
      <c r="AS278" s="896">
        <f t="shared" si="506"/>
        <v>0</v>
      </c>
      <c r="AT278" s="408" t="s">
        <v>1426</v>
      </c>
    </row>
    <row r="279" spans="1:46" ht="161.5" hidden="1" customHeight="1" outlineLevel="1" x14ac:dyDescent="0.35">
      <c r="A279" s="392">
        <v>16</v>
      </c>
      <c r="B279" s="612" t="s">
        <v>221</v>
      </c>
      <c r="C279" s="604" t="s">
        <v>221</v>
      </c>
      <c r="D279" s="276">
        <v>44502</v>
      </c>
      <c r="E279" s="432" t="s">
        <v>1700</v>
      </c>
      <c r="F279" s="480" t="s">
        <v>1697</v>
      </c>
      <c r="G279" s="242" t="s">
        <v>23</v>
      </c>
      <c r="H279" s="310" t="s">
        <v>127</v>
      </c>
      <c r="I279" s="334"/>
      <c r="J279" s="283"/>
      <c r="K279" s="294">
        <f t="shared" ref="K279" si="510">M279+P279+U279+R279+T279</f>
        <v>7.9607679999999998</v>
      </c>
      <c r="L279" s="20">
        <f t="shared" ref="L279:N280" si="511">-V279</f>
        <v>0</v>
      </c>
      <c r="M279" s="95">
        <f t="shared" si="511"/>
        <v>0</v>
      </c>
      <c r="N279" s="94">
        <f t="shared" si="511"/>
        <v>7.9607679999999998</v>
      </c>
      <c r="O279" s="94">
        <f t="shared" ref="O279" si="512">-X279</f>
        <v>7.9607679999999998</v>
      </c>
      <c r="P279" s="94">
        <f t="shared" ref="P279" si="513">-AB279</f>
        <v>7.9607679999999998</v>
      </c>
      <c r="Q279" s="94">
        <f t="shared" si="481"/>
        <v>0</v>
      </c>
      <c r="R279" s="94">
        <f>-AC279</f>
        <v>0</v>
      </c>
      <c r="S279" s="94">
        <f t="shared" si="483"/>
        <v>0</v>
      </c>
      <c r="T279" s="94">
        <f>-AJ279</f>
        <v>0</v>
      </c>
      <c r="U279" s="402">
        <f>-AQ279</f>
        <v>0</v>
      </c>
      <c r="V279" s="573">
        <v>0</v>
      </c>
      <c r="W279" s="326">
        <v>0</v>
      </c>
      <c r="X279" s="207">
        <f>-7.960768</f>
        <v>-7.9607679999999998</v>
      </c>
      <c r="Y279" s="367">
        <v>0</v>
      </c>
      <c r="Z279" s="367">
        <v>0</v>
      </c>
      <c r="AA279" s="468">
        <v>0</v>
      </c>
      <c r="AB279" s="207">
        <v>-7.9607679999999998</v>
      </c>
      <c r="AC279" s="207">
        <v>0</v>
      </c>
      <c r="AD279" s="367">
        <v>0</v>
      </c>
      <c r="AE279" s="468">
        <v>0</v>
      </c>
      <c r="AF279" s="468">
        <v>0</v>
      </c>
      <c r="AG279" s="468">
        <v>0</v>
      </c>
      <c r="AH279" s="468">
        <v>0</v>
      </c>
      <c r="AI279" s="387">
        <v>0</v>
      </c>
      <c r="AJ279" s="207">
        <v>0</v>
      </c>
      <c r="AK279" s="367">
        <v>0</v>
      </c>
      <c r="AL279" s="367">
        <v>0</v>
      </c>
      <c r="AM279" s="367">
        <v>0</v>
      </c>
      <c r="AN279" s="367">
        <v>0</v>
      </c>
      <c r="AO279" s="295">
        <v>0</v>
      </c>
      <c r="AP279" s="295">
        <v>0</v>
      </c>
      <c r="AQ279" s="295">
        <v>0</v>
      </c>
      <c r="AR279" s="387">
        <v>0</v>
      </c>
      <c r="AS279" s="896">
        <f>-AR279</f>
        <v>0</v>
      </c>
      <c r="AT279" s="408" t="s">
        <v>1696</v>
      </c>
    </row>
    <row r="280" spans="1:46" ht="103.5" hidden="1" customHeight="1" outlineLevel="1" x14ac:dyDescent="0.35">
      <c r="A280" s="392">
        <v>18</v>
      </c>
      <c r="B280" s="612" t="s">
        <v>35</v>
      </c>
      <c r="C280" s="604" t="s">
        <v>35</v>
      </c>
      <c r="D280" s="625" t="s">
        <v>2099</v>
      </c>
      <c r="E280" s="432" t="s">
        <v>2098</v>
      </c>
      <c r="F280" s="627" t="s">
        <v>1589</v>
      </c>
      <c r="G280" s="242" t="s">
        <v>23</v>
      </c>
      <c r="H280" s="310" t="s">
        <v>127</v>
      </c>
      <c r="I280" s="334"/>
      <c r="J280" s="283"/>
      <c r="K280" s="294">
        <f t="shared" si="477"/>
        <v>45</v>
      </c>
      <c r="L280" s="20">
        <f t="shared" si="511"/>
        <v>0</v>
      </c>
      <c r="M280" s="95">
        <f t="shared" si="511"/>
        <v>0</v>
      </c>
      <c r="N280" s="94">
        <f t="shared" si="511"/>
        <v>7.9607679999999998</v>
      </c>
      <c r="O280" s="94">
        <f t="shared" si="479"/>
        <v>7.9607679999999998</v>
      </c>
      <c r="P280" s="94">
        <f t="shared" si="480"/>
        <v>0</v>
      </c>
      <c r="Q280" s="94">
        <f t="shared" si="481"/>
        <v>45</v>
      </c>
      <c r="R280" s="94">
        <f>-AC280</f>
        <v>45</v>
      </c>
      <c r="S280" s="94">
        <f t="shared" si="483"/>
        <v>45</v>
      </c>
      <c r="T280" s="94">
        <f>-AJ280</f>
        <v>0</v>
      </c>
      <c r="U280" s="402">
        <f>-AQ280</f>
        <v>0</v>
      </c>
      <c r="V280" s="573">
        <v>0</v>
      </c>
      <c r="W280" s="326">
        <v>0</v>
      </c>
      <c r="X280" s="207">
        <f>-7.960768</f>
        <v>-7.9607679999999998</v>
      </c>
      <c r="Y280" s="367">
        <v>0</v>
      </c>
      <c r="Z280" s="367">
        <v>0</v>
      </c>
      <c r="AA280" s="468">
        <v>0</v>
      </c>
      <c r="AB280" s="207">
        <v>0</v>
      </c>
      <c r="AC280" s="207">
        <f>-45</f>
        <v>-45</v>
      </c>
      <c r="AD280" s="367">
        <v>0</v>
      </c>
      <c r="AE280" s="468">
        <v>0</v>
      </c>
      <c r="AF280" s="468">
        <v>0</v>
      </c>
      <c r="AG280" s="468">
        <v>-45</v>
      </c>
      <c r="AH280" s="468">
        <v>-45</v>
      </c>
      <c r="AI280" s="623">
        <f>-45</f>
        <v>-45</v>
      </c>
      <c r="AJ280" s="207">
        <v>0</v>
      </c>
      <c r="AK280" s="367">
        <v>0</v>
      </c>
      <c r="AL280" s="367">
        <v>0</v>
      </c>
      <c r="AM280" s="367">
        <v>0</v>
      </c>
      <c r="AN280" s="367">
        <v>0</v>
      </c>
      <c r="AO280" s="295">
        <v>0</v>
      </c>
      <c r="AP280" s="295">
        <v>0</v>
      </c>
      <c r="AQ280" s="295">
        <v>0</v>
      </c>
      <c r="AR280" s="623">
        <v>0</v>
      </c>
      <c r="AS280" s="896">
        <f>-AR280</f>
        <v>0</v>
      </c>
      <c r="AT280" s="408" t="s">
        <v>2100</v>
      </c>
    </row>
    <row r="281" spans="1:46" ht="18.5" collapsed="1" x14ac:dyDescent="0.35">
      <c r="A281" s="436">
        <v>3</v>
      </c>
      <c r="B281" s="618" t="s">
        <v>1723</v>
      </c>
      <c r="C281" s="599"/>
      <c r="D281" s="345"/>
      <c r="E281" s="429"/>
      <c r="F281" s="478"/>
      <c r="G281" s="378" t="s">
        <v>1727</v>
      </c>
      <c r="H281" s="379" t="s">
        <v>1727</v>
      </c>
      <c r="I281" s="346"/>
      <c r="J281" s="381"/>
      <c r="K281" s="347">
        <f t="shared" ref="K281:AS281" si="514">SUM(K282:K315)</f>
        <v>75.072845000000001</v>
      </c>
      <c r="L281" s="363">
        <f t="shared" si="514"/>
        <v>22.201953</v>
      </c>
      <c r="M281" s="363">
        <f t="shared" si="514"/>
        <v>22.05678</v>
      </c>
      <c r="N281" s="363">
        <f t="shared" si="514"/>
        <v>49.367737000000005</v>
      </c>
      <c r="O281" s="363">
        <f t="shared" si="514"/>
        <v>49.367737000000005</v>
      </c>
      <c r="P281" s="363">
        <f t="shared" si="514"/>
        <v>36.901719999999997</v>
      </c>
      <c r="Q281" s="363">
        <f t="shared" ref="Q281" si="515">SUM(Q282:Q315)</f>
        <v>16.114344999999997</v>
      </c>
      <c r="R281" s="363">
        <f t="shared" si="514"/>
        <v>16.114344999999997</v>
      </c>
      <c r="S281" s="363">
        <f t="shared" ref="S281" si="516">SUM(S282:S315)</f>
        <v>16.005141000000002</v>
      </c>
      <c r="T281" s="363">
        <f t="shared" si="514"/>
        <v>0</v>
      </c>
      <c r="U281" s="364">
        <f t="shared" si="514"/>
        <v>0</v>
      </c>
      <c r="V281" s="572">
        <f t="shared" si="514"/>
        <v>-22.201953</v>
      </c>
      <c r="W281" s="347">
        <f t="shared" si="514"/>
        <v>-22.05678</v>
      </c>
      <c r="X281" s="363">
        <f t="shared" si="514"/>
        <v>-49.367737000000005</v>
      </c>
      <c r="Y281" s="365">
        <f t="shared" si="514"/>
        <v>-35.473374999999997</v>
      </c>
      <c r="Z281" s="365">
        <f t="shared" si="514"/>
        <v>-99.575245999999993</v>
      </c>
      <c r="AA281" s="567">
        <f t="shared" si="514"/>
        <v>-51.575246</v>
      </c>
      <c r="AB281" s="350">
        <f t="shared" si="514"/>
        <v>-36.901719999999997</v>
      </c>
      <c r="AC281" s="363">
        <f t="shared" si="514"/>
        <v>-16.114344999999997</v>
      </c>
      <c r="AD281" s="365">
        <f t="shared" si="514"/>
        <v>0</v>
      </c>
      <c r="AE281" s="467">
        <f t="shared" si="514"/>
        <v>0</v>
      </c>
      <c r="AF281" s="467">
        <f t="shared" si="514"/>
        <v>-7.2996239999999997</v>
      </c>
      <c r="AG281" s="467">
        <f t="shared" ref="AG281:AI281" si="517">SUM(AG282:AG315)</f>
        <v>-16.114344999999997</v>
      </c>
      <c r="AH281" s="467">
        <f t="shared" si="517"/>
        <v>-16.114344999999997</v>
      </c>
      <c r="AI281" s="347">
        <f t="shared" si="517"/>
        <v>-16.005141000000002</v>
      </c>
      <c r="AJ281" s="363">
        <f t="shared" si="514"/>
        <v>0</v>
      </c>
      <c r="AK281" s="365">
        <f t="shared" ref="AK281:AL281" si="518">SUM(AK282:AK315)</f>
        <v>0</v>
      </c>
      <c r="AL281" s="365">
        <f t="shared" si="518"/>
        <v>0</v>
      </c>
      <c r="AM281" s="365">
        <f t="shared" ref="AM281:AP281" si="519">SUM(AM282:AM315)</f>
        <v>0</v>
      </c>
      <c r="AN281" s="365">
        <f t="shared" ref="AN281" si="520">SUM(AN282:AN315)</f>
        <v>0</v>
      </c>
      <c r="AO281" s="364">
        <f t="shared" si="519"/>
        <v>0</v>
      </c>
      <c r="AP281" s="364">
        <f t="shared" si="519"/>
        <v>0</v>
      </c>
      <c r="AQ281" s="364">
        <f t="shared" si="514"/>
        <v>0</v>
      </c>
      <c r="AR281" s="347">
        <f t="shared" si="514"/>
        <v>0</v>
      </c>
      <c r="AS281" s="909">
        <f t="shared" si="514"/>
        <v>0</v>
      </c>
      <c r="AT281" s="348"/>
    </row>
    <row r="282" spans="1:46" ht="58" hidden="1" customHeight="1" outlineLevel="1" x14ac:dyDescent="0.35">
      <c r="A282" s="590">
        <v>1</v>
      </c>
      <c r="B282" s="612" t="s">
        <v>68</v>
      </c>
      <c r="C282" s="604" t="s">
        <v>68</v>
      </c>
      <c r="D282" s="86" t="s">
        <v>647</v>
      </c>
      <c r="E282" s="432" t="s">
        <v>648</v>
      </c>
      <c r="F282" s="480" t="s">
        <v>228</v>
      </c>
      <c r="G282" s="71" t="s">
        <v>25</v>
      </c>
      <c r="H282" s="310" t="s">
        <v>129</v>
      </c>
      <c r="I282" s="334"/>
      <c r="J282" s="283"/>
      <c r="K282" s="294">
        <f>M282+P282+U282+R282+T282</f>
        <v>0.36520799999999998</v>
      </c>
      <c r="L282" s="183">
        <f t="shared" ref="L282:N391" si="521">-V282</f>
        <v>0.36520799999999998</v>
      </c>
      <c r="M282" s="94">
        <f t="shared" si="521"/>
        <v>0.36520799999999998</v>
      </c>
      <c r="N282" s="94">
        <f t="shared" si="521"/>
        <v>0</v>
      </c>
      <c r="O282" s="94">
        <f t="shared" ref="O282:O315" si="522">-X282</f>
        <v>0</v>
      </c>
      <c r="P282" s="94">
        <f t="shared" ref="P282:P315" si="523">-AB282</f>
        <v>0</v>
      </c>
      <c r="Q282" s="94">
        <f t="shared" ref="Q282:Q307" si="524">-AC282</f>
        <v>0</v>
      </c>
      <c r="R282" s="94">
        <f t="shared" ref="R282:R391" si="525">-AC282</f>
        <v>0</v>
      </c>
      <c r="S282" s="94">
        <f t="shared" ref="S282:S307" si="526">-AI282</f>
        <v>0</v>
      </c>
      <c r="T282" s="94">
        <f t="shared" ref="T282:T391" si="527">-AJ282</f>
        <v>0</v>
      </c>
      <c r="U282" s="402">
        <f t="shared" ref="U282:U391" si="528">-AQ282</f>
        <v>0</v>
      </c>
      <c r="V282" s="573">
        <v>-0.36520799999999998</v>
      </c>
      <c r="W282" s="326">
        <v>-0.36520799999999998</v>
      </c>
      <c r="X282" s="207">
        <v>0</v>
      </c>
      <c r="Y282" s="367">
        <v>0</v>
      </c>
      <c r="Z282" s="367">
        <v>0</v>
      </c>
      <c r="AA282" s="468">
        <v>0</v>
      </c>
      <c r="AB282" s="207">
        <v>0</v>
      </c>
      <c r="AC282" s="207">
        <v>0</v>
      </c>
      <c r="AD282" s="367">
        <v>0</v>
      </c>
      <c r="AE282" s="468">
        <v>0</v>
      </c>
      <c r="AF282" s="468">
        <v>0</v>
      </c>
      <c r="AG282" s="468">
        <v>0</v>
      </c>
      <c r="AH282" s="468">
        <v>0</v>
      </c>
      <c r="AI282" s="387">
        <v>0</v>
      </c>
      <c r="AJ282" s="207">
        <v>0</v>
      </c>
      <c r="AK282" s="367">
        <v>0</v>
      </c>
      <c r="AL282" s="367">
        <v>0</v>
      </c>
      <c r="AM282" s="367">
        <v>0</v>
      </c>
      <c r="AN282" s="367">
        <v>0</v>
      </c>
      <c r="AO282" s="295">
        <v>0</v>
      </c>
      <c r="AP282" s="295">
        <v>0</v>
      </c>
      <c r="AQ282" s="295">
        <v>0</v>
      </c>
      <c r="AR282" s="387">
        <v>0</v>
      </c>
      <c r="AS282" s="295">
        <f t="shared" ref="AS282:AS404" si="529">-AR282</f>
        <v>0</v>
      </c>
      <c r="AT282" s="408" t="s">
        <v>139</v>
      </c>
    </row>
    <row r="283" spans="1:46" ht="78.650000000000006" hidden="1" customHeight="1" outlineLevel="1" x14ac:dyDescent="0.35">
      <c r="A283" s="590">
        <v>2</v>
      </c>
      <c r="B283" s="612" t="s">
        <v>68</v>
      </c>
      <c r="C283" s="604" t="s">
        <v>68</v>
      </c>
      <c r="D283" s="86">
        <v>43909</v>
      </c>
      <c r="E283" s="432" t="s">
        <v>70</v>
      </c>
      <c r="F283" s="480" t="s">
        <v>335</v>
      </c>
      <c r="G283" s="95" t="s">
        <v>25</v>
      </c>
      <c r="H283" s="310" t="s">
        <v>129</v>
      </c>
      <c r="I283" s="334"/>
      <c r="J283" s="283"/>
      <c r="K283" s="294">
        <f t="shared" ref="K283:K291" si="530">M283+P283+U283+R283+T283</f>
        <v>0.20316000000000001</v>
      </c>
      <c r="L283" s="183">
        <f t="shared" si="521"/>
        <v>0.20316000000000001</v>
      </c>
      <c r="M283" s="94">
        <f t="shared" si="521"/>
        <v>0.20316000000000001</v>
      </c>
      <c r="N283" s="94">
        <f t="shared" si="521"/>
        <v>0</v>
      </c>
      <c r="O283" s="94">
        <f t="shared" si="522"/>
        <v>0</v>
      </c>
      <c r="P283" s="94">
        <f t="shared" si="523"/>
        <v>0</v>
      </c>
      <c r="Q283" s="94">
        <f t="shared" si="524"/>
        <v>0</v>
      </c>
      <c r="R283" s="94">
        <f t="shared" si="525"/>
        <v>0</v>
      </c>
      <c r="S283" s="94">
        <f t="shared" si="526"/>
        <v>0</v>
      </c>
      <c r="T283" s="94">
        <f t="shared" si="527"/>
        <v>0</v>
      </c>
      <c r="U283" s="402">
        <f t="shared" si="528"/>
        <v>0</v>
      </c>
      <c r="V283" s="893">
        <v>-0.20316000000000001</v>
      </c>
      <c r="W283" s="387">
        <v>-0.20316000000000001</v>
      </c>
      <c r="X283" s="207">
        <v>0</v>
      </c>
      <c r="Y283" s="367">
        <v>0</v>
      </c>
      <c r="Z283" s="367">
        <v>0</v>
      </c>
      <c r="AA283" s="468">
        <v>0</v>
      </c>
      <c r="AB283" s="207">
        <v>0</v>
      </c>
      <c r="AC283" s="207">
        <v>0</v>
      </c>
      <c r="AD283" s="367">
        <v>0</v>
      </c>
      <c r="AE283" s="468">
        <v>0</v>
      </c>
      <c r="AF283" s="468">
        <v>0</v>
      </c>
      <c r="AG283" s="468">
        <v>0</v>
      </c>
      <c r="AH283" s="468">
        <v>0</v>
      </c>
      <c r="AI283" s="387">
        <v>0</v>
      </c>
      <c r="AJ283" s="207">
        <v>0</v>
      </c>
      <c r="AK283" s="367">
        <v>0</v>
      </c>
      <c r="AL283" s="367">
        <v>0</v>
      </c>
      <c r="AM283" s="367">
        <v>0</v>
      </c>
      <c r="AN283" s="367">
        <v>0</v>
      </c>
      <c r="AO283" s="295">
        <v>0</v>
      </c>
      <c r="AP283" s="295">
        <v>0</v>
      </c>
      <c r="AQ283" s="295">
        <v>0</v>
      </c>
      <c r="AR283" s="387">
        <v>0</v>
      </c>
      <c r="AS283" s="295">
        <f t="shared" si="529"/>
        <v>0</v>
      </c>
      <c r="AT283" s="408" t="s">
        <v>140</v>
      </c>
    </row>
    <row r="284" spans="1:46" ht="93.65" hidden="1" customHeight="1" outlineLevel="1" x14ac:dyDescent="0.35">
      <c r="A284" s="590">
        <v>3</v>
      </c>
      <c r="B284" s="612" t="s">
        <v>68</v>
      </c>
      <c r="C284" s="604" t="s">
        <v>68</v>
      </c>
      <c r="D284" s="86">
        <v>43914</v>
      </c>
      <c r="E284" s="324" t="s">
        <v>80</v>
      </c>
      <c r="F284" s="480" t="s">
        <v>73</v>
      </c>
      <c r="G284" s="95" t="s">
        <v>25</v>
      </c>
      <c r="H284" s="310" t="s">
        <v>129</v>
      </c>
      <c r="I284" s="334"/>
      <c r="J284" s="283"/>
      <c r="K284" s="294">
        <f t="shared" si="530"/>
        <v>0.233572</v>
      </c>
      <c r="L284" s="183">
        <f t="shared" si="521"/>
        <v>0.233572</v>
      </c>
      <c r="M284" s="94">
        <f t="shared" si="521"/>
        <v>0.233572</v>
      </c>
      <c r="N284" s="94">
        <f t="shared" si="521"/>
        <v>0</v>
      </c>
      <c r="O284" s="94">
        <f t="shared" si="522"/>
        <v>0</v>
      </c>
      <c r="P284" s="94">
        <f t="shared" si="523"/>
        <v>0</v>
      </c>
      <c r="Q284" s="94">
        <f t="shared" si="524"/>
        <v>0</v>
      </c>
      <c r="R284" s="94">
        <f t="shared" si="525"/>
        <v>0</v>
      </c>
      <c r="S284" s="94">
        <f t="shared" si="526"/>
        <v>0</v>
      </c>
      <c r="T284" s="94">
        <f t="shared" si="527"/>
        <v>0</v>
      </c>
      <c r="U284" s="402">
        <f t="shared" si="528"/>
        <v>0</v>
      </c>
      <c r="V284" s="893">
        <v>-0.233572</v>
      </c>
      <c r="W284" s="387">
        <v>-0.233572</v>
      </c>
      <c r="X284" s="207">
        <v>0</v>
      </c>
      <c r="Y284" s="367">
        <v>0</v>
      </c>
      <c r="Z284" s="367">
        <v>0</v>
      </c>
      <c r="AA284" s="468">
        <v>0</v>
      </c>
      <c r="AB284" s="207">
        <v>0</v>
      </c>
      <c r="AC284" s="207">
        <v>0</v>
      </c>
      <c r="AD284" s="367">
        <v>0</v>
      </c>
      <c r="AE284" s="468">
        <v>0</v>
      </c>
      <c r="AF284" s="468">
        <v>0</v>
      </c>
      <c r="AG284" s="468">
        <v>0</v>
      </c>
      <c r="AH284" s="468">
        <v>0</v>
      </c>
      <c r="AI284" s="387">
        <v>0</v>
      </c>
      <c r="AJ284" s="207">
        <v>0</v>
      </c>
      <c r="AK284" s="367">
        <v>0</v>
      </c>
      <c r="AL284" s="367">
        <v>0</v>
      </c>
      <c r="AM284" s="367">
        <v>0</v>
      </c>
      <c r="AN284" s="367">
        <v>0</v>
      </c>
      <c r="AO284" s="295">
        <v>0</v>
      </c>
      <c r="AP284" s="295">
        <v>0</v>
      </c>
      <c r="AQ284" s="295">
        <v>0</v>
      </c>
      <c r="AR284" s="387">
        <v>0</v>
      </c>
      <c r="AS284" s="295">
        <f t="shared" si="529"/>
        <v>0</v>
      </c>
      <c r="AT284" s="408" t="s">
        <v>39</v>
      </c>
    </row>
    <row r="285" spans="1:46" ht="78" hidden="1" customHeight="1" outlineLevel="1" x14ac:dyDescent="0.35">
      <c r="A285" s="590">
        <v>4</v>
      </c>
      <c r="B285" s="612" t="s">
        <v>68</v>
      </c>
      <c r="C285" s="604" t="s">
        <v>68</v>
      </c>
      <c r="D285" s="63">
        <v>44082</v>
      </c>
      <c r="E285" s="432" t="s">
        <v>597</v>
      </c>
      <c r="F285" s="480" t="s">
        <v>229</v>
      </c>
      <c r="G285" s="95" t="s">
        <v>25</v>
      </c>
      <c r="H285" s="310" t="s">
        <v>129</v>
      </c>
      <c r="I285" s="334"/>
      <c r="J285" s="283"/>
      <c r="K285" s="294">
        <f t="shared" si="530"/>
        <v>2.992543</v>
      </c>
      <c r="L285" s="183">
        <f t="shared" si="521"/>
        <v>0.2</v>
      </c>
      <c r="M285" s="94">
        <f t="shared" si="521"/>
        <v>0.19987199999999999</v>
      </c>
      <c r="N285" s="94">
        <f t="shared" si="521"/>
        <v>2.8</v>
      </c>
      <c r="O285" s="94">
        <f t="shared" si="522"/>
        <v>2.8</v>
      </c>
      <c r="P285" s="94">
        <f t="shared" si="523"/>
        <v>2.7926709999999999</v>
      </c>
      <c r="Q285" s="94">
        <f t="shared" si="524"/>
        <v>0</v>
      </c>
      <c r="R285" s="94">
        <f t="shared" si="525"/>
        <v>0</v>
      </c>
      <c r="S285" s="94">
        <f t="shared" si="526"/>
        <v>0</v>
      </c>
      <c r="T285" s="94">
        <f t="shared" si="527"/>
        <v>0</v>
      </c>
      <c r="U285" s="402">
        <f t="shared" si="528"/>
        <v>0</v>
      </c>
      <c r="V285" s="893">
        <v>-0.2</v>
      </c>
      <c r="W285" s="387">
        <v>-0.19987199999999999</v>
      </c>
      <c r="X285" s="207">
        <v>-2.8</v>
      </c>
      <c r="Y285" s="367">
        <v>-2.8</v>
      </c>
      <c r="Z285" s="367">
        <v>-2.8</v>
      </c>
      <c r="AA285" s="468">
        <v>-2.8</v>
      </c>
      <c r="AB285" s="207">
        <f>-1.698675-1.093996</f>
        <v>-2.7926709999999999</v>
      </c>
      <c r="AC285" s="207">
        <v>0</v>
      </c>
      <c r="AD285" s="367">
        <v>0</v>
      </c>
      <c r="AE285" s="468">
        <v>0</v>
      </c>
      <c r="AF285" s="468">
        <v>0</v>
      </c>
      <c r="AG285" s="468">
        <v>0</v>
      </c>
      <c r="AH285" s="468">
        <v>0</v>
      </c>
      <c r="AI285" s="387">
        <v>0</v>
      </c>
      <c r="AJ285" s="207">
        <v>0</v>
      </c>
      <c r="AK285" s="367">
        <v>0</v>
      </c>
      <c r="AL285" s="367">
        <v>0</v>
      </c>
      <c r="AM285" s="367">
        <v>0</v>
      </c>
      <c r="AN285" s="367">
        <v>0</v>
      </c>
      <c r="AO285" s="295">
        <v>0</v>
      </c>
      <c r="AP285" s="295">
        <v>0</v>
      </c>
      <c r="AQ285" s="295">
        <v>0</v>
      </c>
      <c r="AR285" s="387">
        <v>0</v>
      </c>
      <c r="AS285" s="295">
        <f t="shared" si="529"/>
        <v>0</v>
      </c>
      <c r="AT285" s="408" t="s">
        <v>649</v>
      </c>
    </row>
    <row r="286" spans="1:46" ht="116.5" hidden="1" customHeight="1" outlineLevel="1" x14ac:dyDescent="0.35">
      <c r="A286" s="590">
        <v>5</v>
      </c>
      <c r="B286" s="612" t="s">
        <v>68</v>
      </c>
      <c r="C286" s="604" t="s">
        <v>68</v>
      </c>
      <c r="D286" s="63">
        <v>44159</v>
      </c>
      <c r="E286" s="432" t="s">
        <v>430</v>
      </c>
      <c r="F286" s="480" t="s">
        <v>429</v>
      </c>
      <c r="G286" s="95" t="s">
        <v>25</v>
      </c>
      <c r="H286" s="310" t="s">
        <v>130</v>
      </c>
      <c r="I286" s="334"/>
      <c r="J286" s="283"/>
      <c r="K286" s="294">
        <f t="shared" si="530"/>
        <v>1.102978</v>
      </c>
      <c r="L286" s="183">
        <f t="shared" si="521"/>
        <v>1.102978</v>
      </c>
      <c r="M286" s="94">
        <f t="shared" si="521"/>
        <v>1.102978</v>
      </c>
      <c r="N286" s="94">
        <f t="shared" si="521"/>
        <v>0</v>
      </c>
      <c r="O286" s="94">
        <f t="shared" si="522"/>
        <v>0</v>
      </c>
      <c r="P286" s="94">
        <f t="shared" si="523"/>
        <v>0</v>
      </c>
      <c r="Q286" s="94">
        <f t="shared" si="524"/>
        <v>0</v>
      </c>
      <c r="R286" s="94">
        <f t="shared" si="525"/>
        <v>0</v>
      </c>
      <c r="S286" s="94">
        <f t="shared" si="526"/>
        <v>0</v>
      </c>
      <c r="T286" s="94">
        <f t="shared" si="527"/>
        <v>0</v>
      </c>
      <c r="U286" s="402">
        <f t="shared" si="528"/>
        <v>0</v>
      </c>
      <c r="V286" s="893">
        <v>-1.102978</v>
      </c>
      <c r="W286" s="387">
        <v>-1.102978</v>
      </c>
      <c r="X286" s="207">
        <v>0</v>
      </c>
      <c r="Y286" s="367">
        <v>0</v>
      </c>
      <c r="Z286" s="367">
        <v>0</v>
      </c>
      <c r="AA286" s="468">
        <v>0</v>
      </c>
      <c r="AB286" s="207">
        <v>0</v>
      </c>
      <c r="AC286" s="207">
        <v>0</v>
      </c>
      <c r="AD286" s="367">
        <v>0</v>
      </c>
      <c r="AE286" s="468">
        <v>0</v>
      </c>
      <c r="AF286" s="468">
        <v>0</v>
      </c>
      <c r="AG286" s="468">
        <v>0</v>
      </c>
      <c r="AH286" s="468">
        <v>0</v>
      </c>
      <c r="AI286" s="387">
        <v>0</v>
      </c>
      <c r="AJ286" s="207">
        <v>0</v>
      </c>
      <c r="AK286" s="367">
        <v>0</v>
      </c>
      <c r="AL286" s="367">
        <v>0</v>
      </c>
      <c r="AM286" s="367">
        <v>0</v>
      </c>
      <c r="AN286" s="367">
        <v>0</v>
      </c>
      <c r="AO286" s="295">
        <v>0</v>
      </c>
      <c r="AP286" s="295">
        <v>0</v>
      </c>
      <c r="AQ286" s="295">
        <v>0</v>
      </c>
      <c r="AR286" s="387">
        <v>0</v>
      </c>
      <c r="AS286" s="295">
        <f t="shared" si="529"/>
        <v>0</v>
      </c>
      <c r="AT286" s="408" t="s">
        <v>39</v>
      </c>
    </row>
    <row r="287" spans="1:46" ht="204.65" hidden="1" customHeight="1" outlineLevel="1" x14ac:dyDescent="0.35">
      <c r="A287" s="590">
        <v>6</v>
      </c>
      <c r="B287" s="612" t="s">
        <v>68</v>
      </c>
      <c r="C287" s="604" t="s">
        <v>68</v>
      </c>
      <c r="D287" s="63" t="s">
        <v>1686</v>
      </c>
      <c r="E287" s="432" t="s">
        <v>685</v>
      </c>
      <c r="F287" s="480" t="s">
        <v>684</v>
      </c>
      <c r="G287" s="95" t="s">
        <v>25</v>
      </c>
      <c r="H287" s="310" t="s">
        <v>130</v>
      </c>
      <c r="I287" s="334"/>
      <c r="J287" s="283"/>
      <c r="K287" s="294">
        <f t="shared" si="530"/>
        <v>5.9593299999999996</v>
      </c>
      <c r="L287" s="183">
        <f t="shared" si="521"/>
        <v>0</v>
      </c>
      <c r="M287" s="94">
        <f t="shared" si="521"/>
        <v>0</v>
      </c>
      <c r="N287" s="94">
        <f t="shared" si="521"/>
        <v>5.9643280000000001</v>
      </c>
      <c r="O287" s="94">
        <f t="shared" si="522"/>
        <v>5.9643280000000001</v>
      </c>
      <c r="P287" s="94">
        <f t="shared" si="523"/>
        <v>5.9593299999999996</v>
      </c>
      <c r="Q287" s="94">
        <f t="shared" si="524"/>
        <v>0</v>
      </c>
      <c r="R287" s="94">
        <f t="shared" si="525"/>
        <v>0</v>
      </c>
      <c r="S287" s="94">
        <f t="shared" si="526"/>
        <v>0</v>
      </c>
      <c r="T287" s="94">
        <f t="shared" si="527"/>
        <v>0</v>
      </c>
      <c r="U287" s="402">
        <f t="shared" si="528"/>
        <v>0</v>
      </c>
      <c r="V287" s="893">
        <v>0</v>
      </c>
      <c r="W287" s="387">
        <v>0</v>
      </c>
      <c r="X287" s="207">
        <f>-6.340018+0.37569</f>
        <v>-5.9643280000000001</v>
      </c>
      <c r="Y287" s="367">
        <v>-6.3400179999999997</v>
      </c>
      <c r="Z287" s="367">
        <v>-6.3400179999999997</v>
      </c>
      <c r="AA287" s="468">
        <v>-6.3400179999999997</v>
      </c>
      <c r="AB287" s="207">
        <f>-5.95933</f>
        <v>-5.9593299999999996</v>
      </c>
      <c r="AC287" s="207">
        <v>0</v>
      </c>
      <c r="AD287" s="367">
        <v>0</v>
      </c>
      <c r="AE287" s="468">
        <v>0</v>
      </c>
      <c r="AF287" s="468">
        <v>0</v>
      </c>
      <c r="AG287" s="468">
        <v>0</v>
      </c>
      <c r="AH287" s="468">
        <v>0</v>
      </c>
      <c r="AI287" s="387">
        <v>0</v>
      </c>
      <c r="AJ287" s="207">
        <v>0</v>
      </c>
      <c r="AK287" s="367">
        <v>0</v>
      </c>
      <c r="AL287" s="367">
        <v>0</v>
      </c>
      <c r="AM287" s="367">
        <v>0</v>
      </c>
      <c r="AN287" s="367">
        <v>0</v>
      </c>
      <c r="AO287" s="295">
        <v>0</v>
      </c>
      <c r="AP287" s="295">
        <v>0</v>
      </c>
      <c r="AQ287" s="295">
        <v>0</v>
      </c>
      <c r="AR287" s="387">
        <v>0</v>
      </c>
      <c r="AS287" s="295">
        <f t="shared" si="529"/>
        <v>0</v>
      </c>
      <c r="AT287" s="408" t="s">
        <v>1687</v>
      </c>
    </row>
    <row r="288" spans="1:46" ht="132" hidden="1" customHeight="1" outlineLevel="1" x14ac:dyDescent="0.35">
      <c r="A288" s="590">
        <v>7</v>
      </c>
      <c r="B288" s="612" t="s">
        <v>68</v>
      </c>
      <c r="C288" s="604" t="s">
        <v>68</v>
      </c>
      <c r="D288" s="63" t="s">
        <v>1685</v>
      </c>
      <c r="E288" s="432" t="s">
        <v>1195</v>
      </c>
      <c r="F288" s="480" t="s">
        <v>1097</v>
      </c>
      <c r="G288" s="95" t="s">
        <v>25</v>
      </c>
      <c r="H288" s="310" t="s">
        <v>130</v>
      </c>
      <c r="I288" s="334"/>
      <c r="J288" s="283"/>
      <c r="K288" s="294">
        <f t="shared" si="530"/>
        <v>4.0902209999999997</v>
      </c>
      <c r="L288" s="183">
        <f t="shared" si="521"/>
        <v>0</v>
      </c>
      <c r="M288" s="94">
        <f>-W288</f>
        <v>0</v>
      </c>
      <c r="N288" s="94">
        <f t="shared" si="521"/>
        <v>4.3268129999999996</v>
      </c>
      <c r="O288" s="94">
        <f t="shared" si="522"/>
        <v>4.3268129999999996</v>
      </c>
      <c r="P288" s="94">
        <f t="shared" si="523"/>
        <v>4.0902209999999997</v>
      </c>
      <c r="Q288" s="94">
        <f t="shared" si="524"/>
        <v>0</v>
      </c>
      <c r="R288" s="94">
        <f t="shared" si="525"/>
        <v>0</v>
      </c>
      <c r="S288" s="94">
        <f t="shared" si="526"/>
        <v>0</v>
      </c>
      <c r="T288" s="94">
        <f t="shared" si="527"/>
        <v>0</v>
      </c>
      <c r="U288" s="402">
        <f t="shared" si="528"/>
        <v>0</v>
      </c>
      <c r="V288" s="893">
        <v>0</v>
      </c>
      <c r="W288" s="387">
        <v>0</v>
      </c>
      <c r="X288" s="207">
        <f>-12.311876+7.985063</f>
        <v>-4.3268129999999996</v>
      </c>
      <c r="Y288" s="367">
        <v>-12.311876</v>
      </c>
      <c r="Z288" s="367">
        <v>-12.311876</v>
      </c>
      <c r="AA288" s="468">
        <v>-12.311876</v>
      </c>
      <c r="AB288" s="207">
        <f>-0.002602-3.784636-0.005905-0.004556-0.009131-0.006168-0.015543-0.015971-0.028256-0.217453</f>
        <v>-4.0902209999999997</v>
      </c>
      <c r="AC288" s="207">
        <v>0</v>
      </c>
      <c r="AD288" s="367">
        <v>0</v>
      </c>
      <c r="AE288" s="468">
        <v>0</v>
      </c>
      <c r="AF288" s="468">
        <v>0</v>
      </c>
      <c r="AG288" s="468">
        <v>0</v>
      </c>
      <c r="AH288" s="468">
        <v>0</v>
      </c>
      <c r="AI288" s="387">
        <v>0</v>
      </c>
      <c r="AJ288" s="207">
        <v>0</v>
      </c>
      <c r="AK288" s="367">
        <v>0</v>
      </c>
      <c r="AL288" s="367">
        <v>0</v>
      </c>
      <c r="AM288" s="367">
        <v>0</v>
      </c>
      <c r="AN288" s="367">
        <v>0</v>
      </c>
      <c r="AO288" s="295">
        <v>0</v>
      </c>
      <c r="AP288" s="295">
        <v>0</v>
      </c>
      <c r="AQ288" s="295">
        <v>0</v>
      </c>
      <c r="AR288" s="387">
        <v>0</v>
      </c>
      <c r="AS288" s="295">
        <f t="shared" si="529"/>
        <v>0</v>
      </c>
      <c r="AT288" s="408" t="s">
        <v>1429</v>
      </c>
    </row>
    <row r="289" spans="1:46" ht="132" hidden="1" customHeight="1" outlineLevel="1" x14ac:dyDescent="0.35">
      <c r="A289" s="590">
        <v>8</v>
      </c>
      <c r="B289" s="612" t="s">
        <v>68</v>
      </c>
      <c r="C289" s="604" t="s">
        <v>68</v>
      </c>
      <c r="D289" s="63">
        <v>44295</v>
      </c>
      <c r="E289" s="432" t="s">
        <v>1342</v>
      </c>
      <c r="F289" s="480" t="s">
        <v>1236</v>
      </c>
      <c r="G289" s="95" t="s">
        <v>25</v>
      </c>
      <c r="H289" s="310" t="s">
        <v>130</v>
      </c>
      <c r="I289" s="334"/>
      <c r="J289" s="283"/>
      <c r="K289" s="294">
        <f t="shared" si="530"/>
        <v>1.9335120000000001</v>
      </c>
      <c r="L289" s="183">
        <f t="shared" ref="L289" si="531">-V289</f>
        <v>0</v>
      </c>
      <c r="M289" s="94">
        <f>-W289</f>
        <v>0</v>
      </c>
      <c r="N289" s="94">
        <f t="shared" ref="N289" si="532">-X289</f>
        <v>2.1174680000000001</v>
      </c>
      <c r="O289" s="94">
        <f t="shared" si="522"/>
        <v>2.1174680000000001</v>
      </c>
      <c r="P289" s="94">
        <f t="shared" si="523"/>
        <v>1.9335120000000001</v>
      </c>
      <c r="Q289" s="94">
        <f t="shared" si="524"/>
        <v>0</v>
      </c>
      <c r="R289" s="94">
        <f t="shared" ref="R289" si="533">-AC289</f>
        <v>0</v>
      </c>
      <c r="S289" s="94">
        <f t="shared" si="526"/>
        <v>0</v>
      </c>
      <c r="T289" s="94">
        <f t="shared" ref="T289" si="534">-AJ289</f>
        <v>0</v>
      </c>
      <c r="U289" s="402">
        <f t="shared" ref="U289" si="535">-AQ289</f>
        <v>0</v>
      </c>
      <c r="V289" s="893">
        <v>0</v>
      </c>
      <c r="W289" s="387">
        <v>0</v>
      </c>
      <c r="X289" s="207">
        <v>-2.1174680000000001</v>
      </c>
      <c r="Y289" s="367">
        <v>0</v>
      </c>
      <c r="Z289" s="367">
        <v>-2.1174680000000001</v>
      </c>
      <c r="AA289" s="468">
        <v>-2.1174680000000001</v>
      </c>
      <c r="AB289" s="207">
        <f>-0.960549-0.02527-0.011429-0.129567-0.009286-0.7938-0.003611</f>
        <v>-1.9335120000000001</v>
      </c>
      <c r="AC289" s="207">
        <v>0</v>
      </c>
      <c r="AD289" s="367">
        <v>0</v>
      </c>
      <c r="AE289" s="468">
        <v>0</v>
      </c>
      <c r="AF289" s="468">
        <v>0</v>
      </c>
      <c r="AG289" s="468">
        <v>0</v>
      </c>
      <c r="AH289" s="468">
        <v>0</v>
      </c>
      <c r="AI289" s="387">
        <v>0</v>
      </c>
      <c r="AJ289" s="207">
        <v>0</v>
      </c>
      <c r="AK289" s="367">
        <v>0</v>
      </c>
      <c r="AL289" s="367">
        <v>0</v>
      </c>
      <c r="AM289" s="367">
        <v>0</v>
      </c>
      <c r="AN289" s="367">
        <v>0</v>
      </c>
      <c r="AO289" s="295">
        <v>0</v>
      </c>
      <c r="AP289" s="295">
        <v>0</v>
      </c>
      <c r="AQ289" s="295">
        <v>0</v>
      </c>
      <c r="AR289" s="387">
        <v>0</v>
      </c>
      <c r="AS289" s="295">
        <f t="shared" ref="AS289" si="536">-AR289</f>
        <v>0</v>
      </c>
      <c r="AT289" s="408" t="s">
        <v>1235</v>
      </c>
    </row>
    <row r="290" spans="1:46" ht="87" hidden="1" customHeight="1" outlineLevel="1" x14ac:dyDescent="0.35">
      <c r="A290" s="590">
        <v>9</v>
      </c>
      <c r="B290" s="612" t="s">
        <v>68</v>
      </c>
      <c r="C290" s="604" t="s">
        <v>68</v>
      </c>
      <c r="D290" s="63">
        <v>44502</v>
      </c>
      <c r="E290" s="432" t="s">
        <v>1817</v>
      </c>
      <c r="F290" s="480" t="s">
        <v>1695</v>
      </c>
      <c r="G290" s="95" t="s">
        <v>25</v>
      </c>
      <c r="H290" s="310" t="s">
        <v>130</v>
      </c>
      <c r="I290" s="334"/>
      <c r="J290" s="283"/>
      <c r="K290" s="294">
        <f t="shared" si="530"/>
        <v>1.1608099999999999</v>
      </c>
      <c r="L290" s="183">
        <f t="shared" si="521"/>
        <v>0</v>
      </c>
      <c r="M290" s="94">
        <f>-W290</f>
        <v>0</v>
      </c>
      <c r="N290" s="94">
        <f t="shared" si="521"/>
        <v>1.5821529999999999</v>
      </c>
      <c r="O290" s="94">
        <f t="shared" si="522"/>
        <v>1.5821529999999999</v>
      </c>
      <c r="P290" s="94">
        <f t="shared" si="523"/>
        <v>1.1608099999999999</v>
      </c>
      <c r="Q290" s="94">
        <f t="shared" si="524"/>
        <v>0</v>
      </c>
      <c r="R290" s="94">
        <f t="shared" si="525"/>
        <v>0</v>
      </c>
      <c r="S290" s="94">
        <f t="shared" si="526"/>
        <v>0</v>
      </c>
      <c r="T290" s="94">
        <f t="shared" si="527"/>
        <v>0</v>
      </c>
      <c r="U290" s="402">
        <f t="shared" si="528"/>
        <v>0</v>
      </c>
      <c r="V290" s="893">
        <v>0</v>
      </c>
      <c r="W290" s="387">
        <v>0</v>
      </c>
      <c r="X290" s="207">
        <v>-1.5821529999999999</v>
      </c>
      <c r="Y290" s="367">
        <v>0</v>
      </c>
      <c r="Z290" s="367">
        <v>-2.1174680000000001</v>
      </c>
      <c r="AA290" s="468">
        <v>-2.1174680000000001</v>
      </c>
      <c r="AB290" s="207">
        <f>-1.151036-0.009774</f>
        <v>-1.1608099999999999</v>
      </c>
      <c r="AC290" s="207">
        <v>0</v>
      </c>
      <c r="AD290" s="367">
        <v>0</v>
      </c>
      <c r="AE290" s="468">
        <v>0</v>
      </c>
      <c r="AF290" s="468">
        <v>0</v>
      </c>
      <c r="AG290" s="468">
        <v>0</v>
      </c>
      <c r="AH290" s="468">
        <v>0</v>
      </c>
      <c r="AI290" s="387">
        <v>0</v>
      </c>
      <c r="AJ290" s="207">
        <v>0</v>
      </c>
      <c r="AK290" s="367">
        <v>0</v>
      </c>
      <c r="AL290" s="367">
        <v>0</v>
      </c>
      <c r="AM290" s="367">
        <v>0</v>
      </c>
      <c r="AN290" s="367">
        <v>0</v>
      </c>
      <c r="AO290" s="295">
        <v>0</v>
      </c>
      <c r="AP290" s="295">
        <v>0</v>
      </c>
      <c r="AQ290" s="295">
        <v>0</v>
      </c>
      <c r="AR290" s="387">
        <v>0</v>
      </c>
      <c r="AS290" s="295">
        <f t="shared" si="529"/>
        <v>0</v>
      </c>
      <c r="AT290" s="419" t="s">
        <v>1694</v>
      </c>
    </row>
    <row r="291" spans="1:46" ht="116.15" hidden="1" customHeight="1" outlineLevel="1" x14ac:dyDescent="0.35">
      <c r="A291" s="590">
        <v>10</v>
      </c>
      <c r="B291" s="612" t="s">
        <v>276</v>
      </c>
      <c r="C291" s="604" t="s">
        <v>276</v>
      </c>
      <c r="D291" s="63">
        <v>43956</v>
      </c>
      <c r="E291" s="432" t="s">
        <v>168</v>
      </c>
      <c r="F291" s="480" t="s">
        <v>277</v>
      </c>
      <c r="G291" s="71" t="s">
        <v>25</v>
      </c>
      <c r="H291" s="310" t="s">
        <v>129</v>
      </c>
      <c r="I291" s="334"/>
      <c r="J291" s="283"/>
      <c r="K291" s="294">
        <f t="shared" si="530"/>
        <v>4.9781769999999996</v>
      </c>
      <c r="L291" s="20">
        <f t="shared" ref="L291:L299" si="537">-V291</f>
        <v>5</v>
      </c>
      <c r="M291" s="95">
        <f>-W291</f>
        <v>4.9781769999999996</v>
      </c>
      <c r="N291" s="94">
        <f t="shared" ref="N291:N299" si="538">-X291</f>
        <v>0</v>
      </c>
      <c r="O291" s="94">
        <f t="shared" si="522"/>
        <v>0</v>
      </c>
      <c r="P291" s="94">
        <f t="shared" si="523"/>
        <v>0</v>
      </c>
      <c r="Q291" s="94">
        <f t="shared" si="524"/>
        <v>0</v>
      </c>
      <c r="R291" s="94">
        <f t="shared" ref="R291:R303" si="539">-AC291</f>
        <v>0</v>
      </c>
      <c r="S291" s="94">
        <f t="shared" si="526"/>
        <v>0</v>
      </c>
      <c r="T291" s="94">
        <f t="shared" ref="T291:T303" si="540">-AJ291</f>
        <v>0</v>
      </c>
      <c r="U291" s="402">
        <f t="shared" si="528"/>
        <v>0</v>
      </c>
      <c r="V291" s="573">
        <v>-5</v>
      </c>
      <c r="W291" s="326">
        <v>-4.9781769999999996</v>
      </c>
      <c r="X291" s="207">
        <v>0</v>
      </c>
      <c r="Y291" s="367">
        <v>0</v>
      </c>
      <c r="Z291" s="367">
        <v>0</v>
      </c>
      <c r="AA291" s="468">
        <v>0</v>
      </c>
      <c r="AB291" s="207">
        <v>0</v>
      </c>
      <c r="AC291" s="207">
        <v>0</v>
      </c>
      <c r="AD291" s="367">
        <v>0</v>
      </c>
      <c r="AE291" s="468">
        <v>0</v>
      </c>
      <c r="AF291" s="468">
        <v>0</v>
      </c>
      <c r="AG291" s="468">
        <v>0</v>
      </c>
      <c r="AH291" s="468">
        <v>0</v>
      </c>
      <c r="AI291" s="387">
        <v>0</v>
      </c>
      <c r="AJ291" s="207">
        <v>0</v>
      </c>
      <c r="AK291" s="367">
        <v>0</v>
      </c>
      <c r="AL291" s="367">
        <v>0</v>
      </c>
      <c r="AM291" s="367">
        <v>0</v>
      </c>
      <c r="AN291" s="367">
        <v>0</v>
      </c>
      <c r="AO291" s="295">
        <v>0</v>
      </c>
      <c r="AP291" s="295">
        <v>0</v>
      </c>
      <c r="AQ291" s="295">
        <v>0</v>
      </c>
      <c r="AR291" s="387">
        <v>0</v>
      </c>
      <c r="AS291" s="295">
        <f t="shared" ref="AS291:AS299" si="541">-AR291</f>
        <v>0</v>
      </c>
      <c r="AT291" s="408" t="s">
        <v>167</v>
      </c>
    </row>
    <row r="292" spans="1:46" ht="72.650000000000006" hidden="1" customHeight="1" outlineLevel="1" x14ac:dyDescent="0.35">
      <c r="A292" s="590">
        <v>11</v>
      </c>
      <c r="B292" s="612" t="s">
        <v>276</v>
      </c>
      <c r="C292" s="604" t="s">
        <v>276</v>
      </c>
      <c r="D292" s="63">
        <v>44069</v>
      </c>
      <c r="E292" s="432" t="s">
        <v>653</v>
      </c>
      <c r="F292" s="480" t="s">
        <v>655</v>
      </c>
      <c r="G292" s="71" t="s">
        <v>25</v>
      </c>
      <c r="H292" s="310" t="s">
        <v>129</v>
      </c>
      <c r="I292" s="334"/>
      <c r="J292" s="283"/>
      <c r="K292" s="1125">
        <f>SUM(P292:P295)+SUM(R292:R295)+SUM(T292:T295)+SUM(U292:U295)+SUM(M292)</f>
        <v>9.9738129999999998</v>
      </c>
      <c r="L292" s="20">
        <f t="shared" si="537"/>
        <v>2.04</v>
      </c>
      <c r="M292" s="1154">
        <f>-W292</f>
        <v>9.9738129999999998</v>
      </c>
      <c r="N292" s="94">
        <f t="shared" si="538"/>
        <v>0</v>
      </c>
      <c r="O292" s="94">
        <f t="shared" si="522"/>
        <v>0</v>
      </c>
      <c r="P292" s="94">
        <f t="shared" si="523"/>
        <v>0</v>
      </c>
      <c r="Q292" s="94">
        <f t="shared" si="524"/>
        <v>0</v>
      </c>
      <c r="R292" s="94">
        <f t="shared" si="539"/>
        <v>0</v>
      </c>
      <c r="S292" s="94">
        <f t="shared" si="526"/>
        <v>0</v>
      </c>
      <c r="T292" s="94">
        <f t="shared" si="540"/>
        <v>0</v>
      </c>
      <c r="U292" s="402">
        <f t="shared" si="528"/>
        <v>0</v>
      </c>
      <c r="V292" s="573">
        <f>-2.04</f>
        <v>-2.04</v>
      </c>
      <c r="W292" s="1142">
        <v>-9.9738129999999998</v>
      </c>
      <c r="X292" s="207">
        <v>0</v>
      </c>
      <c r="Y292" s="367">
        <v>0</v>
      </c>
      <c r="Z292" s="367">
        <v>0</v>
      </c>
      <c r="AA292" s="468">
        <v>0</v>
      </c>
      <c r="AB292" s="207">
        <v>0</v>
      </c>
      <c r="AC292" s="207">
        <v>0</v>
      </c>
      <c r="AD292" s="367">
        <v>0</v>
      </c>
      <c r="AE292" s="468">
        <v>0</v>
      </c>
      <c r="AF292" s="468">
        <v>0</v>
      </c>
      <c r="AG292" s="468">
        <v>0</v>
      </c>
      <c r="AH292" s="468">
        <v>0</v>
      </c>
      <c r="AI292" s="387">
        <v>0</v>
      </c>
      <c r="AJ292" s="207">
        <v>0</v>
      </c>
      <c r="AK292" s="367">
        <v>0</v>
      </c>
      <c r="AL292" s="367">
        <v>0</v>
      </c>
      <c r="AM292" s="367">
        <v>0</v>
      </c>
      <c r="AN292" s="367">
        <v>0</v>
      </c>
      <c r="AO292" s="295">
        <v>0</v>
      </c>
      <c r="AP292" s="295">
        <v>0</v>
      </c>
      <c r="AQ292" s="295">
        <v>0</v>
      </c>
      <c r="AR292" s="387">
        <v>0</v>
      </c>
      <c r="AS292" s="295">
        <f t="shared" si="541"/>
        <v>0</v>
      </c>
      <c r="AT292" s="408" t="s">
        <v>656</v>
      </c>
    </row>
    <row r="293" spans="1:46" ht="109" hidden="1" customHeight="1" outlineLevel="1" x14ac:dyDescent="0.35">
      <c r="A293" s="590">
        <v>12</v>
      </c>
      <c r="B293" s="612" t="s">
        <v>276</v>
      </c>
      <c r="C293" s="604" t="s">
        <v>276</v>
      </c>
      <c r="D293" s="63">
        <v>44069</v>
      </c>
      <c r="E293" s="432" t="s">
        <v>654</v>
      </c>
      <c r="F293" s="480" t="s">
        <v>657</v>
      </c>
      <c r="G293" s="71" t="s">
        <v>25</v>
      </c>
      <c r="H293" s="310" t="s">
        <v>127</v>
      </c>
      <c r="I293" s="334"/>
      <c r="J293" s="283"/>
      <c r="K293" s="1126"/>
      <c r="L293" s="20">
        <f t="shared" si="537"/>
        <v>1.6310519999999999</v>
      </c>
      <c r="M293" s="1155"/>
      <c r="N293" s="94">
        <f t="shared" si="538"/>
        <v>0</v>
      </c>
      <c r="O293" s="94">
        <f t="shared" si="522"/>
        <v>0</v>
      </c>
      <c r="P293" s="94">
        <f t="shared" si="523"/>
        <v>0</v>
      </c>
      <c r="Q293" s="94">
        <f t="shared" si="524"/>
        <v>0</v>
      </c>
      <c r="R293" s="94">
        <f t="shared" si="539"/>
        <v>0</v>
      </c>
      <c r="S293" s="94">
        <f t="shared" si="526"/>
        <v>0</v>
      </c>
      <c r="T293" s="94">
        <f t="shared" si="540"/>
        <v>0</v>
      </c>
      <c r="U293" s="402">
        <f t="shared" si="528"/>
        <v>0</v>
      </c>
      <c r="V293" s="573">
        <v>-1.6310519999999999</v>
      </c>
      <c r="W293" s="1153"/>
      <c r="X293" s="207">
        <v>0</v>
      </c>
      <c r="Y293" s="367">
        <v>0</v>
      </c>
      <c r="Z293" s="367">
        <v>0</v>
      </c>
      <c r="AA293" s="468">
        <v>0</v>
      </c>
      <c r="AB293" s="207">
        <v>0</v>
      </c>
      <c r="AC293" s="207">
        <v>0</v>
      </c>
      <c r="AD293" s="367">
        <v>0</v>
      </c>
      <c r="AE293" s="468">
        <v>0</v>
      </c>
      <c r="AF293" s="468">
        <v>0</v>
      </c>
      <c r="AG293" s="468">
        <v>0</v>
      </c>
      <c r="AH293" s="468">
        <v>0</v>
      </c>
      <c r="AI293" s="387">
        <v>0</v>
      </c>
      <c r="AJ293" s="207">
        <v>0</v>
      </c>
      <c r="AK293" s="367">
        <v>0</v>
      </c>
      <c r="AL293" s="367">
        <v>0</v>
      </c>
      <c r="AM293" s="367">
        <v>0</v>
      </c>
      <c r="AN293" s="367">
        <v>0</v>
      </c>
      <c r="AO293" s="295">
        <v>0</v>
      </c>
      <c r="AP293" s="295">
        <v>0</v>
      </c>
      <c r="AQ293" s="295">
        <v>0</v>
      </c>
      <c r="AR293" s="387">
        <v>0</v>
      </c>
      <c r="AS293" s="295">
        <f t="shared" si="541"/>
        <v>0</v>
      </c>
      <c r="AT293" s="411" t="s">
        <v>657</v>
      </c>
    </row>
    <row r="294" spans="1:46" ht="87" hidden="1" customHeight="1" outlineLevel="1" x14ac:dyDescent="0.35">
      <c r="A294" s="590">
        <v>13</v>
      </c>
      <c r="B294" s="612" t="s">
        <v>276</v>
      </c>
      <c r="C294" s="604" t="s">
        <v>276</v>
      </c>
      <c r="D294" s="63">
        <v>44082</v>
      </c>
      <c r="E294" s="432" t="s">
        <v>658</v>
      </c>
      <c r="F294" s="480" t="s">
        <v>661</v>
      </c>
      <c r="G294" s="71" t="s">
        <v>25</v>
      </c>
      <c r="H294" s="310" t="s">
        <v>127</v>
      </c>
      <c r="I294" s="334"/>
      <c r="J294" s="283"/>
      <c r="K294" s="1126"/>
      <c r="L294" s="20">
        <f t="shared" si="537"/>
        <v>2.4559829999999998</v>
      </c>
      <c r="M294" s="1155"/>
      <c r="N294" s="94">
        <f t="shared" si="538"/>
        <v>0</v>
      </c>
      <c r="O294" s="94">
        <f t="shared" si="522"/>
        <v>0</v>
      </c>
      <c r="P294" s="94">
        <f t="shared" si="523"/>
        <v>0</v>
      </c>
      <c r="Q294" s="94">
        <f t="shared" si="524"/>
        <v>0</v>
      </c>
      <c r="R294" s="94">
        <f t="shared" si="539"/>
        <v>0</v>
      </c>
      <c r="S294" s="94">
        <f t="shared" si="526"/>
        <v>0</v>
      </c>
      <c r="T294" s="94">
        <f t="shared" si="540"/>
        <v>0</v>
      </c>
      <c r="U294" s="402">
        <f t="shared" si="528"/>
        <v>0</v>
      </c>
      <c r="V294" s="573">
        <v>-2.4559829999999998</v>
      </c>
      <c r="W294" s="1153"/>
      <c r="X294" s="207">
        <v>0</v>
      </c>
      <c r="Y294" s="367">
        <v>0</v>
      </c>
      <c r="Z294" s="367">
        <v>0</v>
      </c>
      <c r="AA294" s="468">
        <v>0</v>
      </c>
      <c r="AB294" s="207">
        <v>0</v>
      </c>
      <c r="AC294" s="207">
        <v>0</v>
      </c>
      <c r="AD294" s="367">
        <v>0</v>
      </c>
      <c r="AE294" s="468">
        <v>0</v>
      </c>
      <c r="AF294" s="468">
        <v>0</v>
      </c>
      <c r="AG294" s="468">
        <v>0</v>
      </c>
      <c r="AH294" s="468">
        <v>0</v>
      </c>
      <c r="AI294" s="387">
        <v>0</v>
      </c>
      <c r="AJ294" s="207">
        <v>0</v>
      </c>
      <c r="AK294" s="367">
        <v>0</v>
      </c>
      <c r="AL294" s="367">
        <v>0</v>
      </c>
      <c r="AM294" s="367">
        <v>0</v>
      </c>
      <c r="AN294" s="367">
        <v>0</v>
      </c>
      <c r="AO294" s="295">
        <v>0</v>
      </c>
      <c r="AP294" s="295">
        <v>0</v>
      </c>
      <c r="AQ294" s="295">
        <v>0</v>
      </c>
      <c r="AR294" s="387">
        <v>0</v>
      </c>
      <c r="AS294" s="295">
        <f t="shared" si="541"/>
        <v>0</v>
      </c>
      <c r="AT294" s="411" t="s">
        <v>661</v>
      </c>
    </row>
    <row r="295" spans="1:46" ht="43.5" hidden="1" customHeight="1" outlineLevel="1" x14ac:dyDescent="0.35">
      <c r="A295" s="590">
        <v>14</v>
      </c>
      <c r="B295" s="612" t="s">
        <v>276</v>
      </c>
      <c r="C295" s="604" t="s">
        <v>276</v>
      </c>
      <c r="D295" s="63">
        <v>44090</v>
      </c>
      <c r="E295" s="432" t="s">
        <v>659</v>
      </c>
      <c r="F295" s="480" t="s">
        <v>660</v>
      </c>
      <c r="G295" s="71" t="s">
        <v>25</v>
      </c>
      <c r="H295" s="310" t="s">
        <v>129</v>
      </c>
      <c r="I295" s="334"/>
      <c r="J295" s="283"/>
      <c r="K295" s="1127"/>
      <c r="L295" s="20">
        <f t="shared" si="537"/>
        <v>3.97</v>
      </c>
      <c r="M295" s="1156"/>
      <c r="N295" s="94">
        <f t="shared" si="538"/>
        <v>0</v>
      </c>
      <c r="O295" s="94">
        <f t="shared" si="522"/>
        <v>0</v>
      </c>
      <c r="P295" s="94">
        <f t="shared" si="523"/>
        <v>0</v>
      </c>
      <c r="Q295" s="94">
        <f t="shared" si="524"/>
        <v>0</v>
      </c>
      <c r="R295" s="94">
        <f t="shared" si="539"/>
        <v>0</v>
      </c>
      <c r="S295" s="94">
        <f t="shared" si="526"/>
        <v>0</v>
      </c>
      <c r="T295" s="94">
        <f t="shared" si="540"/>
        <v>0</v>
      </c>
      <c r="U295" s="402">
        <f t="shared" si="528"/>
        <v>0</v>
      </c>
      <c r="V295" s="573">
        <v>-3.97</v>
      </c>
      <c r="W295" s="1143"/>
      <c r="X295" s="207">
        <v>0</v>
      </c>
      <c r="Y295" s="367">
        <v>0</v>
      </c>
      <c r="Z295" s="367">
        <v>0</v>
      </c>
      <c r="AA295" s="468">
        <v>0</v>
      </c>
      <c r="AB295" s="207">
        <v>0</v>
      </c>
      <c r="AC295" s="207">
        <v>0</v>
      </c>
      <c r="AD295" s="367">
        <v>0</v>
      </c>
      <c r="AE295" s="468">
        <v>0</v>
      </c>
      <c r="AF295" s="468">
        <v>0</v>
      </c>
      <c r="AG295" s="468">
        <v>0</v>
      </c>
      <c r="AH295" s="468">
        <v>0</v>
      </c>
      <c r="AI295" s="387">
        <v>0</v>
      </c>
      <c r="AJ295" s="207">
        <v>0</v>
      </c>
      <c r="AK295" s="367">
        <v>0</v>
      </c>
      <c r="AL295" s="367">
        <v>0</v>
      </c>
      <c r="AM295" s="367">
        <v>0</v>
      </c>
      <c r="AN295" s="367">
        <v>0</v>
      </c>
      <c r="AO295" s="295">
        <v>0</v>
      </c>
      <c r="AP295" s="295">
        <v>0</v>
      </c>
      <c r="AQ295" s="295">
        <v>0</v>
      </c>
      <c r="AR295" s="387">
        <v>0</v>
      </c>
      <c r="AS295" s="295">
        <f t="shared" si="541"/>
        <v>0</v>
      </c>
      <c r="AT295" s="411" t="s">
        <v>660</v>
      </c>
    </row>
    <row r="296" spans="1:46" ht="87" hidden="1" customHeight="1" outlineLevel="1" x14ac:dyDescent="0.35">
      <c r="A296" s="590">
        <v>15</v>
      </c>
      <c r="B296" s="612" t="s">
        <v>276</v>
      </c>
      <c r="C296" s="604" t="s">
        <v>276</v>
      </c>
      <c r="D296" s="63" t="s">
        <v>598</v>
      </c>
      <c r="E296" s="432" t="s">
        <v>215</v>
      </c>
      <c r="F296" s="480" t="s">
        <v>662</v>
      </c>
      <c r="G296" s="71" t="s">
        <v>25</v>
      </c>
      <c r="H296" s="310" t="s">
        <v>127</v>
      </c>
      <c r="I296" s="334"/>
      <c r="J296" s="283"/>
      <c r="K296" s="294">
        <f t="shared" ref="K296:K308" si="542">M296+P296+U296+R296+T296</f>
        <v>8.2856400000000008</v>
      </c>
      <c r="L296" s="20">
        <f t="shared" si="537"/>
        <v>0</v>
      </c>
      <c r="M296" s="95">
        <f t="shared" ref="M296:M315" si="543">-W296</f>
        <v>0</v>
      </c>
      <c r="N296" s="94">
        <f t="shared" si="538"/>
        <v>8.7453599999999998</v>
      </c>
      <c r="O296" s="94">
        <f t="shared" si="522"/>
        <v>8.7453599999999998</v>
      </c>
      <c r="P296" s="94">
        <f t="shared" si="523"/>
        <v>8.2856400000000008</v>
      </c>
      <c r="Q296" s="94">
        <f t="shared" si="524"/>
        <v>0</v>
      </c>
      <c r="R296" s="94">
        <f t="shared" si="539"/>
        <v>0</v>
      </c>
      <c r="S296" s="94">
        <f t="shared" si="526"/>
        <v>0</v>
      </c>
      <c r="T296" s="94">
        <f t="shared" si="540"/>
        <v>0</v>
      </c>
      <c r="U296" s="402">
        <f t="shared" si="528"/>
        <v>0</v>
      </c>
      <c r="V296" s="573">
        <v>0</v>
      </c>
      <c r="W296" s="326">
        <v>0</v>
      </c>
      <c r="X296" s="207">
        <v>-8.7453599999999998</v>
      </c>
      <c r="Y296" s="367">
        <v>-8.7453599999999998</v>
      </c>
      <c r="Z296" s="367">
        <v>-8.7453599999999998</v>
      </c>
      <c r="AA296" s="468">
        <v>-8.7453599999999998</v>
      </c>
      <c r="AB296" s="207">
        <f>-8.28564</f>
        <v>-8.2856400000000008</v>
      </c>
      <c r="AC296" s="207">
        <v>0</v>
      </c>
      <c r="AD296" s="367">
        <v>0</v>
      </c>
      <c r="AE296" s="468">
        <v>0</v>
      </c>
      <c r="AF296" s="468">
        <v>0</v>
      </c>
      <c r="AG296" s="468">
        <v>0</v>
      </c>
      <c r="AH296" s="468">
        <v>0</v>
      </c>
      <c r="AI296" s="387">
        <v>0</v>
      </c>
      <c r="AJ296" s="207">
        <v>0</v>
      </c>
      <c r="AK296" s="367">
        <v>0</v>
      </c>
      <c r="AL296" s="367">
        <v>0</v>
      </c>
      <c r="AM296" s="367">
        <v>0</v>
      </c>
      <c r="AN296" s="367">
        <v>0</v>
      </c>
      <c r="AO296" s="295">
        <v>0</v>
      </c>
      <c r="AP296" s="295">
        <v>0</v>
      </c>
      <c r="AQ296" s="295">
        <v>0</v>
      </c>
      <c r="AR296" s="387">
        <v>0</v>
      </c>
      <c r="AS296" s="295">
        <f t="shared" si="541"/>
        <v>0</v>
      </c>
      <c r="AT296" s="411" t="s">
        <v>665</v>
      </c>
    </row>
    <row r="297" spans="1:46" ht="43.5" hidden="1" customHeight="1" outlineLevel="1" x14ac:dyDescent="0.35">
      <c r="A297" s="590">
        <v>16</v>
      </c>
      <c r="B297" s="612" t="s">
        <v>276</v>
      </c>
      <c r="C297" s="604" t="s">
        <v>276</v>
      </c>
      <c r="D297" s="63" t="s">
        <v>598</v>
      </c>
      <c r="E297" s="432" t="s">
        <v>215</v>
      </c>
      <c r="F297" s="480" t="s">
        <v>1701</v>
      </c>
      <c r="G297" s="71" t="s">
        <v>25</v>
      </c>
      <c r="H297" s="310" t="s">
        <v>127</v>
      </c>
      <c r="I297" s="334"/>
      <c r="J297" s="283"/>
      <c r="K297" s="294">
        <f t="shared" si="542"/>
        <v>1.894109</v>
      </c>
      <c r="L297" s="20">
        <f t="shared" si="537"/>
        <v>0</v>
      </c>
      <c r="M297" s="95">
        <f t="shared" si="543"/>
        <v>0</v>
      </c>
      <c r="N297" s="94">
        <f t="shared" si="538"/>
        <v>2.1788050000000001</v>
      </c>
      <c r="O297" s="94">
        <f t="shared" si="522"/>
        <v>2.1788050000000001</v>
      </c>
      <c r="P297" s="94">
        <f t="shared" si="523"/>
        <v>1.894109</v>
      </c>
      <c r="Q297" s="94">
        <f t="shared" si="524"/>
        <v>0</v>
      </c>
      <c r="R297" s="94">
        <f t="shared" si="539"/>
        <v>0</v>
      </c>
      <c r="S297" s="94">
        <f t="shared" si="526"/>
        <v>0</v>
      </c>
      <c r="T297" s="94">
        <f t="shared" si="540"/>
        <v>0</v>
      </c>
      <c r="U297" s="402">
        <f t="shared" si="528"/>
        <v>0</v>
      </c>
      <c r="V297" s="573">
        <v>0</v>
      </c>
      <c r="W297" s="326">
        <v>0</v>
      </c>
      <c r="X297" s="207">
        <v>-2.1788050000000001</v>
      </c>
      <c r="Y297" s="367">
        <v>-2.1788050000000001</v>
      </c>
      <c r="Z297" s="367">
        <v>-2.1788050000000001</v>
      </c>
      <c r="AA297" s="468">
        <v>-2.1788050000000001</v>
      </c>
      <c r="AB297" s="207">
        <f>-1.894109</f>
        <v>-1.894109</v>
      </c>
      <c r="AC297" s="207">
        <v>0</v>
      </c>
      <c r="AD297" s="367">
        <v>0</v>
      </c>
      <c r="AE297" s="468">
        <v>0</v>
      </c>
      <c r="AF297" s="468">
        <v>0</v>
      </c>
      <c r="AG297" s="468">
        <v>0</v>
      </c>
      <c r="AH297" s="468">
        <v>0</v>
      </c>
      <c r="AI297" s="387">
        <v>0</v>
      </c>
      <c r="AJ297" s="207">
        <v>0</v>
      </c>
      <c r="AK297" s="367">
        <v>0</v>
      </c>
      <c r="AL297" s="367">
        <v>0</v>
      </c>
      <c r="AM297" s="367">
        <v>0</v>
      </c>
      <c r="AN297" s="367">
        <v>0</v>
      </c>
      <c r="AO297" s="295">
        <v>0</v>
      </c>
      <c r="AP297" s="295">
        <v>0</v>
      </c>
      <c r="AQ297" s="295">
        <v>0</v>
      </c>
      <c r="AR297" s="387">
        <v>0</v>
      </c>
      <c r="AS297" s="295">
        <f t="shared" si="541"/>
        <v>0</v>
      </c>
      <c r="AT297" s="411" t="s">
        <v>666</v>
      </c>
    </row>
    <row r="298" spans="1:46" ht="58" hidden="1" customHeight="1" outlineLevel="1" x14ac:dyDescent="0.35">
      <c r="A298" s="590">
        <v>17</v>
      </c>
      <c r="B298" s="612" t="s">
        <v>276</v>
      </c>
      <c r="C298" s="604" t="s">
        <v>276</v>
      </c>
      <c r="D298" s="63" t="s">
        <v>598</v>
      </c>
      <c r="E298" s="432" t="s">
        <v>215</v>
      </c>
      <c r="F298" s="480" t="s">
        <v>663</v>
      </c>
      <c r="G298" s="71" t="s">
        <v>25</v>
      </c>
      <c r="H298" s="310" t="s">
        <v>127</v>
      </c>
      <c r="I298" s="334"/>
      <c r="J298" s="283"/>
      <c r="K298" s="294">
        <f t="shared" si="542"/>
        <v>0</v>
      </c>
      <c r="L298" s="20">
        <f t="shared" si="537"/>
        <v>0</v>
      </c>
      <c r="M298" s="95">
        <f t="shared" si="543"/>
        <v>0</v>
      </c>
      <c r="N298" s="94">
        <f t="shared" si="538"/>
        <v>3.06</v>
      </c>
      <c r="O298" s="94">
        <f t="shared" si="522"/>
        <v>3.06</v>
      </c>
      <c r="P298" s="94">
        <f t="shared" si="523"/>
        <v>0</v>
      </c>
      <c r="Q298" s="94">
        <f t="shared" si="524"/>
        <v>0</v>
      </c>
      <c r="R298" s="94">
        <f t="shared" si="539"/>
        <v>0</v>
      </c>
      <c r="S298" s="94">
        <f t="shared" si="526"/>
        <v>0</v>
      </c>
      <c r="T298" s="94">
        <f t="shared" si="540"/>
        <v>0</v>
      </c>
      <c r="U298" s="402">
        <f t="shared" si="528"/>
        <v>0</v>
      </c>
      <c r="V298" s="573">
        <v>0</v>
      </c>
      <c r="W298" s="326">
        <v>0</v>
      </c>
      <c r="X298" s="207">
        <v>-3.06</v>
      </c>
      <c r="Y298" s="367">
        <v>-3.06</v>
      </c>
      <c r="Z298" s="367">
        <v>-3.06</v>
      </c>
      <c r="AA298" s="468">
        <v>-3.06</v>
      </c>
      <c r="AB298" s="207">
        <v>0</v>
      </c>
      <c r="AC298" s="207">
        <v>0</v>
      </c>
      <c r="AD298" s="367">
        <v>0</v>
      </c>
      <c r="AE298" s="468">
        <v>0</v>
      </c>
      <c r="AF298" s="468">
        <v>0</v>
      </c>
      <c r="AG298" s="468">
        <v>0</v>
      </c>
      <c r="AH298" s="468">
        <v>0</v>
      </c>
      <c r="AI298" s="387">
        <v>0</v>
      </c>
      <c r="AJ298" s="207">
        <v>0</v>
      </c>
      <c r="AK298" s="367">
        <v>0</v>
      </c>
      <c r="AL298" s="367">
        <v>0</v>
      </c>
      <c r="AM298" s="367">
        <v>0</v>
      </c>
      <c r="AN298" s="367">
        <v>0</v>
      </c>
      <c r="AO298" s="295">
        <v>0</v>
      </c>
      <c r="AP298" s="295">
        <v>0</v>
      </c>
      <c r="AQ298" s="295">
        <v>0</v>
      </c>
      <c r="AR298" s="387">
        <v>0</v>
      </c>
      <c r="AS298" s="295">
        <f t="shared" si="541"/>
        <v>0</v>
      </c>
      <c r="AT298" s="408" t="s">
        <v>667</v>
      </c>
    </row>
    <row r="299" spans="1:46" ht="72.650000000000006" hidden="1" customHeight="1" outlineLevel="1" x14ac:dyDescent="0.35">
      <c r="A299" s="590">
        <v>18</v>
      </c>
      <c r="B299" s="612" t="s">
        <v>276</v>
      </c>
      <c r="C299" s="604" t="s">
        <v>276</v>
      </c>
      <c r="D299" s="63">
        <v>44266</v>
      </c>
      <c r="E299" s="432" t="s">
        <v>1338</v>
      </c>
      <c r="F299" s="480" t="s">
        <v>1206</v>
      </c>
      <c r="G299" s="71" t="s">
        <v>40</v>
      </c>
      <c r="H299" s="310" t="s">
        <v>127</v>
      </c>
      <c r="I299" s="334"/>
      <c r="J299" s="283"/>
      <c r="K299" s="294">
        <f t="shared" si="542"/>
        <v>3.7014999999999999E-2</v>
      </c>
      <c r="L299" s="20">
        <f t="shared" si="537"/>
        <v>0</v>
      </c>
      <c r="M299" s="95">
        <f t="shared" si="543"/>
        <v>0</v>
      </c>
      <c r="N299" s="94">
        <f t="shared" si="538"/>
        <v>3.7316000000000002E-2</v>
      </c>
      <c r="O299" s="94">
        <f t="shared" si="522"/>
        <v>3.7316000000000002E-2</v>
      </c>
      <c r="P299" s="94">
        <f t="shared" si="523"/>
        <v>3.7014999999999999E-2</v>
      </c>
      <c r="Q299" s="94">
        <f t="shared" si="524"/>
        <v>0</v>
      </c>
      <c r="R299" s="94">
        <f t="shared" si="539"/>
        <v>0</v>
      </c>
      <c r="S299" s="94">
        <f t="shared" si="526"/>
        <v>0</v>
      </c>
      <c r="T299" s="94">
        <f t="shared" si="540"/>
        <v>0</v>
      </c>
      <c r="U299" s="402">
        <f t="shared" si="528"/>
        <v>0</v>
      </c>
      <c r="V299" s="573">
        <v>0</v>
      </c>
      <c r="W299" s="326">
        <v>0</v>
      </c>
      <c r="X299" s="207">
        <v>-3.7316000000000002E-2</v>
      </c>
      <c r="Y299" s="367">
        <v>-3.7316000000000002E-2</v>
      </c>
      <c r="Z299" s="367">
        <v>-3.7316000000000002E-2</v>
      </c>
      <c r="AA299" s="468">
        <v>-3.7316000000000002E-2</v>
      </c>
      <c r="AB299" s="207">
        <v>-3.7014999999999999E-2</v>
      </c>
      <c r="AC299" s="207">
        <v>0</v>
      </c>
      <c r="AD299" s="367">
        <v>0</v>
      </c>
      <c r="AE299" s="468">
        <v>0</v>
      </c>
      <c r="AF299" s="468">
        <v>0</v>
      </c>
      <c r="AG299" s="468">
        <v>0</v>
      </c>
      <c r="AH299" s="468">
        <v>0</v>
      </c>
      <c r="AI299" s="387">
        <v>0</v>
      </c>
      <c r="AJ299" s="207">
        <v>0</v>
      </c>
      <c r="AK299" s="367">
        <v>0</v>
      </c>
      <c r="AL299" s="367">
        <v>0</v>
      </c>
      <c r="AM299" s="367">
        <v>0</v>
      </c>
      <c r="AN299" s="367">
        <v>0</v>
      </c>
      <c r="AO299" s="295">
        <v>0</v>
      </c>
      <c r="AP299" s="295">
        <v>0</v>
      </c>
      <c r="AQ299" s="295">
        <v>0</v>
      </c>
      <c r="AR299" s="387">
        <v>0</v>
      </c>
      <c r="AS299" s="295">
        <f t="shared" si="541"/>
        <v>0</v>
      </c>
      <c r="AT299" s="408" t="s">
        <v>1205</v>
      </c>
    </row>
    <row r="300" spans="1:46" ht="87" hidden="1" customHeight="1" outlineLevel="1" x14ac:dyDescent="0.35">
      <c r="A300" s="590">
        <v>19</v>
      </c>
      <c r="B300" s="612" t="s">
        <v>276</v>
      </c>
      <c r="C300" s="604" t="s">
        <v>276</v>
      </c>
      <c r="D300" s="63">
        <v>44273</v>
      </c>
      <c r="E300" s="432" t="s">
        <v>1239</v>
      </c>
      <c r="F300" s="480" t="s">
        <v>1213</v>
      </c>
      <c r="G300" s="71" t="s">
        <v>25</v>
      </c>
      <c r="H300" s="310" t="s">
        <v>127</v>
      </c>
      <c r="I300" s="334"/>
      <c r="J300" s="283"/>
      <c r="K300" s="294">
        <f t="shared" si="542"/>
        <v>0.47525299999999998</v>
      </c>
      <c r="L300" s="20">
        <f t="shared" ref="L300:L304" si="544">-V300</f>
        <v>0</v>
      </c>
      <c r="M300" s="95">
        <f t="shared" si="543"/>
        <v>0</v>
      </c>
      <c r="N300" s="94">
        <f t="shared" ref="N300:N304" si="545">-X300</f>
        <v>0.5</v>
      </c>
      <c r="O300" s="94">
        <f t="shared" si="522"/>
        <v>0.5</v>
      </c>
      <c r="P300" s="94">
        <f t="shared" si="523"/>
        <v>0.47525299999999998</v>
      </c>
      <c r="Q300" s="94">
        <f t="shared" si="524"/>
        <v>0</v>
      </c>
      <c r="R300" s="94">
        <f t="shared" si="539"/>
        <v>0</v>
      </c>
      <c r="S300" s="94">
        <f t="shared" si="526"/>
        <v>0</v>
      </c>
      <c r="T300" s="94">
        <f t="shared" si="540"/>
        <v>0</v>
      </c>
      <c r="U300" s="402">
        <f t="shared" si="528"/>
        <v>0</v>
      </c>
      <c r="V300" s="573">
        <v>0</v>
      </c>
      <c r="W300" s="326">
        <v>0</v>
      </c>
      <c r="X300" s="207">
        <v>-0.5</v>
      </c>
      <c r="Y300" s="367">
        <v>0</v>
      </c>
      <c r="Z300" s="367">
        <v>-0.5</v>
      </c>
      <c r="AA300" s="468">
        <v>-0.5</v>
      </c>
      <c r="AB300" s="207">
        <f>-0.475253</f>
        <v>-0.47525299999999998</v>
      </c>
      <c r="AC300" s="207">
        <v>0</v>
      </c>
      <c r="AD300" s="367">
        <v>0</v>
      </c>
      <c r="AE300" s="468">
        <v>0</v>
      </c>
      <c r="AF300" s="468">
        <v>0</v>
      </c>
      <c r="AG300" s="468">
        <v>0</v>
      </c>
      <c r="AH300" s="468">
        <v>0</v>
      </c>
      <c r="AI300" s="387">
        <v>0</v>
      </c>
      <c r="AJ300" s="207">
        <v>0</v>
      </c>
      <c r="AK300" s="367">
        <v>0</v>
      </c>
      <c r="AL300" s="367">
        <v>0</v>
      </c>
      <c r="AM300" s="367">
        <v>0</v>
      </c>
      <c r="AN300" s="367">
        <v>0</v>
      </c>
      <c r="AO300" s="295">
        <v>0</v>
      </c>
      <c r="AP300" s="295">
        <v>0</v>
      </c>
      <c r="AQ300" s="295">
        <v>0</v>
      </c>
      <c r="AR300" s="387">
        <v>0</v>
      </c>
      <c r="AS300" s="295">
        <f t="shared" ref="AS300:AS304" si="546">-AR300</f>
        <v>0</v>
      </c>
      <c r="AT300" s="408" t="s">
        <v>1214</v>
      </c>
    </row>
    <row r="301" spans="1:46" ht="43.5" hidden="1" customHeight="1" outlineLevel="1" x14ac:dyDescent="0.35">
      <c r="A301" s="590">
        <v>20</v>
      </c>
      <c r="B301" s="612" t="s">
        <v>276</v>
      </c>
      <c r="C301" s="604" t="s">
        <v>276</v>
      </c>
      <c r="D301" s="63">
        <v>44343</v>
      </c>
      <c r="E301" s="432" t="s">
        <v>1455</v>
      </c>
      <c r="F301" s="480" t="s">
        <v>1417</v>
      </c>
      <c r="G301" s="71" t="s">
        <v>25</v>
      </c>
      <c r="H301" s="310" t="s">
        <v>127</v>
      </c>
      <c r="I301" s="334"/>
      <c r="J301" s="283"/>
      <c r="K301" s="294">
        <f t="shared" si="542"/>
        <v>0.787493</v>
      </c>
      <c r="L301" s="20">
        <f t="shared" si="544"/>
        <v>0</v>
      </c>
      <c r="M301" s="95">
        <f t="shared" si="543"/>
        <v>0</v>
      </c>
      <c r="N301" s="94">
        <f>-X301</f>
        <v>2.2025049999999999</v>
      </c>
      <c r="O301" s="94">
        <f t="shared" si="522"/>
        <v>2.2025049999999999</v>
      </c>
      <c r="P301" s="94">
        <f t="shared" si="523"/>
        <v>0.787493</v>
      </c>
      <c r="Q301" s="94">
        <f t="shared" si="524"/>
        <v>0</v>
      </c>
      <c r="R301" s="94">
        <f t="shared" si="539"/>
        <v>0</v>
      </c>
      <c r="S301" s="94">
        <f t="shared" si="526"/>
        <v>0</v>
      </c>
      <c r="T301" s="94">
        <f t="shared" si="540"/>
        <v>0</v>
      </c>
      <c r="U301" s="402">
        <f t="shared" si="528"/>
        <v>0</v>
      </c>
      <c r="V301" s="573">
        <v>0</v>
      </c>
      <c r="W301" s="326">
        <v>0</v>
      </c>
      <c r="X301" s="207">
        <v>-2.2025049999999999</v>
      </c>
      <c r="Y301" s="367">
        <v>0</v>
      </c>
      <c r="Z301" s="367">
        <v>-2.2025049999999999</v>
      </c>
      <c r="AA301" s="468">
        <v>-2.2025049999999999</v>
      </c>
      <c r="AB301" s="207">
        <f>-0.787493</f>
        <v>-0.787493</v>
      </c>
      <c r="AC301" s="207">
        <v>0</v>
      </c>
      <c r="AD301" s="367">
        <v>0</v>
      </c>
      <c r="AE301" s="468">
        <v>0</v>
      </c>
      <c r="AF301" s="468">
        <v>0</v>
      </c>
      <c r="AG301" s="468">
        <v>0</v>
      </c>
      <c r="AH301" s="468">
        <v>0</v>
      </c>
      <c r="AI301" s="387">
        <v>0</v>
      </c>
      <c r="AJ301" s="207">
        <v>0</v>
      </c>
      <c r="AK301" s="367">
        <v>0</v>
      </c>
      <c r="AL301" s="367">
        <v>0</v>
      </c>
      <c r="AM301" s="367">
        <v>0</v>
      </c>
      <c r="AN301" s="367">
        <v>0</v>
      </c>
      <c r="AO301" s="295">
        <v>0</v>
      </c>
      <c r="AP301" s="295">
        <v>0</v>
      </c>
      <c r="AQ301" s="295">
        <v>0</v>
      </c>
      <c r="AR301" s="387">
        <v>0</v>
      </c>
      <c r="AS301" s="295">
        <f t="shared" si="546"/>
        <v>0</v>
      </c>
      <c r="AT301" s="408" t="s">
        <v>1419</v>
      </c>
    </row>
    <row r="302" spans="1:46" ht="43.5" hidden="1" customHeight="1" outlineLevel="1" x14ac:dyDescent="0.35">
      <c r="A302" s="590">
        <v>21</v>
      </c>
      <c r="B302" s="612" t="s">
        <v>276</v>
      </c>
      <c r="C302" s="604" t="s">
        <v>276</v>
      </c>
      <c r="D302" s="63">
        <v>44343</v>
      </c>
      <c r="E302" s="432" t="s">
        <v>1456</v>
      </c>
      <c r="F302" s="480" t="s">
        <v>1418</v>
      </c>
      <c r="G302" s="71" t="s">
        <v>25</v>
      </c>
      <c r="H302" s="310" t="s">
        <v>127</v>
      </c>
      <c r="I302" s="334"/>
      <c r="J302" s="283"/>
      <c r="K302" s="294">
        <f t="shared" si="542"/>
        <v>0.15556</v>
      </c>
      <c r="L302" s="20">
        <f t="shared" si="544"/>
        <v>0</v>
      </c>
      <c r="M302" s="95">
        <f t="shared" si="543"/>
        <v>0</v>
      </c>
      <c r="N302" s="94">
        <f t="shared" si="545"/>
        <v>0.82499999999999996</v>
      </c>
      <c r="O302" s="94">
        <f t="shared" si="522"/>
        <v>0.82499999999999996</v>
      </c>
      <c r="P302" s="94">
        <f t="shared" si="523"/>
        <v>0.15556</v>
      </c>
      <c r="Q302" s="94">
        <f t="shared" si="524"/>
        <v>0</v>
      </c>
      <c r="R302" s="94">
        <f t="shared" si="539"/>
        <v>0</v>
      </c>
      <c r="S302" s="94">
        <f t="shared" si="526"/>
        <v>0</v>
      </c>
      <c r="T302" s="94">
        <f t="shared" si="540"/>
        <v>0</v>
      </c>
      <c r="U302" s="402">
        <f t="shared" si="528"/>
        <v>0</v>
      </c>
      <c r="V302" s="573">
        <v>0</v>
      </c>
      <c r="W302" s="326">
        <v>0</v>
      </c>
      <c r="X302" s="207">
        <v>-0.82499999999999996</v>
      </c>
      <c r="Y302" s="367">
        <v>0</v>
      </c>
      <c r="Z302" s="367">
        <v>-0.82499999999999996</v>
      </c>
      <c r="AA302" s="468">
        <v>-0.82499999999999996</v>
      </c>
      <c r="AB302" s="207">
        <f>-0.15556</f>
        <v>-0.15556</v>
      </c>
      <c r="AC302" s="207">
        <v>0</v>
      </c>
      <c r="AD302" s="367">
        <v>0</v>
      </c>
      <c r="AE302" s="468">
        <v>0</v>
      </c>
      <c r="AF302" s="468">
        <v>0</v>
      </c>
      <c r="AG302" s="468">
        <v>0</v>
      </c>
      <c r="AH302" s="468">
        <v>0</v>
      </c>
      <c r="AI302" s="387">
        <v>0</v>
      </c>
      <c r="AJ302" s="207">
        <v>0</v>
      </c>
      <c r="AK302" s="367">
        <v>0</v>
      </c>
      <c r="AL302" s="367">
        <v>0</v>
      </c>
      <c r="AM302" s="367">
        <v>0</v>
      </c>
      <c r="AN302" s="367">
        <v>0</v>
      </c>
      <c r="AO302" s="295">
        <v>0</v>
      </c>
      <c r="AP302" s="295">
        <v>0</v>
      </c>
      <c r="AQ302" s="295">
        <v>0</v>
      </c>
      <c r="AR302" s="387">
        <v>0</v>
      </c>
      <c r="AS302" s="295">
        <f t="shared" si="546"/>
        <v>0</v>
      </c>
      <c r="AT302" s="408" t="s">
        <v>1420</v>
      </c>
    </row>
    <row r="303" spans="1:46" ht="43.5" hidden="1" customHeight="1" outlineLevel="1" x14ac:dyDescent="0.35">
      <c r="A303" s="590">
        <v>22</v>
      </c>
      <c r="B303" s="612" t="s">
        <v>276</v>
      </c>
      <c r="C303" s="604" t="s">
        <v>276</v>
      </c>
      <c r="D303" s="63">
        <v>44362</v>
      </c>
      <c r="E303" s="432" t="s">
        <v>1555</v>
      </c>
      <c r="F303" s="480" t="s">
        <v>1471</v>
      </c>
      <c r="G303" s="71" t="s">
        <v>40</v>
      </c>
      <c r="H303" s="310" t="s">
        <v>127</v>
      </c>
      <c r="I303" s="334"/>
      <c r="J303" s="283"/>
      <c r="K303" s="294">
        <f t="shared" si="542"/>
        <v>0.17557900000000001</v>
      </c>
      <c r="L303" s="20">
        <f t="shared" si="544"/>
        <v>0</v>
      </c>
      <c r="M303" s="95">
        <f t="shared" si="543"/>
        <v>0</v>
      </c>
      <c r="N303" s="94">
        <f t="shared" si="545"/>
        <v>0.33943000000000001</v>
      </c>
      <c r="O303" s="94">
        <f t="shared" si="522"/>
        <v>0.33943000000000001</v>
      </c>
      <c r="P303" s="94">
        <f t="shared" si="523"/>
        <v>0.17557900000000001</v>
      </c>
      <c r="Q303" s="94">
        <f t="shared" si="524"/>
        <v>0</v>
      </c>
      <c r="R303" s="94">
        <f t="shared" si="539"/>
        <v>0</v>
      </c>
      <c r="S303" s="94">
        <f t="shared" si="526"/>
        <v>0</v>
      </c>
      <c r="T303" s="94">
        <f t="shared" si="540"/>
        <v>0</v>
      </c>
      <c r="U303" s="402">
        <f t="shared" si="528"/>
        <v>0</v>
      </c>
      <c r="V303" s="573">
        <v>0</v>
      </c>
      <c r="W303" s="326">
        <v>0</v>
      </c>
      <c r="X303" s="207">
        <v>-0.33943000000000001</v>
      </c>
      <c r="Y303" s="367">
        <v>0</v>
      </c>
      <c r="Z303" s="367">
        <v>-0.33943000000000001</v>
      </c>
      <c r="AA303" s="468">
        <v>-0.33943000000000001</v>
      </c>
      <c r="AB303" s="207">
        <v>-0.17557900000000001</v>
      </c>
      <c r="AC303" s="207">
        <v>0</v>
      </c>
      <c r="AD303" s="367">
        <v>0</v>
      </c>
      <c r="AE303" s="468">
        <v>0</v>
      </c>
      <c r="AF303" s="468">
        <v>0</v>
      </c>
      <c r="AG303" s="468">
        <v>0</v>
      </c>
      <c r="AH303" s="468">
        <v>0</v>
      </c>
      <c r="AI303" s="387">
        <v>0</v>
      </c>
      <c r="AJ303" s="207">
        <v>0</v>
      </c>
      <c r="AK303" s="367">
        <v>0</v>
      </c>
      <c r="AL303" s="367">
        <v>0</v>
      </c>
      <c r="AM303" s="367">
        <v>0</v>
      </c>
      <c r="AN303" s="367">
        <v>0</v>
      </c>
      <c r="AO303" s="295">
        <v>0</v>
      </c>
      <c r="AP303" s="295">
        <v>0</v>
      </c>
      <c r="AQ303" s="295">
        <v>0</v>
      </c>
      <c r="AR303" s="387">
        <v>0</v>
      </c>
      <c r="AS303" s="295">
        <f t="shared" si="546"/>
        <v>0</v>
      </c>
      <c r="AT303" s="408" t="s">
        <v>1472</v>
      </c>
    </row>
    <row r="304" spans="1:46" ht="61.5" hidden="1" customHeight="1" outlineLevel="1" x14ac:dyDescent="0.35">
      <c r="A304" s="590">
        <v>23</v>
      </c>
      <c r="B304" s="612" t="s">
        <v>276</v>
      </c>
      <c r="C304" s="604" t="s">
        <v>276</v>
      </c>
      <c r="D304" s="63" t="s">
        <v>1567</v>
      </c>
      <c r="E304" s="432" t="s">
        <v>2076</v>
      </c>
      <c r="F304" s="626" t="s">
        <v>1518</v>
      </c>
      <c r="G304" s="71" t="s">
        <v>25</v>
      </c>
      <c r="H304" s="310" t="s">
        <v>127</v>
      </c>
      <c r="I304" s="334"/>
      <c r="J304" s="283"/>
      <c r="K304" s="294">
        <f t="shared" si="542"/>
        <v>4.3366400000000001</v>
      </c>
      <c r="L304" s="20">
        <f t="shared" si="544"/>
        <v>0</v>
      </c>
      <c r="M304" s="95">
        <f t="shared" si="543"/>
        <v>0</v>
      </c>
      <c r="N304" s="94">
        <f t="shared" si="545"/>
        <v>3.7222550000000001</v>
      </c>
      <c r="O304" s="94">
        <f t="shared" si="522"/>
        <v>3.7222550000000001</v>
      </c>
      <c r="P304" s="94">
        <f t="shared" si="523"/>
        <v>0</v>
      </c>
      <c r="Q304" s="94">
        <f t="shared" si="524"/>
        <v>4.3366400000000001</v>
      </c>
      <c r="R304" s="94">
        <f t="shared" ref="R304" si="547">-AC304</f>
        <v>4.3366400000000001</v>
      </c>
      <c r="S304" s="94">
        <f t="shared" si="526"/>
        <v>4.2765469999999999</v>
      </c>
      <c r="T304" s="94">
        <f t="shared" ref="T304" si="548">-AJ304</f>
        <v>0</v>
      </c>
      <c r="U304" s="402">
        <f t="shared" ref="U304" si="549">-AQ304</f>
        <v>0</v>
      </c>
      <c r="V304" s="573">
        <v>0</v>
      </c>
      <c r="W304" s="326">
        <v>0</v>
      </c>
      <c r="X304" s="895">
        <f>-3.722255</f>
        <v>-3.7222550000000001</v>
      </c>
      <c r="Y304" s="367">
        <v>0</v>
      </c>
      <c r="Z304" s="367">
        <v>0</v>
      </c>
      <c r="AA304" s="468">
        <v>0</v>
      </c>
      <c r="AB304" s="207">
        <v>0</v>
      </c>
      <c r="AC304" s="895">
        <f>-4.33664</f>
        <v>-4.3366400000000001</v>
      </c>
      <c r="AD304" s="921">
        <f>0</f>
        <v>0</v>
      </c>
      <c r="AE304" s="922">
        <f>0</f>
        <v>0</v>
      </c>
      <c r="AF304" s="922">
        <v>-4.3366400000000001</v>
      </c>
      <c r="AG304" s="922">
        <v>-4.3366400000000001</v>
      </c>
      <c r="AH304" s="922">
        <v>-4.3366400000000001</v>
      </c>
      <c r="AI304" s="623">
        <f>-4.276547</f>
        <v>-4.2765469999999999</v>
      </c>
      <c r="AJ304" s="207">
        <v>0</v>
      </c>
      <c r="AK304" s="367">
        <v>0</v>
      </c>
      <c r="AL304" s="367">
        <v>0</v>
      </c>
      <c r="AM304" s="367">
        <v>0</v>
      </c>
      <c r="AN304" s="367">
        <v>0</v>
      </c>
      <c r="AO304" s="295">
        <v>0</v>
      </c>
      <c r="AP304" s="295">
        <v>0</v>
      </c>
      <c r="AQ304" s="295">
        <v>0</v>
      </c>
      <c r="AR304" s="623">
        <v>0</v>
      </c>
      <c r="AS304" s="295">
        <f t="shared" si="546"/>
        <v>0</v>
      </c>
      <c r="AT304" s="408" t="s">
        <v>1883</v>
      </c>
    </row>
    <row r="305" spans="1:46" ht="43.5" hidden="1" customHeight="1" outlineLevel="1" x14ac:dyDescent="0.35">
      <c r="A305" s="590">
        <v>24</v>
      </c>
      <c r="B305" s="612" t="s">
        <v>222</v>
      </c>
      <c r="C305" s="604" t="s">
        <v>222</v>
      </c>
      <c r="D305" s="63">
        <v>44012</v>
      </c>
      <c r="E305" s="432" t="s">
        <v>283</v>
      </c>
      <c r="F305" s="480" t="s">
        <v>284</v>
      </c>
      <c r="G305" s="242" t="s">
        <v>25</v>
      </c>
      <c r="H305" s="310" t="s">
        <v>127</v>
      </c>
      <c r="I305" s="334"/>
      <c r="J305" s="283"/>
      <c r="K305" s="294">
        <f t="shared" si="542"/>
        <v>5</v>
      </c>
      <c r="L305" s="20">
        <f>-V305</f>
        <v>5</v>
      </c>
      <c r="M305" s="95">
        <f t="shared" si="543"/>
        <v>5</v>
      </c>
      <c r="N305" s="94">
        <f t="shared" ref="N305:N315" si="550">-X305</f>
        <v>0</v>
      </c>
      <c r="O305" s="94">
        <f t="shared" si="522"/>
        <v>0</v>
      </c>
      <c r="P305" s="94">
        <f t="shared" si="523"/>
        <v>0</v>
      </c>
      <c r="Q305" s="94">
        <f t="shared" si="524"/>
        <v>0</v>
      </c>
      <c r="R305" s="94">
        <f t="shared" ref="R305:R307" si="551">-AC305</f>
        <v>0</v>
      </c>
      <c r="S305" s="94">
        <f t="shared" si="526"/>
        <v>0</v>
      </c>
      <c r="T305" s="94">
        <f t="shared" ref="T305:T307" si="552">-AJ305</f>
        <v>0</v>
      </c>
      <c r="U305" s="402">
        <f>-AQ305</f>
        <v>0</v>
      </c>
      <c r="V305" s="573">
        <v>-5</v>
      </c>
      <c r="W305" s="326">
        <v>-5</v>
      </c>
      <c r="X305" s="207">
        <v>0</v>
      </c>
      <c r="Y305" s="367">
        <v>0</v>
      </c>
      <c r="Z305" s="367">
        <v>0</v>
      </c>
      <c r="AA305" s="468">
        <v>0</v>
      </c>
      <c r="AB305" s="207">
        <v>0</v>
      </c>
      <c r="AC305" s="207">
        <v>0</v>
      </c>
      <c r="AD305" s="367">
        <v>0</v>
      </c>
      <c r="AE305" s="468">
        <v>0</v>
      </c>
      <c r="AF305" s="468">
        <v>0</v>
      </c>
      <c r="AG305" s="468">
        <v>0</v>
      </c>
      <c r="AH305" s="468">
        <v>0</v>
      </c>
      <c r="AI305" s="387">
        <v>0</v>
      </c>
      <c r="AJ305" s="207">
        <v>0</v>
      </c>
      <c r="AK305" s="367">
        <v>0</v>
      </c>
      <c r="AL305" s="367">
        <v>0</v>
      </c>
      <c r="AM305" s="367">
        <v>0</v>
      </c>
      <c r="AN305" s="367">
        <v>0</v>
      </c>
      <c r="AO305" s="295">
        <v>0</v>
      </c>
      <c r="AP305" s="295">
        <v>0</v>
      </c>
      <c r="AQ305" s="295">
        <v>0</v>
      </c>
      <c r="AR305" s="387">
        <v>0</v>
      </c>
      <c r="AS305" s="295">
        <f t="shared" ref="AS305:AS315" si="553">-AR305</f>
        <v>0</v>
      </c>
      <c r="AT305" s="408" t="s">
        <v>337</v>
      </c>
    </row>
    <row r="306" spans="1:46" ht="83.5" hidden="1" customHeight="1" outlineLevel="1" x14ac:dyDescent="0.35">
      <c r="A306" s="590">
        <v>25</v>
      </c>
      <c r="B306" s="612" t="s">
        <v>222</v>
      </c>
      <c r="C306" s="604" t="s">
        <v>222</v>
      </c>
      <c r="D306" s="63" t="s">
        <v>1916</v>
      </c>
      <c r="E306" s="432" t="s">
        <v>1357</v>
      </c>
      <c r="F306" s="480" t="s">
        <v>1358</v>
      </c>
      <c r="G306" s="242" t="s">
        <v>216</v>
      </c>
      <c r="H306" s="310" t="s">
        <v>127</v>
      </c>
      <c r="I306" s="334"/>
      <c r="J306" s="283"/>
      <c r="K306" s="294">
        <f t="shared" si="542"/>
        <v>6.3778360000000003</v>
      </c>
      <c r="L306" s="20">
        <f>-V306</f>
        <v>0</v>
      </c>
      <c r="M306" s="95">
        <f t="shared" ref="M306:M307" si="554">-W306</f>
        <v>0</v>
      </c>
      <c r="N306" s="94">
        <f t="shared" si="550"/>
        <v>8</v>
      </c>
      <c r="O306" s="94">
        <f t="shared" si="522"/>
        <v>8</v>
      </c>
      <c r="P306" s="94">
        <f t="shared" si="523"/>
        <v>6.3778360000000003</v>
      </c>
      <c r="Q306" s="94">
        <f t="shared" si="524"/>
        <v>0</v>
      </c>
      <c r="R306" s="94">
        <f t="shared" si="551"/>
        <v>0</v>
      </c>
      <c r="S306" s="94">
        <f t="shared" si="526"/>
        <v>0</v>
      </c>
      <c r="T306" s="94">
        <f t="shared" si="552"/>
        <v>0</v>
      </c>
      <c r="U306" s="402">
        <f>-AQ306</f>
        <v>0</v>
      </c>
      <c r="V306" s="573">
        <v>0</v>
      </c>
      <c r="W306" s="326">
        <v>0</v>
      </c>
      <c r="X306" s="207">
        <v>-8</v>
      </c>
      <c r="Y306" s="367">
        <v>0</v>
      </c>
      <c r="Z306" s="367">
        <v>-8</v>
      </c>
      <c r="AA306" s="468">
        <v>-8</v>
      </c>
      <c r="AB306" s="207">
        <f>-6.377836</f>
        <v>-6.3778360000000003</v>
      </c>
      <c r="AC306" s="207">
        <f>0</f>
        <v>0</v>
      </c>
      <c r="AD306" s="367">
        <v>0</v>
      </c>
      <c r="AE306" s="468">
        <v>0</v>
      </c>
      <c r="AF306" s="468">
        <v>0</v>
      </c>
      <c r="AG306" s="468">
        <v>0</v>
      </c>
      <c r="AH306" s="468">
        <v>0</v>
      </c>
      <c r="AI306" s="387">
        <v>0</v>
      </c>
      <c r="AJ306" s="207">
        <v>0</v>
      </c>
      <c r="AK306" s="367">
        <v>0</v>
      </c>
      <c r="AL306" s="367">
        <v>0</v>
      </c>
      <c r="AM306" s="367">
        <v>0</v>
      </c>
      <c r="AN306" s="367">
        <v>0</v>
      </c>
      <c r="AO306" s="295">
        <v>0</v>
      </c>
      <c r="AP306" s="295">
        <v>0</v>
      </c>
      <c r="AQ306" s="295">
        <v>0</v>
      </c>
      <c r="AR306" s="387">
        <v>0</v>
      </c>
      <c r="AS306" s="295">
        <f t="shared" si="553"/>
        <v>0</v>
      </c>
      <c r="AT306" s="408" t="s">
        <v>1915</v>
      </c>
    </row>
    <row r="307" spans="1:46" ht="58" hidden="1" customHeight="1" outlineLevel="1" x14ac:dyDescent="0.35">
      <c r="A307" s="590">
        <v>26</v>
      </c>
      <c r="B307" s="612" t="s">
        <v>276</v>
      </c>
      <c r="C307" s="604" t="s">
        <v>276</v>
      </c>
      <c r="D307" s="557">
        <v>44511</v>
      </c>
      <c r="E307" s="432" t="s">
        <v>1776</v>
      </c>
      <c r="F307" s="480" t="s">
        <v>1777</v>
      </c>
      <c r="G307" s="242" t="s">
        <v>1778</v>
      </c>
      <c r="H307" s="310" t="s">
        <v>127</v>
      </c>
      <c r="I307" s="334"/>
      <c r="J307" s="283"/>
      <c r="K307" s="294">
        <f t="shared" si="542"/>
        <v>5.1900000000000002E-3</v>
      </c>
      <c r="L307" s="20">
        <f>-V307</f>
        <v>0</v>
      </c>
      <c r="M307" s="95">
        <f t="shared" si="554"/>
        <v>0</v>
      </c>
      <c r="N307" s="94">
        <f t="shared" si="550"/>
        <v>5.1900000000000002E-3</v>
      </c>
      <c r="O307" s="94">
        <f t="shared" si="522"/>
        <v>5.1900000000000002E-3</v>
      </c>
      <c r="P307" s="94">
        <f t="shared" si="523"/>
        <v>5.1900000000000002E-3</v>
      </c>
      <c r="Q307" s="94">
        <f t="shared" si="524"/>
        <v>0</v>
      </c>
      <c r="R307" s="94">
        <f t="shared" si="551"/>
        <v>0</v>
      </c>
      <c r="S307" s="94">
        <f t="shared" si="526"/>
        <v>0</v>
      </c>
      <c r="T307" s="94">
        <f t="shared" si="552"/>
        <v>0</v>
      </c>
      <c r="U307" s="402">
        <f>-AQ307</f>
        <v>0</v>
      </c>
      <c r="V307" s="573">
        <v>0</v>
      </c>
      <c r="W307" s="326">
        <v>0</v>
      </c>
      <c r="X307" s="207">
        <f>-0.00519</f>
        <v>-5.1900000000000002E-3</v>
      </c>
      <c r="Y307" s="367">
        <v>0</v>
      </c>
      <c r="Z307" s="367">
        <v>-8</v>
      </c>
      <c r="AA307" s="468">
        <v>0</v>
      </c>
      <c r="AB307" s="207">
        <f>-0.00519</f>
        <v>-5.1900000000000002E-3</v>
      </c>
      <c r="AC307" s="207">
        <v>0</v>
      </c>
      <c r="AD307" s="367">
        <v>0</v>
      </c>
      <c r="AE307" s="468">
        <v>0</v>
      </c>
      <c r="AF307" s="468">
        <v>0</v>
      </c>
      <c r="AG307" s="468">
        <v>0</v>
      </c>
      <c r="AH307" s="468">
        <v>0</v>
      </c>
      <c r="AI307" s="387">
        <v>0</v>
      </c>
      <c r="AJ307" s="207">
        <v>0</v>
      </c>
      <c r="AK307" s="367">
        <v>0</v>
      </c>
      <c r="AL307" s="367">
        <v>0</v>
      </c>
      <c r="AM307" s="367">
        <v>0</v>
      </c>
      <c r="AN307" s="367">
        <v>0</v>
      </c>
      <c r="AO307" s="295">
        <v>0</v>
      </c>
      <c r="AP307" s="295">
        <v>0</v>
      </c>
      <c r="AQ307" s="295">
        <v>0</v>
      </c>
      <c r="AR307" s="387">
        <v>0</v>
      </c>
      <c r="AS307" s="295">
        <f t="shared" si="553"/>
        <v>0</v>
      </c>
      <c r="AT307" s="408" t="s">
        <v>1779</v>
      </c>
    </row>
    <row r="308" spans="1:46" ht="58" hidden="1" customHeight="1" outlineLevel="1" x14ac:dyDescent="0.35">
      <c r="A308" s="590">
        <v>27</v>
      </c>
      <c r="B308" s="612" t="s">
        <v>276</v>
      </c>
      <c r="C308" s="604" t="s">
        <v>276</v>
      </c>
      <c r="D308" s="557">
        <v>44511</v>
      </c>
      <c r="E308" s="432" t="s">
        <v>1776</v>
      </c>
      <c r="F308" s="480" t="s">
        <v>1777</v>
      </c>
      <c r="G308" s="242" t="s">
        <v>25</v>
      </c>
      <c r="H308" s="310" t="s">
        <v>127</v>
      </c>
      <c r="I308" s="334"/>
      <c r="J308" s="283"/>
      <c r="K308" s="294">
        <f t="shared" si="542"/>
        <v>2.693422</v>
      </c>
      <c r="L308" s="20">
        <v>0</v>
      </c>
      <c r="M308" s="95">
        <v>0</v>
      </c>
      <c r="N308" s="94">
        <f t="shared" si="550"/>
        <v>2.843426</v>
      </c>
      <c r="O308" s="94">
        <f t="shared" si="522"/>
        <v>2.843426</v>
      </c>
      <c r="P308" s="94">
        <f t="shared" si="523"/>
        <v>2.693422</v>
      </c>
      <c r="Q308" s="94">
        <v>0</v>
      </c>
      <c r="R308" s="94">
        <v>0</v>
      </c>
      <c r="S308" s="94">
        <v>0</v>
      </c>
      <c r="T308" s="94">
        <v>0</v>
      </c>
      <c r="U308" s="402">
        <v>0</v>
      </c>
      <c r="V308" s="573">
        <v>0</v>
      </c>
      <c r="W308" s="326">
        <v>0</v>
      </c>
      <c r="X308" s="207">
        <f>-2.843426</f>
        <v>-2.843426</v>
      </c>
      <c r="Y308" s="367">
        <v>0</v>
      </c>
      <c r="Z308" s="367">
        <v>-8</v>
      </c>
      <c r="AA308" s="468">
        <v>0</v>
      </c>
      <c r="AB308" s="207">
        <f>-2.693422</f>
        <v>-2.693422</v>
      </c>
      <c r="AC308" s="207">
        <v>0</v>
      </c>
      <c r="AD308" s="367">
        <v>0</v>
      </c>
      <c r="AE308" s="468">
        <v>0</v>
      </c>
      <c r="AF308" s="468">
        <v>0</v>
      </c>
      <c r="AG308" s="468">
        <v>0</v>
      </c>
      <c r="AH308" s="468">
        <v>0</v>
      </c>
      <c r="AI308" s="387">
        <v>0</v>
      </c>
      <c r="AJ308" s="207">
        <v>0</v>
      </c>
      <c r="AK308" s="367">
        <v>0</v>
      </c>
      <c r="AL308" s="367">
        <v>0</v>
      </c>
      <c r="AM308" s="367">
        <v>0</v>
      </c>
      <c r="AN308" s="367">
        <v>0</v>
      </c>
      <c r="AO308" s="295">
        <v>0</v>
      </c>
      <c r="AP308" s="295">
        <v>0</v>
      </c>
      <c r="AQ308" s="295">
        <v>0</v>
      </c>
      <c r="AR308" s="387">
        <v>0</v>
      </c>
      <c r="AS308" s="295">
        <f t="shared" si="553"/>
        <v>0</v>
      </c>
      <c r="AT308" s="408" t="s">
        <v>1780</v>
      </c>
    </row>
    <row r="309" spans="1:46" ht="58" hidden="1" customHeight="1" outlineLevel="1" x14ac:dyDescent="0.35">
      <c r="A309" s="590">
        <v>28</v>
      </c>
      <c r="B309" s="612" t="s">
        <v>276</v>
      </c>
      <c r="C309" s="604" t="s">
        <v>276</v>
      </c>
      <c r="D309" s="557">
        <v>44511</v>
      </c>
      <c r="E309" s="432" t="s">
        <v>1776</v>
      </c>
      <c r="F309" s="480" t="s">
        <v>1777</v>
      </c>
      <c r="G309" s="242" t="s">
        <v>40</v>
      </c>
      <c r="H309" s="310" t="s">
        <v>127</v>
      </c>
      <c r="I309" s="334"/>
      <c r="J309" s="283"/>
      <c r="K309" s="294">
        <f t="shared" ref="K309:K315" si="555">M309+P309+U309+R309+T309</f>
        <v>3.2100000000000002E-3</v>
      </c>
      <c r="L309" s="20">
        <f t="shared" ref="L309:L315" si="556">-V309</f>
        <v>0</v>
      </c>
      <c r="M309" s="95">
        <f t="shared" ref="M309" si="557">-W309</f>
        <v>0</v>
      </c>
      <c r="N309" s="94">
        <f t="shared" si="550"/>
        <v>3.2100000000000002E-3</v>
      </c>
      <c r="O309" s="94">
        <f t="shared" si="522"/>
        <v>3.2100000000000002E-3</v>
      </c>
      <c r="P309" s="94">
        <f t="shared" si="523"/>
        <v>3.2100000000000002E-3</v>
      </c>
      <c r="Q309" s="94">
        <f t="shared" ref="Q309:Q315" si="558">-AC309</f>
        <v>0</v>
      </c>
      <c r="R309" s="94">
        <f t="shared" ref="R309:R315" si="559">-AC309</f>
        <v>0</v>
      </c>
      <c r="S309" s="94">
        <f t="shared" ref="S309:S315" si="560">-AI309</f>
        <v>0</v>
      </c>
      <c r="T309" s="94">
        <f t="shared" ref="T309:T315" si="561">-AJ309</f>
        <v>0</v>
      </c>
      <c r="U309" s="402">
        <f>-AQ309</f>
        <v>0</v>
      </c>
      <c r="V309" s="573">
        <v>0</v>
      </c>
      <c r="W309" s="326">
        <v>0</v>
      </c>
      <c r="X309" s="207">
        <f>-0.00321</f>
        <v>-3.2100000000000002E-3</v>
      </c>
      <c r="Y309" s="367">
        <v>0</v>
      </c>
      <c r="Z309" s="367">
        <v>-8</v>
      </c>
      <c r="AA309" s="468">
        <v>0</v>
      </c>
      <c r="AB309" s="207">
        <f>-0.00321</f>
        <v>-3.2100000000000002E-3</v>
      </c>
      <c r="AC309" s="207">
        <v>0</v>
      </c>
      <c r="AD309" s="367">
        <v>0</v>
      </c>
      <c r="AE309" s="468">
        <v>0</v>
      </c>
      <c r="AF309" s="468">
        <v>0</v>
      </c>
      <c r="AG309" s="468">
        <v>0</v>
      </c>
      <c r="AH309" s="468">
        <v>0</v>
      </c>
      <c r="AI309" s="387">
        <v>0</v>
      </c>
      <c r="AJ309" s="207">
        <v>0</v>
      </c>
      <c r="AK309" s="367">
        <v>0</v>
      </c>
      <c r="AL309" s="367">
        <v>0</v>
      </c>
      <c r="AM309" s="367">
        <v>0</v>
      </c>
      <c r="AN309" s="367">
        <v>0</v>
      </c>
      <c r="AO309" s="295">
        <v>0</v>
      </c>
      <c r="AP309" s="295">
        <v>0</v>
      </c>
      <c r="AQ309" s="295">
        <v>0</v>
      </c>
      <c r="AR309" s="387">
        <v>0</v>
      </c>
      <c r="AS309" s="295">
        <f t="shared" si="553"/>
        <v>0</v>
      </c>
      <c r="AT309" s="408" t="s">
        <v>1781</v>
      </c>
    </row>
    <row r="310" spans="1:46" ht="58" hidden="1" customHeight="1" outlineLevel="1" x14ac:dyDescent="0.35">
      <c r="A310" s="590">
        <v>29</v>
      </c>
      <c r="B310" s="612" t="s">
        <v>276</v>
      </c>
      <c r="C310" s="604" t="s">
        <v>276</v>
      </c>
      <c r="D310" s="557">
        <v>44511</v>
      </c>
      <c r="E310" s="432" t="s">
        <v>1776</v>
      </c>
      <c r="F310" s="480" t="s">
        <v>1777</v>
      </c>
      <c r="G310" s="242" t="s">
        <v>7</v>
      </c>
      <c r="H310" s="310" t="s">
        <v>127</v>
      </c>
      <c r="I310" s="334"/>
      <c r="J310" s="283"/>
      <c r="K310" s="294">
        <f t="shared" si="555"/>
        <v>1.4094000000000001E-2</v>
      </c>
      <c r="L310" s="20">
        <f t="shared" si="556"/>
        <v>0</v>
      </c>
      <c r="M310" s="95">
        <f t="shared" ref="M310" si="562">-W310</f>
        <v>0</v>
      </c>
      <c r="N310" s="94">
        <f t="shared" si="550"/>
        <v>1.5280000000000001E-3</v>
      </c>
      <c r="O310" s="94">
        <f t="shared" si="522"/>
        <v>1.5280000000000001E-3</v>
      </c>
      <c r="P310" s="94">
        <f t="shared" si="523"/>
        <v>1.4094000000000001E-2</v>
      </c>
      <c r="Q310" s="94">
        <f t="shared" si="558"/>
        <v>0</v>
      </c>
      <c r="R310" s="94">
        <f t="shared" si="559"/>
        <v>0</v>
      </c>
      <c r="S310" s="94">
        <f t="shared" si="560"/>
        <v>0</v>
      </c>
      <c r="T310" s="94">
        <f t="shared" si="561"/>
        <v>0</v>
      </c>
      <c r="U310" s="402">
        <f>-AQ310</f>
        <v>0</v>
      </c>
      <c r="V310" s="573">
        <v>0</v>
      </c>
      <c r="W310" s="326">
        <v>0</v>
      </c>
      <c r="X310" s="207">
        <f>-0.001528</f>
        <v>-1.5280000000000001E-3</v>
      </c>
      <c r="Y310" s="367">
        <v>0</v>
      </c>
      <c r="Z310" s="367">
        <v>-8</v>
      </c>
      <c r="AA310" s="468">
        <v>0</v>
      </c>
      <c r="AB310" s="207">
        <f>-0.014094</f>
        <v>-1.4094000000000001E-2</v>
      </c>
      <c r="AC310" s="207">
        <v>0</v>
      </c>
      <c r="AD310" s="367">
        <v>0</v>
      </c>
      <c r="AE310" s="468">
        <v>0</v>
      </c>
      <c r="AF310" s="468">
        <v>0</v>
      </c>
      <c r="AG310" s="468">
        <v>0</v>
      </c>
      <c r="AH310" s="468">
        <v>0</v>
      </c>
      <c r="AI310" s="387">
        <v>0</v>
      </c>
      <c r="AJ310" s="207">
        <v>0</v>
      </c>
      <c r="AK310" s="367">
        <v>0</v>
      </c>
      <c r="AL310" s="367">
        <v>0</v>
      </c>
      <c r="AM310" s="367">
        <v>0</v>
      </c>
      <c r="AN310" s="367">
        <v>0</v>
      </c>
      <c r="AO310" s="295">
        <v>0</v>
      </c>
      <c r="AP310" s="295">
        <v>0</v>
      </c>
      <c r="AQ310" s="295">
        <v>0</v>
      </c>
      <c r="AR310" s="387">
        <v>0</v>
      </c>
      <c r="AS310" s="295">
        <f t="shared" si="553"/>
        <v>0</v>
      </c>
      <c r="AT310" s="408" t="s">
        <v>1775</v>
      </c>
    </row>
    <row r="311" spans="1:46" ht="58" hidden="1" customHeight="1" outlineLevel="1" x14ac:dyDescent="0.35">
      <c r="A311" s="590">
        <v>30</v>
      </c>
      <c r="B311" s="612" t="s">
        <v>276</v>
      </c>
      <c r="C311" s="604" t="s">
        <v>276</v>
      </c>
      <c r="D311" s="557">
        <v>44511</v>
      </c>
      <c r="E311" s="432" t="s">
        <v>1776</v>
      </c>
      <c r="F311" s="480" t="s">
        <v>1777</v>
      </c>
      <c r="G311" s="242" t="s">
        <v>211</v>
      </c>
      <c r="H311" s="310" t="s">
        <v>127</v>
      </c>
      <c r="I311" s="334"/>
      <c r="J311" s="283"/>
      <c r="K311" s="294">
        <f t="shared" si="555"/>
        <v>5.9247000000000001E-2</v>
      </c>
      <c r="L311" s="20">
        <f t="shared" si="556"/>
        <v>0</v>
      </c>
      <c r="M311" s="95">
        <f t="shared" ref="M311:M314" si="563">-W311</f>
        <v>0</v>
      </c>
      <c r="N311" s="94">
        <f t="shared" si="550"/>
        <v>0.106838</v>
      </c>
      <c r="O311" s="94">
        <f t="shared" si="522"/>
        <v>0.106838</v>
      </c>
      <c r="P311" s="94">
        <f t="shared" si="523"/>
        <v>5.9247000000000001E-2</v>
      </c>
      <c r="Q311" s="94">
        <f t="shared" si="558"/>
        <v>0</v>
      </c>
      <c r="R311" s="94">
        <f t="shared" si="559"/>
        <v>0</v>
      </c>
      <c r="S311" s="94">
        <f t="shared" si="560"/>
        <v>0</v>
      </c>
      <c r="T311" s="94">
        <f t="shared" si="561"/>
        <v>0</v>
      </c>
      <c r="U311" s="402">
        <f>-AQ311</f>
        <v>0</v>
      </c>
      <c r="V311" s="573">
        <v>0</v>
      </c>
      <c r="W311" s="326">
        <v>0</v>
      </c>
      <c r="X311" s="207">
        <f>-0.106838</f>
        <v>-0.106838</v>
      </c>
      <c r="Y311" s="367">
        <v>0</v>
      </c>
      <c r="Z311" s="367">
        <v>-8</v>
      </c>
      <c r="AA311" s="468">
        <v>0</v>
      </c>
      <c r="AB311" s="207">
        <f>-0.059247</f>
        <v>-5.9247000000000001E-2</v>
      </c>
      <c r="AC311" s="207">
        <v>0</v>
      </c>
      <c r="AD311" s="367">
        <v>0</v>
      </c>
      <c r="AE311" s="468">
        <v>0</v>
      </c>
      <c r="AF311" s="468">
        <v>0</v>
      </c>
      <c r="AG311" s="468">
        <v>0</v>
      </c>
      <c r="AH311" s="468">
        <v>0</v>
      </c>
      <c r="AI311" s="387">
        <v>0</v>
      </c>
      <c r="AJ311" s="207">
        <v>0</v>
      </c>
      <c r="AK311" s="367">
        <v>0</v>
      </c>
      <c r="AL311" s="367">
        <v>0</v>
      </c>
      <c r="AM311" s="367">
        <v>0</v>
      </c>
      <c r="AN311" s="367">
        <v>0</v>
      </c>
      <c r="AO311" s="295">
        <v>0</v>
      </c>
      <c r="AP311" s="295">
        <v>0</v>
      </c>
      <c r="AQ311" s="295">
        <v>0</v>
      </c>
      <c r="AR311" s="387">
        <v>0</v>
      </c>
      <c r="AS311" s="295">
        <f t="shared" si="553"/>
        <v>0</v>
      </c>
      <c r="AT311" s="408" t="s">
        <v>1782</v>
      </c>
    </row>
    <row r="312" spans="1:46" ht="58" hidden="1" customHeight="1" outlineLevel="1" x14ac:dyDescent="0.35">
      <c r="A312" s="590">
        <v>31</v>
      </c>
      <c r="B312" s="612" t="s">
        <v>276</v>
      </c>
      <c r="C312" s="604" t="s">
        <v>276</v>
      </c>
      <c r="D312" s="557">
        <v>44511</v>
      </c>
      <c r="E312" s="432" t="s">
        <v>1776</v>
      </c>
      <c r="F312" s="480" t="s">
        <v>1777</v>
      </c>
      <c r="G312" s="242" t="s">
        <v>24</v>
      </c>
      <c r="H312" s="310" t="s">
        <v>127</v>
      </c>
      <c r="I312" s="334"/>
      <c r="J312" s="283"/>
      <c r="K312" s="294">
        <f t="shared" si="555"/>
        <v>1.5280000000000001E-3</v>
      </c>
      <c r="L312" s="20">
        <f t="shared" si="556"/>
        <v>0</v>
      </c>
      <c r="M312" s="95">
        <f t="shared" si="563"/>
        <v>0</v>
      </c>
      <c r="N312" s="94">
        <f t="shared" ref="N312:N314" si="564">-X312</f>
        <v>1.5280000000000001E-3</v>
      </c>
      <c r="O312" s="94">
        <f t="shared" ref="O312:O314" si="565">-X312</f>
        <v>1.5280000000000001E-3</v>
      </c>
      <c r="P312" s="94">
        <f t="shared" ref="P312:P314" si="566">-AB312</f>
        <v>1.5280000000000001E-3</v>
      </c>
      <c r="Q312" s="94">
        <f t="shared" si="558"/>
        <v>0</v>
      </c>
      <c r="R312" s="94">
        <f t="shared" si="559"/>
        <v>0</v>
      </c>
      <c r="S312" s="94">
        <f t="shared" si="560"/>
        <v>0</v>
      </c>
      <c r="T312" s="94">
        <f t="shared" ref="T312:T314" si="567">-AJ312</f>
        <v>0</v>
      </c>
      <c r="U312" s="402">
        <f t="shared" ref="U312:U314" si="568">-AQ312</f>
        <v>0</v>
      </c>
      <c r="V312" s="573">
        <v>0</v>
      </c>
      <c r="W312" s="326">
        <v>0</v>
      </c>
      <c r="X312" s="207">
        <f>-0.001528</f>
        <v>-1.5280000000000001E-3</v>
      </c>
      <c r="Y312" s="367">
        <v>0</v>
      </c>
      <c r="Z312" s="367">
        <v>-8</v>
      </c>
      <c r="AA312" s="468">
        <v>0</v>
      </c>
      <c r="AB312" s="207">
        <f>-0.001528</f>
        <v>-1.5280000000000001E-3</v>
      </c>
      <c r="AC312" s="207">
        <v>0</v>
      </c>
      <c r="AD312" s="367">
        <v>0</v>
      </c>
      <c r="AE312" s="468">
        <v>0</v>
      </c>
      <c r="AF312" s="468">
        <v>0</v>
      </c>
      <c r="AG312" s="468">
        <v>0</v>
      </c>
      <c r="AH312" s="468">
        <v>0</v>
      </c>
      <c r="AI312" s="387">
        <v>0</v>
      </c>
      <c r="AJ312" s="207">
        <v>0</v>
      </c>
      <c r="AK312" s="367">
        <v>0</v>
      </c>
      <c r="AL312" s="367">
        <v>0</v>
      </c>
      <c r="AM312" s="367">
        <v>0</v>
      </c>
      <c r="AN312" s="367">
        <v>0</v>
      </c>
      <c r="AO312" s="295">
        <v>0</v>
      </c>
      <c r="AP312" s="295">
        <v>0</v>
      </c>
      <c r="AQ312" s="295">
        <v>0</v>
      </c>
      <c r="AR312" s="387">
        <v>0</v>
      </c>
      <c r="AS312" s="295">
        <f t="shared" ref="AS312:AS314" si="569">-AR312</f>
        <v>0</v>
      </c>
      <c r="AT312" s="408" t="s">
        <v>1775</v>
      </c>
    </row>
    <row r="313" spans="1:46" ht="81.650000000000006" hidden="1" customHeight="1" outlineLevel="1" x14ac:dyDescent="0.35">
      <c r="A313" s="590">
        <v>32</v>
      </c>
      <c r="B313" s="612" t="s">
        <v>276</v>
      </c>
      <c r="C313" s="604" t="s">
        <v>276</v>
      </c>
      <c r="D313" s="557">
        <v>44621</v>
      </c>
      <c r="E313" s="432" t="s">
        <v>2004</v>
      </c>
      <c r="F313" s="480" t="s">
        <v>2003</v>
      </c>
      <c r="G313" s="242" t="s">
        <v>2006</v>
      </c>
      <c r="H313" s="310" t="s">
        <v>129</v>
      </c>
      <c r="I313" s="334"/>
      <c r="J313" s="283"/>
      <c r="K313" s="294">
        <f t="shared" si="555"/>
        <v>2.9629840000000001</v>
      </c>
      <c r="L313" s="20">
        <f t="shared" si="556"/>
        <v>0</v>
      </c>
      <c r="M313" s="95">
        <f t="shared" si="563"/>
        <v>0</v>
      </c>
      <c r="N313" s="94">
        <f t="shared" si="564"/>
        <v>1.5280000000000001E-3</v>
      </c>
      <c r="O313" s="94">
        <f t="shared" si="565"/>
        <v>1.5280000000000001E-3</v>
      </c>
      <c r="P313" s="94">
        <f t="shared" si="566"/>
        <v>0</v>
      </c>
      <c r="Q313" s="94">
        <f t="shared" si="558"/>
        <v>2.9629840000000001</v>
      </c>
      <c r="R313" s="94">
        <f t="shared" si="559"/>
        <v>2.9629840000000001</v>
      </c>
      <c r="S313" s="94">
        <f t="shared" si="560"/>
        <v>2.9450559999999997</v>
      </c>
      <c r="T313" s="94">
        <f t="shared" si="567"/>
        <v>0</v>
      </c>
      <c r="U313" s="402">
        <f t="shared" si="568"/>
        <v>0</v>
      </c>
      <c r="V313" s="573">
        <v>0</v>
      </c>
      <c r="W313" s="326">
        <v>0</v>
      </c>
      <c r="X313" s="207">
        <f>-0.001528</f>
        <v>-1.5280000000000001E-3</v>
      </c>
      <c r="Y313" s="367">
        <v>0</v>
      </c>
      <c r="Z313" s="367">
        <v>0</v>
      </c>
      <c r="AA313" s="468">
        <v>0</v>
      </c>
      <c r="AB313" s="207">
        <v>0</v>
      </c>
      <c r="AC313" s="207">
        <v>-2.9629840000000001</v>
      </c>
      <c r="AD313" s="367">
        <v>0</v>
      </c>
      <c r="AE313" s="468">
        <v>0</v>
      </c>
      <c r="AF313" s="468">
        <v>-2.9629840000000001</v>
      </c>
      <c r="AG313" s="468">
        <v>-2.9629840000000001</v>
      </c>
      <c r="AH313" s="468">
        <v>-2.9629840000000001</v>
      </c>
      <c r="AI313" s="899">
        <f>-0.00519-2.805922-0.129624-0.002792-0.001528</f>
        <v>-2.9450559999999997</v>
      </c>
      <c r="AJ313" s="207">
        <v>0</v>
      </c>
      <c r="AK313" s="367">
        <v>0</v>
      </c>
      <c r="AL313" s="367">
        <v>0</v>
      </c>
      <c r="AM313" s="367">
        <v>0</v>
      </c>
      <c r="AN313" s="367">
        <v>0</v>
      </c>
      <c r="AO313" s="295">
        <v>0</v>
      </c>
      <c r="AP313" s="295">
        <v>0</v>
      </c>
      <c r="AQ313" s="295">
        <v>0</v>
      </c>
      <c r="AR313" s="899">
        <v>0</v>
      </c>
      <c r="AS313" s="295">
        <f t="shared" si="569"/>
        <v>0</v>
      </c>
      <c r="AT313" s="408" t="s">
        <v>2005</v>
      </c>
    </row>
    <row r="314" spans="1:46" ht="81.650000000000006" hidden="1" customHeight="1" outlineLevel="1" x14ac:dyDescent="0.35">
      <c r="A314" s="590">
        <v>32</v>
      </c>
      <c r="B314" s="612" t="s">
        <v>276</v>
      </c>
      <c r="C314" s="604" t="s">
        <v>276</v>
      </c>
      <c r="D314" s="557">
        <v>44637</v>
      </c>
      <c r="E314" s="432" t="s">
        <v>2019</v>
      </c>
      <c r="F314" s="480" t="s">
        <v>2020</v>
      </c>
      <c r="G314" s="242" t="s">
        <v>2021</v>
      </c>
      <c r="H314" s="310" t="s">
        <v>129</v>
      </c>
      <c r="I314" s="334"/>
      <c r="J314" s="283"/>
      <c r="K314" s="294">
        <f t="shared" ref="K314" si="570">M314+P314+U314+R314+T314</f>
        <v>8.7984019999999994</v>
      </c>
      <c r="L314" s="20">
        <f t="shared" ref="L314" si="571">-V314</f>
        <v>0</v>
      </c>
      <c r="M314" s="95">
        <f t="shared" si="563"/>
        <v>0</v>
      </c>
      <c r="N314" s="94">
        <f t="shared" si="564"/>
        <v>1.5280000000000001E-3</v>
      </c>
      <c r="O314" s="94">
        <f t="shared" si="565"/>
        <v>1.5280000000000001E-3</v>
      </c>
      <c r="P314" s="94">
        <f t="shared" si="566"/>
        <v>0</v>
      </c>
      <c r="Q314" s="94">
        <f t="shared" si="558"/>
        <v>8.7984019999999994</v>
      </c>
      <c r="R314" s="94">
        <f t="shared" ref="R314" si="572">-AC314</f>
        <v>8.7984019999999994</v>
      </c>
      <c r="S314" s="94">
        <f t="shared" si="560"/>
        <v>8.767221000000001</v>
      </c>
      <c r="T314" s="94">
        <f t="shared" si="567"/>
        <v>0</v>
      </c>
      <c r="U314" s="402">
        <f t="shared" si="568"/>
        <v>0</v>
      </c>
      <c r="V314" s="573">
        <v>0</v>
      </c>
      <c r="W314" s="326">
        <v>0</v>
      </c>
      <c r="X314" s="207">
        <f>-0.001528</f>
        <v>-1.5280000000000001E-3</v>
      </c>
      <c r="Y314" s="367">
        <v>0</v>
      </c>
      <c r="Z314" s="367">
        <v>0</v>
      </c>
      <c r="AA314" s="468">
        <v>0</v>
      </c>
      <c r="AB314" s="207">
        <v>0</v>
      </c>
      <c r="AC314" s="207">
        <v>-8.7984019999999994</v>
      </c>
      <c r="AD314" s="367">
        <v>0</v>
      </c>
      <c r="AE314" s="468">
        <v>0</v>
      </c>
      <c r="AF314" s="468">
        <v>0</v>
      </c>
      <c r="AG314" s="468">
        <v>-8.7984019999999994</v>
      </c>
      <c r="AH314" s="468">
        <v>-8.7984019999999994</v>
      </c>
      <c r="AI314" s="623">
        <f>-0.001155-8.151111-0.458327-0.005452-0.067635-0.083541</f>
        <v>-8.767221000000001</v>
      </c>
      <c r="AJ314" s="207">
        <v>0</v>
      </c>
      <c r="AK314" s="367">
        <v>0</v>
      </c>
      <c r="AL314" s="367">
        <v>0</v>
      </c>
      <c r="AM314" s="367">
        <v>0</v>
      </c>
      <c r="AN314" s="367">
        <v>0</v>
      </c>
      <c r="AO314" s="295">
        <v>0</v>
      </c>
      <c r="AP314" s="295">
        <v>0</v>
      </c>
      <c r="AQ314" s="295">
        <v>0</v>
      </c>
      <c r="AR314" s="623">
        <v>0</v>
      </c>
      <c r="AS314" s="295">
        <f t="shared" si="569"/>
        <v>0</v>
      </c>
      <c r="AT314" s="408" t="s">
        <v>2022</v>
      </c>
    </row>
    <row r="315" spans="1:46" ht="90.75" hidden="1" customHeight="1" outlineLevel="1" x14ac:dyDescent="0.35">
      <c r="A315" s="590">
        <v>32</v>
      </c>
      <c r="B315" s="612" t="s">
        <v>276</v>
      </c>
      <c r="C315" s="604" t="s">
        <v>276</v>
      </c>
      <c r="D315" s="557">
        <v>44656</v>
      </c>
      <c r="E315" s="432" t="s">
        <v>2062</v>
      </c>
      <c r="F315" s="480" t="s">
        <v>2061</v>
      </c>
      <c r="G315" s="242" t="s">
        <v>25</v>
      </c>
      <c r="H315" s="310" t="s">
        <v>130</v>
      </c>
      <c r="I315" s="334"/>
      <c r="J315" s="283"/>
      <c r="K315" s="294">
        <f t="shared" si="555"/>
        <v>1.6319E-2</v>
      </c>
      <c r="L315" s="20">
        <f t="shared" si="556"/>
        <v>0</v>
      </c>
      <c r="M315" s="95">
        <f t="shared" si="543"/>
        <v>0</v>
      </c>
      <c r="N315" s="94">
        <f t="shared" si="550"/>
        <v>1.5280000000000001E-3</v>
      </c>
      <c r="O315" s="94">
        <f t="shared" si="522"/>
        <v>1.5280000000000001E-3</v>
      </c>
      <c r="P315" s="94">
        <f t="shared" si="523"/>
        <v>0</v>
      </c>
      <c r="Q315" s="94">
        <f t="shared" si="558"/>
        <v>1.6319E-2</v>
      </c>
      <c r="R315" s="94">
        <f t="shared" si="559"/>
        <v>1.6319E-2</v>
      </c>
      <c r="S315" s="94">
        <f t="shared" si="560"/>
        <v>1.6317000000000002E-2</v>
      </c>
      <c r="T315" s="94">
        <f t="shared" si="561"/>
        <v>0</v>
      </c>
      <c r="U315" s="402">
        <f>-AQ315</f>
        <v>0</v>
      </c>
      <c r="V315" s="573">
        <v>0</v>
      </c>
      <c r="W315" s="326">
        <v>0</v>
      </c>
      <c r="X315" s="207">
        <f>-0.001528</f>
        <v>-1.5280000000000001E-3</v>
      </c>
      <c r="Y315" s="367">
        <v>0</v>
      </c>
      <c r="Z315" s="367">
        <v>0</v>
      </c>
      <c r="AA315" s="468">
        <v>0</v>
      </c>
      <c r="AB315" s="207">
        <v>0</v>
      </c>
      <c r="AC315" s="207">
        <v>-1.6319E-2</v>
      </c>
      <c r="AD315" s="367">
        <v>0</v>
      </c>
      <c r="AE315" s="468">
        <v>0</v>
      </c>
      <c r="AF315" s="468">
        <v>0</v>
      </c>
      <c r="AG315" s="468">
        <v>-1.6319E-2</v>
      </c>
      <c r="AH315" s="468">
        <v>-1.6319E-2</v>
      </c>
      <c r="AI315" s="623">
        <v>-1.6317000000000002E-2</v>
      </c>
      <c r="AJ315" s="207">
        <v>0</v>
      </c>
      <c r="AK315" s="367">
        <v>0</v>
      </c>
      <c r="AL315" s="367">
        <v>0</v>
      </c>
      <c r="AM315" s="367">
        <v>0</v>
      </c>
      <c r="AN315" s="367">
        <v>0</v>
      </c>
      <c r="AO315" s="295">
        <v>0</v>
      </c>
      <c r="AP315" s="295">
        <v>0</v>
      </c>
      <c r="AQ315" s="295">
        <v>0</v>
      </c>
      <c r="AR315" s="623">
        <v>0</v>
      </c>
      <c r="AS315" s="295">
        <f t="shared" si="553"/>
        <v>0</v>
      </c>
      <c r="AT315" s="408" t="s">
        <v>2060</v>
      </c>
    </row>
    <row r="316" spans="1:46" ht="18.5" collapsed="1" x14ac:dyDescent="0.35">
      <c r="A316" s="436">
        <v>4</v>
      </c>
      <c r="B316" s="618" t="s">
        <v>1724</v>
      </c>
      <c r="C316" s="599"/>
      <c r="D316" s="345"/>
      <c r="E316" s="429"/>
      <c r="F316" s="478"/>
      <c r="G316" s="378" t="s">
        <v>1727</v>
      </c>
      <c r="H316" s="379" t="s">
        <v>1727</v>
      </c>
      <c r="I316" s="346"/>
      <c r="J316" s="336"/>
      <c r="K316" s="347">
        <f t="shared" ref="K316:AS316" si="573">SUM(K317:K345)</f>
        <v>47.267635000000013</v>
      </c>
      <c r="L316" s="363">
        <f t="shared" si="573"/>
        <v>21.384319000000001</v>
      </c>
      <c r="M316" s="363">
        <f t="shared" si="573"/>
        <v>21.134721999999996</v>
      </c>
      <c r="N316" s="363">
        <f t="shared" si="573"/>
        <v>32.113040400000003</v>
      </c>
      <c r="O316" s="363">
        <f t="shared" si="573"/>
        <v>32.113040400000003</v>
      </c>
      <c r="P316" s="363">
        <f t="shared" si="573"/>
        <v>19.821274999999996</v>
      </c>
      <c r="Q316" s="363">
        <f t="shared" ref="Q316" si="574">SUM(Q317:Q345)</f>
        <v>6.3116380000000003</v>
      </c>
      <c r="R316" s="363">
        <f t="shared" si="573"/>
        <v>6.3116380000000003</v>
      </c>
      <c r="S316" s="363">
        <f t="shared" ref="S316" si="575">SUM(S317:S345)</f>
        <v>4.7907249999999992</v>
      </c>
      <c r="T316" s="363">
        <f t="shared" si="573"/>
        <v>0</v>
      </c>
      <c r="U316" s="364">
        <f t="shared" si="573"/>
        <v>0</v>
      </c>
      <c r="V316" s="572">
        <f t="shared" si="573"/>
        <v>-21.384319000000001</v>
      </c>
      <c r="W316" s="347">
        <f t="shared" si="573"/>
        <v>-21.134721999999996</v>
      </c>
      <c r="X316" s="363">
        <f t="shared" si="573"/>
        <v>-32.113040400000003</v>
      </c>
      <c r="Y316" s="365">
        <f t="shared" si="573"/>
        <v>-27.348980000000001</v>
      </c>
      <c r="Z316" s="365">
        <f t="shared" si="573"/>
        <v>-35.197727000000008</v>
      </c>
      <c r="AA316" s="567">
        <f t="shared" si="573"/>
        <v>-35.197727000000008</v>
      </c>
      <c r="AB316" s="350">
        <f t="shared" si="573"/>
        <v>-19.821274999999996</v>
      </c>
      <c r="AC316" s="363">
        <f t="shared" si="573"/>
        <v>-6.3116380000000003</v>
      </c>
      <c r="AD316" s="365">
        <f t="shared" si="573"/>
        <v>0</v>
      </c>
      <c r="AE316" s="585">
        <f t="shared" si="573"/>
        <v>0</v>
      </c>
      <c r="AF316" s="585">
        <f t="shared" si="573"/>
        <v>-1.7991280000000001</v>
      </c>
      <c r="AG316" s="585">
        <f t="shared" ref="AG316:AI316" si="576">SUM(AG317:AG345)</f>
        <v>-6.5140630000000002</v>
      </c>
      <c r="AH316" s="585">
        <f t="shared" si="576"/>
        <v>-6.5140630000000002</v>
      </c>
      <c r="AI316" s="347">
        <f t="shared" si="576"/>
        <v>-4.7907249999999992</v>
      </c>
      <c r="AJ316" s="363">
        <f t="shared" si="573"/>
        <v>0</v>
      </c>
      <c r="AK316" s="365">
        <f t="shared" ref="AK316:AL316" si="577">SUM(AK317:AK345)</f>
        <v>0</v>
      </c>
      <c r="AL316" s="365">
        <f t="shared" si="577"/>
        <v>0</v>
      </c>
      <c r="AM316" s="365">
        <f t="shared" ref="AM316:AP316" si="578">SUM(AM317:AM345)</f>
        <v>0</v>
      </c>
      <c r="AN316" s="365">
        <f t="shared" ref="AN316" si="579">SUM(AN317:AN345)</f>
        <v>0</v>
      </c>
      <c r="AO316" s="364">
        <f t="shared" si="578"/>
        <v>0</v>
      </c>
      <c r="AP316" s="364">
        <f t="shared" si="578"/>
        <v>0</v>
      </c>
      <c r="AQ316" s="364">
        <f t="shared" si="573"/>
        <v>0</v>
      </c>
      <c r="AR316" s="347">
        <f t="shared" si="573"/>
        <v>0</v>
      </c>
      <c r="AS316" s="364">
        <f t="shared" si="573"/>
        <v>0</v>
      </c>
      <c r="AT316" s="348"/>
    </row>
    <row r="317" spans="1:46" ht="101.5" hidden="1" customHeight="1" outlineLevel="1" x14ac:dyDescent="0.35">
      <c r="A317" s="590">
        <v>1</v>
      </c>
      <c r="B317" s="612" t="s">
        <v>210</v>
      </c>
      <c r="C317" s="602" t="s">
        <v>210</v>
      </c>
      <c r="D317" s="63" t="s">
        <v>286</v>
      </c>
      <c r="E317" s="432" t="s">
        <v>215</v>
      </c>
      <c r="F317" s="480" t="s">
        <v>220</v>
      </c>
      <c r="G317" s="71" t="s">
        <v>211</v>
      </c>
      <c r="H317" s="310" t="s">
        <v>127</v>
      </c>
      <c r="I317" s="334"/>
      <c r="J317" s="283"/>
      <c r="K317" s="1135">
        <f>SUM(R317:R318)+SUM(M317)+SUM(T317:T318)+SUM(U317:U318)+SUM(P317:P318)</f>
        <v>10.419915000000001</v>
      </c>
      <c r="L317" s="20">
        <f>-V317</f>
        <v>0.24690000000000001</v>
      </c>
      <c r="M317" s="1137">
        <f>-W317</f>
        <v>9.7010590000000008</v>
      </c>
      <c r="N317" s="94">
        <f>-X317</f>
        <v>10.605499</v>
      </c>
      <c r="O317" s="94">
        <f t="shared" ref="O317:O345" si="580">-X317</f>
        <v>10.605499</v>
      </c>
      <c r="P317" s="94">
        <f t="shared" ref="P317:P339" si="581">-AB317</f>
        <v>0.71885599999999994</v>
      </c>
      <c r="Q317" s="94">
        <f t="shared" ref="Q317:Q345" si="582">-AC317</f>
        <v>0</v>
      </c>
      <c r="R317" s="94">
        <f t="shared" ref="R317:R334" si="583">-AC317</f>
        <v>0</v>
      </c>
      <c r="S317" s="94">
        <f t="shared" ref="S317:S345" si="584">-AI317</f>
        <v>0</v>
      </c>
      <c r="T317" s="94">
        <f t="shared" ref="T317:T334" si="585">-AJ317</f>
        <v>0</v>
      </c>
      <c r="U317" s="402">
        <f t="shared" ref="U317:U334" si="586">-AQ317</f>
        <v>0</v>
      </c>
      <c r="V317" s="573">
        <v>-0.24690000000000001</v>
      </c>
      <c r="W317" s="1142">
        <v>-9.7010590000000008</v>
      </c>
      <c r="X317" s="207">
        <v>-10.605499</v>
      </c>
      <c r="Y317" s="367">
        <v>-10.605499</v>
      </c>
      <c r="Z317" s="367">
        <v>-10.605499</v>
      </c>
      <c r="AA317" s="468">
        <v>-10.605499</v>
      </c>
      <c r="AB317" s="1094">
        <f>-0.011737-0.218848-0.253271-0.235</f>
        <v>-0.71885599999999994</v>
      </c>
      <c r="AC317" s="207">
        <v>0</v>
      </c>
      <c r="AD317" s="367">
        <v>0</v>
      </c>
      <c r="AE317" s="468">
        <v>0</v>
      </c>
      <c r="AF317" s="468">
        <v>0</v>
      </c>
      <c r="AG317" s="468">
        <v>0</v>
      </c>
      <c r="AH317" s="468">
        <v>0</v>
      </c>
      <c r="AI317" s="1077">
        <v>0</v>
      </c>
      <c r="AJ317" s="207">
        <v>0</v>
      </c>
      <c r="AK317" s="367">
        <v>0</v>
      </c>
      <c r="AL317" s="367">
        <v>0</v>
      </c>
      <c r="AM317" s="367">
        <v>0</v>
      </c>
      <c r="AN317" s="367">
        <v>0</v>
      </c>
      <c r="AO317" s="295">
        <v>0</v>
      </c>
      <c r="AP317" s="295">
        <v>0</v>
      </c>
      <c r="AQ317" s="295">
        <v>0</v>
      </c>
      <c r="AR317" s="1077">
        <v>0</v>
      </c>
      <c r="AS317" s="1168">
        <f>-AR317</f>
        <v>0</v>
      </c>
      <c r="AT317" s="420" t="s">
        <v>686</v>
      </c>
    </row>
    <row r="318" spans="1:46" ht="87" hidden="1" customHeight="1" outlineLevel="1" x14ac:dyDescent="0.35">
      <c r="A318" s="590">
        <v>2</v>
      </c>
      <c r="B318" s="612" t="s">
        <v>210</v>
      </c>
      <c r="C318" s="602" t="s">
        <v>210</v>
      </c>
      <c r="D318" s="63" t="s">
        <v>286</v>
      </c>
      <c r="E318" s="432" t="s">
        <v>215</v>
      </c>
      <c r="F318" s="480" t="s">
        <v>223</v>
      </c>
      <c r="G318" s="242" t="s">
        <v>211</v>
      </c>
      <c r="H318" s="310" t="s">
        <v>127</v>
      </c>
      <c r="I318" s="334"/>
      <c r="J318" s="283"/>
      <c r="K318" s="1136"/>
      <c r="L318" s="20">
        <f t="shared" ref="L318:L329" si="587">-V318</f>
        <v>9.6380890000000008</v>
      </c>
      <c r="M318" s="1138"/>
      <c r="N318" s="94">
        <f t="shared" ref="N318:N329" si="588">-X318</f>
        <v>0.63</v>
      </c>
      <c r="O318" s="94">
        <f t="shared" si="580"/>
        <v>0.63</v>
      </c>
      <c r="P318" s="94">
        <f t="shared" si="581"/>
        <v>0</v>
      </c>
      <c r="Q318" s="94">
        <f t="shared" si="582"/>
        <v>0</v>
      </c>
      <c r="R318" s="94">
        <f t="shared" si="583"/>
        <v>0</v>
      </c>
      <c r="S318" s="94">
        <f t="shared" si="584"/>
        <v>0</v>
      </c>
      <c r="T318" s="94">
        <f t="shared" si="585"/>
        <v>0</v>
      </c>
      <c r="U318" s="402">
        <f t="shared" si="586"/>
        <v>0</v>
      </c>
      <c r="V318" s="573">
        <v>-9.6380890000000008</v>
      </c>
      <c r="W318" s="1143"/>
      <c r="X318" s="207">
        <v>-0.63</v>
      </c>
      <c r="Y318" s="367">
        <v>-0.63</v>
      </c>
      <c r="Z318" s="367">
        <v>-0.63</v>
      </c>
      <c r="AA318" s="468">
        <v>-0.63</v>
      </c>
      <c r="AB318" s="1094"/>
      <c r="AC318" s="207">
        <v>0</v>
      </c>
      <c r="AD318" s="367">
        <v>0</v>
      </c>
      <c r="AE318" s="468">
        <v>0</v>
      </c>
      <c r="AF318" s="468">
        <v>0</v>
      </c>
      <c r="AG318" s="468">
        <v>0</v>
      </c>
      <c r="AH318" s="468">
        <v>0</v>
      </c>
      <c r="AI318" s="1079"/>
      <c r="AJ318" s="207">
        <v>0</v>
      </c>
      <c r="AK318" s="367">
        <v>0</v>
      </c>
      <c r="AL318" s="367">
        <v>0</v>
      </c>
      <c r="AM318" s="367">
        <v>0</v>
      </c>
      <c r="AN318" s="367">
        <v>0</v>
      </c>
      <c r="AO318" s="295">
        <v>0</v>
      </c>
      <c r="AP318" s="295">
        <v>0</v>
      </c>
      <c r="AQ318" s="295">
        <v>0</v>
      </c>
      <c r="AR318" s="1079"/>
      <c r="AS318" s="1169"/>
      <c r="AT318" s="420" t="s">
        <v>687</v>
      </c>
    </row>
    <row r="319" spans="1:46" ht="101.5" hidden="1" customHeight="1" outlineLevel="1" x14ac:dyDescent="0.35">
      <c r="A319" s="590">
        <v>3</v>
      </c>
      <c r="B319" s="612" t="s">
        <v>210</v>
      </c>
      <c r="C319" s="602" t="s">
        <v>210</v>
      </c>
      <c r="D319" s="63">
        <v>43987</v>
      </c>
      <c r="E319" s="432" t="s">
        <v>267</v>
      </c>
      <c r="F319" s="480" t="s">
        <v>287</v>
      </c>
      <c r="G319" s="71" t="s">
        <v>211</v>
      </c>
      <c r="H319" s="310" t="s">
        <v>127</v>
      </c>
      <c r="I319" s="334"/>
      <c r="J319" s="283"/>
      <c r="K319" s="294">
        <f t="shared" ref="K319:K345" si="589">M319+P319+U319+R319+T319</f>
        <v>10.551021</v>
      </c>
      <c r="L319" s="20">
        <f t="shared" si="587"/>
        <v>10.613063</v>
      </c>
      <c r="M319" s="95">
        <f t="shared" ref="M319:M329" si="590">-W319</f>
        <v>10.551021</v>
      </c>
      <c r="N319" s="94">
        <f t="shared" si="588"/>
        <v>0</v>
      </c>
      <c r="O319" s="94">
        <f t="shared" si="580"/>
        <v>0</v>
      </c>
      <c r="P319" s="94">
        <f t="shared" si="581"/>
        <v>0</v>
      </c>
      <c r="Q319" s="94">
        <f t="shared" si="582"/>
        <v>0</v>
      </c>
      <c r="R319" s="94">
        <f t="shared" si="583"/>
        <v>0</v>
      </c>
      <c r="S319" s="94">
        <f t="shared" si="584"/>
        <v>0</v>
      </c>
      <c r="T319" s="94">
        <f t="shared" si="585"/>
        <v>0</v>
      </c>
      <c r="U319" s="402">
        <f t="shared" si="586"/>
        <v>0</v>
      </c>
      <c r="V319" s="573">
        <v>-10.613063</v>
      </c>
      <c r="W319" s="326">
        <v>-10.551021</v>
      </c>
      <c r="X319" s="207">
        <v>0</v>
      </c>
      <c r="Y319" s="367">
        <v>0</v>
      </c>
      <c r="Z319" s="367">
        <v>0</v>
      </c>
      <c r="AA319" s="468">
        <v>0</v>
      </c>
      <c r="AB319" s="207">
        <v>0</v>
      </c>
      <c r="AC319" s="207">
        <v>0</v>
      </c>
      <c r="AD319" s="367">
        <v>0</v>
      </c>
      <c r="AE319" s="468">
        <v>0</v>
      </c>
      <c r="AF319" s="468">
        <v>0</v>
      </c>
      <c r="AG319" s="468">
        <v>0</v>
      </c>
      <c r="AH319" s="468">
        <v>0</v>
      </c>
      <c r="AI319" s="387">
        <v>0</v>
      </c>
      <c r="AJ319" s="207">
        <v>0</v>
      </c>
      <c r="AK319" s="367">
        <v>0</v>
      </c>
      <c r="AL319" s="367">
        <v>0</v>
      </c>
      <c r="AM319" s="367">
        <v>0</v>
      </c>
      <c r="AN319" s="367">
        <v>0</v>
      </c>
      <c r="AO319" s="295">
        <v>0</v>
      </c>
      <c r="AP319" s="295">
        <v>0</v>
      </c>
      <c r="AQ319" s="295">
        <v>0</v>
      </c>
      <c r="AR319" s="387">
        <v>0</v>
      </c>
      <c r="AS319" s="295">
        <f t="shared" ref="AS319:AS324" si="591">-AR319</f>
        <v>0</v>
      </c>
      <c r="AT319" s="420" t="s">
        <v>650</v>
      </c>
    </row>
    <row r="320" spans="1:46" ht="58" hidden="1" customHeight="1" outlineLevel="1" x14ac:dyDescent="0.35">
      <c r="A320" s="590">
        <v>4</v>
      </c>
      <c r="B320" s="612" t="s">
        <v>210</v>
      </c>
      <c r="C320" s="602" t="s">
        <v>210</v>
      </c>
      <c r="D320" s="63">
        <v>44099</v>
      </c>
      <c r="E320" s="432" t="s">
        <v>357</v>
      </c>
      <c r="F320" s="480" t="s">
        <v>333</v>
      </c>
      <c r="G320" s="71" t="s">
        <v>211</v>
      </c>
      <c r="H320" s="310" t="s">
        <v>129</v>
      </c>
      <c r="I320" s="334"/>
      <c r="J320" s="283"/>
      <c r="K320" s="294">
        <f t="shared" si="589"/>
        <v>0.66264199999999995</v>
      </c>
      <c r="L320" s="20">
        <f t="shared" si="587"/>
        <v>0.66626700000000005</v>
      </c>
      <c r="M320" s="95">
        <f t="shared" si="590"/>
        <v>0.66264199999999995</v>
      </c>
      <c r="N320" s="94">
        <f t="shared" si="588"/>
        <v>0</v>
      </c>
      <c r="O320" s="94">
        <f t="shared" si="580"/>
        <v>0</v>
      </c>
      <c r="P320" s="94">
        <f t="shared" si="581"/>
        <v>0</v>
      </c>
      <c r="Q320" s="94">
        <f t="shared" si="582"/>
        <v>0</v>
      </c>
      <c r="R320" s="94">
        <f t="shared" si="583"/>
        <v>0</v>
      </c>
      <c r="S320" s="94">
        <f t="shared" si="584"/>
        <v>0</v>
      </c>
      <c r="T320" s="94">
        <f t="shared" si="585"/>
        <v>0</v>
      </c>
      <c r="U320" s="402">
        <f t="shared" si="586"/>
        <v>0</v>
      </c>
      <c r="V320" s="573">
        <v>-0.66626700000000005</v>
      </c>
      <c r="W320" s="326">
        <v>-0.66264199999999995</v>
      </c>
      <c r="X320" s="207">
        <v>0</v>
      </c>
      <c r="Y320" s="367">
        <v>0</v>
      </c>
      <c r="Z320" s="367">
        <v>0</v>
      </c>
      <c r="AA320" s="468">
        <v>0</v>
      </c>
      <c r="AB320" s="207">
        <v>0</v>
      </c>
      <c r="AC320" s="207">
        <v>0</v>
      </c>
      <c r="AD320" s="367">
        <v>0</v>
      </c>
      <c r="AE320" s="468">
        <v>0</v>
      </c>
      <c r="AF320" s="468">
        <v>0</v>
      </c>
      <c r="AG320" s="468">
        <v>0</v>
      </c>
      <c r="AH320" s="468">
        <v>0</v>
      </c>
      <c r="AI320" s="387">
        <v>0</v>
      </c>
      <c r="AJ320" s="207">
        <v>0</v>
      </c>
      <c r="AK320" s="367">
        <v>0</v>
      </c>
      <c r="AL320" s="367">
        <v>0</v>
      </c>
      <c r="AM320" s="367">
        <v>0</v>
      </c>
      <c r="AN320" s="367">
        <v>0</v>
      </c>
      <c r="AO320" s="295">
        <v>0</v>
      </c>
      <c r="AP320" s="295">
        <v>0</v>
      </c>
      <c r="AQ320" s="295">
        <v>0</v>
      </c>
      <c r="AR320" s="387">
        <v>0</v>
      </c>
      <c r="AS320" s="295">
        <f t="shared" si="591"/>
        <v>0</v>
      </c>
      <c r="AT320" s="408" t="s">
        <v>342</v>
      </c>
    </row>
    <row r="321" spans="1:46" ht="72.650000000000006" hidden="1" customHeight="1" outlineLevel="1" x14ac:dyDescent="0.35">
      <c r="A321" s="590">
        <v>5</v>
      </c>
      <c r="B321" s="612" t="s">
        <v>210</v>
      </c>
      <c r="C321" s="602" t="s">
        <v>210</v>
      </c>
      <c r="D321" s="63" t="s">
        <v>704</v>
      </c>
      <c r="E321" s="432" t="s">
        <v>672</v>
      </c>
      <c r="F321" s="480" t="s">
        <v>671</v>
      </c>
      <c r="G321" s="71" t="s">
        <v>138</v>
      </c>
      <c r="H321" s="310" t="s">
        <v>127</v>
      </c>
      <c r="I321" s="334"/>
      <c r="J321" s="283"/>
      <c r="K321" s="294">
        <f t="shared" si="589"/>
        <v>0.54391800000000001</v>
      </c>
      <c r="L321" s="20">
        <f t="shared" si="587"/>
        <v>0</v>
      </c>
      <c r="M321" s="95">
        <f t="shared" si="590"/>
        <v>0</v>
      </c>
      <c r="N321" s="94">
        <f t="shared" si="588"/>
        <v>0.6</v>
      </c>
      <c r="O321" s="94">
        <f t="shared" si="580"/>
        <v>0.6</v>
      </c>
      <c r="P321" s="94">
        <f t="shared" si="581"/>
        <v>0.54391800000000001</v>
      </c>
      <c r="Q321" s="94">
        <f t="shared" si="582"/>
        <v>0</v>
      </c>
      <c r="R321" s="94">
        <f t="shared" si="583"/>
        <v>0</v>
      </c>
      <c r="S321" s="94">
        <f t="shared" si="584"/>
        <v>0</v>
      </c>
      <c r="T321" s="94">
        <f t="shared" si="585"/>
        <v>0</v>
      </c>
      <c r="U321" s="402">
        <f t="shared" si="586"/>
        <v>0</v>
      </c>
      <c r="V321" s="573">
        <v>0</v>
      </c>
      <c r="W321" s="326">
        <v>0</v>
      </c>
      <c r="X321" s="207">
        <v>-0.6</v>
      </c>
      <c r="Y321" s="367">
        <v>-0.6</v>
      </c>
      <c r="Z321" s="367">
        <v>-0.6</v>
      </c>
      <c r="AA321" s="468">
        <v>-0.6</v>
      </c>
      <c r="AB321" s="207">
        <f>-0.543918</f>
        <v>-0.54391800000000001</v>
      </c>
      <c r="AC321" s="207">
        <v>0</v>
      </c>
      <c r="AD321" s="367">
        <v>0</v>
      </c>
      <c r="AE321" s="468">
        <v>0</v>
      </c>
      <c r="AF321" s="468">
        <v>0</v>
      </c>
      <c r="AG321" s="468">
        <v>0</v>
      </c>
      <c r="AH321" s="468">
        <v>0</v>
      </c>
      <c r="AI321" s="387">
        <v>0</v>
      </c>
      <c r="AJ321" s="207">
        <v>0</v>
      </c>
      <c r="AK321" s="367">
        <v>0</v>
      </c>
      <c r="AL321" s="367">
        <v>0</v>
      </c>
      <c r="AM321" s="367">
        <v>0</v>
      </c>
      <c r="AN321" s="367">
        <v>0</v>
      </c>
      <c r="AO321" s="295">
        <v>0</v>
      </c>
      <c r="AP321" s="295">
        <v>0</v>
      </c>
      <c r="AQ321" s="295">
        <v>0</v>
      </c>
      <c r="AR321" s="387">
        <v>0</v>
      </c>
      <c r="AS321" s="295">
        <f t="shared" si="591"/>
        <v>0</v>
      </c>
      <c r="AT321" s="408" t="s">
        <v>673</v>
      </c>
    </row>
    <row r="322" spans="1:46" ht="72.650000000000006" hidden="1" customHeight="1" outlineLevel="1" x14ac:dyDescent="0.35">
      <c r="A322" s="590">
        <v>6</v>
      </c>
      <c r="B322" s="612" t="s">
        <v>210</v>
      </c>
      <c r="C322" s="602" t="s">
        <v>210</v>
      </c>
      <c r="D322" s="63">
        <v>44166</v>
      </c>
      <c r="E322" s="432" t="s">
        <v>425</v>
      </c>
      <c r="F322" s="480" t="s">
        <v>424</v>
      </c>
      <c r="G322" s="71" t="s">
        <v>211</v>
      </c>
      <c r="H322" s="310" t="s">
        <v>127</v>
      </c>
      <c r="I322" s="334"/>
      <c r="J322" s="283"/>
      <c r="K322" s="294">
        <f t="shared" si="589"/>
        <v>0.86417299999999997</v>
      </c>
      <c r="L322" s="20">
        <f t="shared" si="587"/>
        <v>0</v>
      </c>
      <c r="M322" s="95">
        <f t="shared" si="590"/>
        <v>0</v>
      </c>
      <c r="N322" s="94">
        <f t="shared" si="588"/>
        <v>1.0834809999999999</v>
      </c>
      <c r="O322" s="94">
        <f t="shared" si="580"/>
        <v>1.0834809999999999</v>
      </c>
      <c r="P322" s="94">
        <f t="shared" si="581"/>
        <v>0.86417299999999997</v>
      </c>
      <c r="Q322" s="94">
        <f t="shared" si="582"/>
        <v>0</v>
      </c>
      <c r="R322" s="94">
        <f t="shared" si="583"/>
        <v>0</v>
      </c>
      <c r="S322" s="94">
        <f t="shared" si="584"/>
        <v>0</v>
      </c>
      <c r="T322" s="94">
        <f t="shared" si="585"/>
        <v>0</v>
      </c>
      <c r="U322" s="402">
        <f t="shared" si="586"/>
        <v>0</v>
      </c>
      <c r="V322" s="573">
        <v>0</v>
      </c>
      <c r="W322" s="326">
        <v>0</v>
      </c>
      <c r="X322" s="207">
        <v>-1.0834809999999999</v>
      </c>
      <c r="Y322" s="367">
        <v>-1.0834809999999999</v>
      </c>
      <c r="Z322" s="367">
        <v>-1.0834809999999999</v>
      </c>
      <c r="AA322" s="468">
        <v>-1.0834809999999999</v>
      </c>
      <c r="AB322" s="207">
        <v>-0.86417299999999997</v>
      </c>
      <c r="AC322" s="207">
        <v>0</v>
      </c>
      <c r="AD322" s="367">
        <v>0</v>
      </c>
      <c r="AE322" s="468">
        <v>0</v>
      </c>
      <c r="AF322" s="468">
        <v>0</v>
      </c>
      <c r="AG322" s="468">
        <v>0</v>
      </c>
      <c r="AH322" s="468">
        <v>0</v>
      </c>
      <c r="AI322" s="387">
        <v>0</v>
      </c>
      <c r="AJ322" s="207">
        <v>0</v>
      </c>
      <c r="AK322" s="367">
        <v>0</v>
      </c>
      <c r="AL322" s="367">
        <v>0</v>
      </c>
      <c r="AM322" s="367">
        <v>0</v>
      </c>
      <c r="AN322" s="367">
        <v>0</v>
      </c>
      <c r="AO322" s="295">
        <v>0</v>
      </c>
      <c r="AP322" s="295">
        <v>0</v>
      </c>
      <c r="AQ322" s="295">
        <v>0</v>
      </c>
      <c r="AR322" s="387">
        <v>0</v>
      </c>
      <c r="AS322" s="295">
        <f t="shared" si="591"/>
        <v>0</v>
      </c>
      <c r="AT322" s="408" t="s">
        <v>426</v>
      </c>
    </row>
    <row r="323" spans="1:46" ht="29.15" hidden="1" customHeight="1" outlineLevel="1" x14ac:dyDescent="0.35">
      <c r="A323" s="590">
        <v>7</v>
      </c>
      <c r="B323" s="612" t="s">
        <v>210</v>
      </c>
      <c r="C323" s="602" t="s">
        <v>210</v>
      </c>
      <c r="D323" s="63">
        <v>44166</v>
      </c>
      <c r="E323" s="432" t="s">
        <v>423</v>
      </c>
      <c r="F323" s="480" t="s">
        <v>422</v>
      </c>
      <c r="G323" s="71" t="s">
        <v>211</v>
      </c>
      <c r="H323" s="310" t="s">
        <v>171</v>
      </c>
      <c r="I323" s="334"/>
      <c r="J323" s="283"/>
      <c r="K323" s="294">
        <f t="shared" si="589"/>
        <v>0.22</v>
      </c>
      <c r="L323" s="20">
        <f t="shared" si="587"/>
        <v>0.22</v>
      </c>
      <c r="M323" s="95">
        <f t="shared" si="590"/>
        <v>0.22</v>
      </c>
      <c r="N323" s="94">
        <f t="shared" si="588"/>
        <v>0</v>
      </c>
      <c r="O323" s="94">
        <f t="shared" si="580"/>
        <v>0</v>
      </c>
      <c r="P323" s="94">
        <f t="shared" si="581"/>
        <v>0</v>
      </c>
      <c r="Q323" s="94">
        <f t="shared" si="582"/>
        <v>0</v>
      </c>
      <c r="R323" s="94">
        <f t="shared" si="583"/>
        <v>0</v>
      </c>
      <c r="S323" s="94">
        <f t="shared" si="584"/>
        <v>0</v>
      </c>
      <c r="T323" s="94">
        <f t="shared" si="585"/>
        <v>0</v>
      </c>
      <c r="U323" s="402">
        <f t="shared" si="586"/>
        <v>0</v>
      </c>
      <c r="V323" s="573">
        <v>-0.22</v>
      </c>
      <c r="W323" s="387">
        <v>-0.22</v>
      </c>
      <c r="X323" s="207">
        <v>0</v>
      </c>
      <c r="Y323" s="367">
        <v>0</v>
      </c>
      <c r="Z323" s="367">
        <v>0</v>
      </c>
      <c r="AA323" s="468">
        <v>0</v>
      </c>
      <c r="AB323" s="207">
        <v>0</v>
      </c>
      <c r="AC323" s="207">
        <v>0</v>
      </c>
      <c r="AD323" s="367">
        <v>0</v>
      </c>
      <c r="AE323" s="468">
        <v>0</v>
      </c>
      <c r="AF323" s="468">
        <v>0</v>
      </c>
      <c r="AG323" s="468">
        <v>0</v>
      </c>
      <c r="AH323" s="468">
        <v>0</v>
      </c>
      <c r="AI323" s="387">
        <v>0</v>
      </c>
      <c r="AJ323" s="207">
        <v>0</v>
      </c>
      <c r="AK323" s="367">
        <v>0</v>
      </c>
      <c r="AL323" s="367">
        <v>0</v>
      </c>
      <c r="AM323" s="367">
        <v>0</v>
      </c>
      <c r="AN323" s="367">
        <v>0</v>
      </c>
      <c r="AO323" s="295">
        <v>0</v>
      </c>
      <c r="AP323" s="295">
        <v>0</v>
      </c>
      <c r="AQ323" s="295">
        <v>0</v>
      </c>
      <c r="AR323" s="387">
        <v>0</v>
      </c>
      <c r="AS323" s="295">
        <f t="shared" si="591"/>
        <v>0</v>
      </c>
      <c r="AT323" s="408" t="s">
        <v>651</v>
      </c>
    </row>
    <row r="324" spans="1:46" ht="152.25" hidden="1" customHeight="1" outlineLevel="1" x14ac:dyDescent="0.35">
      <c r="A324" s="590">
        <v>8</v>
      </c>
      <c r="B324" s="612" t="s">
        <v>210</v>
      </c>
      <c r="C324" s="602" t="s">
        <v>210</v>
      </c>
      <c r="D324" s="63">
        <v>44210</v>
      </c>
      <c r="E324" s="432" t="s">
        <v>553</v>
      </c>
      <c r="F324" s="480" t="s">
        <v>613</v>
      </c>
      <c r="G324" s="71" t="s">
        <v>211</v>
      </c>
      <c r="H324" s="310" t="s">
        <v>127</v>
      </c>
      <c r="I324" s="334"/>
      <c r="J324" s="283"/>
      <c r="K324" s="294">
        <f t="shared" si="589"/>
        <v>2.8412989999999998</v>
      </c>
      <c r="L324" s="20">
        <f t="shared" si="587"/>
        <v>0</v>
      </c>
      <c r="M324" s="95">
        <f t="shared" si="590"/>
        <v>0</v>
      </c>
      <c r="N324" s="94">
        <f t="shared" si="588"/>
        <v>3</v>
      </c>
      <c r="O324" s="94">
        <f t="shared" si="580"/>
        <v>3</v>
      </c>
      <c r="P324" s="94">
        <f t="shared" si="581"/>
        <v>2.8412989999999998</v>
      </c>
      <c r="Q324" s="94">
        <f t="shared" si="582"/>
        <v>0</v>
      </c>
      <c r="R324" s="94">
        <f t="shared" si="583"/>
        <v>0</v>
      </c>
      <c r="S324" s="94">
        <f t="shared" si="584"/>
        <v>0</v>
      </c>
      <c r="T324" s="94">
        <f t="shared" si="585"/>
        <v>0</v>
      </c>
      <c r="U324" s="402">
        <f t="shared" si="586"/>
        <v>0</v>
      </c>
      <c r="V324" s="573">
        <v>0</v>
      </c>
      <c r="W324" s="326">
        <v>0</v>
      </c>
      <c r="X324" s="207">
        <v>-3</v>
      </c>
      <c r="Y324" s="367">
        <v>-3</v>
      </c>
      <c r="Z324" s="367">
        <v>-3</v>
      </c>
      <c r="AA324" s="468">
        <v>-3</v>
      </c>
      <c r="AB324" s="207">
        <f>-2.841299</f>
        <v>-2.8412989999999998</v>
      </c>
      <c r="AC324" s="207">
        <v>0</v>
      </c>
      <c r="AD324" s="367">
        <v>0</v>
      </c>
      <c r="AE324" s="468">
        <v>0</v>
      </c>
      <c r="AF324" s="468">
        <v>0</v>
      </c>
      <c r="AG324" s="468">
        <v>0</v>
      </c>
      <c r="AH324" s="468">
        <v>0</v>
      </c>
      <c r="AI324" s="387">
        <v>0</v>
      </c>
      <c r="AJ324" s="207">
        <v>0</v>
      </c>
      <c r="AK324" s="367">
        <v>0</v>
      </c>
      <c r="AL324" s="367">
        <v>0</v>
      </c>
      <c r="AM324" s="367">
        <v>0</v>
      </c>
      <c r="AN324" s="367">
        <v>0</v>
      </c>
      <c r="AO324" s="295">
        <v>0</v>
      </c>
      <c r="AP324" s="295">
        <v>0</v>
      </c>
      <c r="AQ324" s="295">
        <v>0</v>
      </c>
      <c r="AR324" s="387">
        <v>0</v>
      </c>
      <c r="AS324" s="295">
        <f t="shared" si="591"/>
        <v>0</v>
      </c>
      <c r="AT324" s="408" t="s">
        <v>554</v>
      </c>
    </row>
    <row r="325" spans="1:46" ht="58" hidden="1" customHeight="1" outlineLevel="1" x14ac:dyDescent="0.35">
      <c r="A325" s="590">
        <v>9</v>
      </c>
      <c r="B325" s="612" t="s">
        <v>210</v>
      </c>
      <c r="C325" s="602" t="s">
        <v>210</v>
      </c>
      <c r="D325" s="63">
        <v>44231</v>
      </c>
      <c r="E325" s="432" t="s">
        <v>1336</v>
      </c>
      <c r="F325" s="480" t="s">
        <v>697</v>
      </c>
      <c r="G325" s="71" t="s">
        <v>211</v>
      </c>
      <c r="H325" s="310" t="s">
        <v>127</v>
      </c>
      <c r="I325" s="334"/>
      <c r="J325" s="283"/>
      <c r="K325" s="294">
        <f t="shared" si="589"/>
        <v>0</v>
      </c>
      <c r="L325" s="20">
        <f t="shared" si="587"/>
        <v>0</v>
      </c>
      <c r="M325" s="95">
        <f t="shared" si="590"/>
        <v>0</v>
      </c>
      <c r="N325" s="94">
        <f t="shared" si="588"/>
        <v>0</v>
      </c>
      <c r="O325" s="94">
        <f t="shared" si="580"/>
        <v>0</v>
      </c>
      <c r="P325" s="94">
        <f t="shared" si="581"/>
        <v>0</v>
      </c>
      <c r="Q325" s="94">
        <f t="shared" si="582"/>
        <v>0</v>
      </c>
      <c r="R325" s="94">
        <f t="shared" si="583"/>
        <v>0</v>
      </c>
      <c r="S325" s="94">
        <f t="shared" si="584"/>
        <v>0</v>
      </c>
      <c r="T325" s="94">
        <f t="shared" si="585"/>
        <v>0</v>
      </c>
      <c r="U325" s="402">
        <f t="shared" si="586"/>
        <v>0</v>
      </c>
      <c r="V325" s="573">
        <v>0</v>
      </c>
      <c r="W325" s="326">
        <v>0</v>
      </c>
      <c r="X325" s="207">
        <v>0</v>
      </c>
      <c r="Y325" s="367">
        <v>-6</v>
      </c>
      <c r="Z325" s="367">
        <v>-6</v>
      </c>
      <c r="AA325" s="468">
        <v>-6</v>
      </c>
      <c r="AB325" s="207">
        <v>0</v>
      </c>
      <c r="AC325" s="207">
        <v>0</v>
      </c>
      <c r="AD325" s="367">
        <v>0</v>
      </c>
      <c r="AE325" s="468">
        <v>0</v>
      </c>
      <c r="AF325" s="468">
        <v>0</v>
      </c>
      <c r="AG325" s="468">
        <v>0</v>
      </c>
      <c r="AH325" s="468">
        <v>0</v>
      </c>
      <c r="AI325" s="387">
        <v>0</v>
      </c>
      <c r="AJ325" s="207">
        <v>0</v>
      </c>
      <c r="AK325" s="367">
        <v>0</v>
      </c>
      <c r="AL325" s="367">
        <v>0</v>
      </c>
      <c r="AM325" s="367">
        <v>0</v>
      </c>
      <c r="AN325" s="367">
        <v>0</v>
      </c>
      <c r="AO325" s="295">
        <v>0</v>
      </c>
      <c r="AP325" s="295">
        <v>0</v>
      </c>
      <c r="AQ325" s="295">
        <v>0</v>
      </c>
      <c r="AR325" s="387">
        <v>0</v>
      </c>
      <c r="AS325" s="295">
        <f t="shared" ref="AS325" si="592">-AR325</f>
        <v>0</v>
      </c>
      <c r="AT325" s="408" t="s">
        <v>1947</v>
      </c>
    </row>
    <row r="326" spans="1:46" ht="72.650000000000006" hidden="1" customHeight="1" outlineLevel="1" x14ac:dyDescent="0.35">
      <c r="A326" s="590">
        <v>10</v>
      </c>
      <c r="B326" s="612" t="s">
        <v>210</v>
      </c>
      <c r="C326" s="602" t="s">
        <v>210</v>
      </c>
      <c r="D326" s="63">
        <v>44250</v>
      </c>
      <c r="E326" s="432" t="s">
        <v>1191</v>
      </c>
      <c r="F326" s="480" t="s">
        <v>1098</v>
      </c>
      <c r="G326" s="71" t="s">
        <v>211</v>
      </c>
      <c r="H326" s="310" t="s">
        <v>127</v>
      </c>
      <c r="I326" s="334"/>
      <c r="J326" s="283"/>
      <c r="K326" s="294">
        <f t="shared" si="589"/>
        <v>2</v>
      </c>
      <c r="L326" s="20">
        <f t="shared" si="587"/>
        <v>0</v>
      </c>
      <c r="M326" s="95">
        <f t="shared" si="590"/>
        <v>0</v>
      </c>
      <c r="N326" s="94">
        <f t="shared" si="588"/>
        <v>2</v>
      </c>
      <c r="O326" s="94">
        <f t="shared" si="580"/>
        <v>2</v>
      </c>
      <c r="P326" s="94">
        <f t="shared" si="581"/>
        <v>2</v>
      </c>
      <c r="Q326" s="94">
        <f t="shared" si="582"/>
        <v>0</v>
      </c>
      <c r="R326" s="94">
        <f t="shared" si="583"/>
        <v>0</v>
      </c>
      <c r="S326" s="94">
        <f t="shared" si="584"/>
        <v>0</v>
      </c>
      <c r="T326" s="94">
        <f t="shared" si="585"/>
        <v>0</v>
      </c>
      <c r="U326" s="402">
        <f t="shared" si="586"/>
        <v>0</v>
      </c>
      <c r="V326" s="573">
        <v>0</v>
      </c>
      <c r="W326" s="326">
        <v>0</v>
      </c>
      <c r="X326" s="207">
        <v>-2</v>
      </c>
      <c r="Y326" s="367">
        <v>-2</v>
      </c>
      <c r="Z326" s="367">
        <v>-2</v>
      </c>
      <c r="AA326" s="468">
        <v>-2</v>
      </c>
      <c r="AB326" s="207">
        <v>-2</v>
      </c>
      <c r="AC326" s="207">
        <v>0</v>
      </c>
      <c r="AD326" s="367">
        <v>0</v>
      </c>
      <c r="AE326" s="468">
        <v>0</v>
      </c>
      <c r="AF326" s="468">
        <v>0</v>
      </c>
      <c r="AG326" s="468">
        <v>0</v>
      </c>
      <c r="AH326" s="468">
        <v>0</v>
      </c>
      <c r="AI326" s="387">
        <v>0</v>
      </c>
      <c r="AJ326" s="207">
        <v>0</v>
      </c>
      <c r="AK326" s="367">
        <v>0</v>
      </c>
      <c r="AL326" s="367">
        <v>0</v>
      </c>
      <c r="AM326" s="367">
        <v>0</v>
      </c>
      <c r="AN326" s="367">
        <v>0</v>
      </c>
      <c r="AO326" s="295">
        <v>0</v>
      </c>
      <c r="AP326" s="295">
        <v>0</v>
      </c>
      <c r="AQ326" s="295">
        <v>0</v>
      </c>
      <c r="AR326" s="387">
        <v>0</v>
      </c>
      <c r="AS326" s="295">
        <f>-AR326</f>
        <v>0</v>
      </c>
      <c r="AT326" s="408" t="s">
        <v>1099</v>
      </c>
    </row>
    <row r="327" spans="1:46" ht="101.5" hidden="1" customHeight="1" outlineLevel="1" x14ac:dyDescent="0.35">
      <c r="A327" s="590">
        <v>11</v>
      </c>
      <c r="B327" s="612" t="s">
        <v>210</v>
      </c>
      <c r="C327" s="602" t="s">
        <v>210</v>
      </c>
      <c r="D327" s="63">
        <v>44253</v>
      </c>
      <c r="E327" s="432" t="s">
        <v>1154</v>
      </c>
      <c r="F327" s="495" t="s">
        <v>1156</v>
      </c>
      <c r="G327" s="71" t="s">
        <v>138</v>
      </c>
      <c r="H327" s="310" t="s">
        <v>127</v>
      </c>
      <c r="I327" s="334"/>
      <c r="J327" s="283"/>
      <c r="K327" s="294">
        <f t="shared" si="589"/>
        <v>0.323745</v>
      </c>
      <c r="L327" s="20">
        <f t="shared" si="587"/>
        <v>0</v>
      </c>
      <c r="M327" s="95">
        <f t="shared" si="590"/>
        <v>0</v>
      </c>
      <c r="N327" s="94">
        <f t="shared" si="588"/>
        <v>0.43</v>
      </c>
      <c r="O327" s="94">
        <f t="shared" si="580"/>
        <v>0.43</v>
      </c>
      <c r="P327" s="94">
        <f t="shared" si="581"/>
        <v>0.323745</v>
      </c>
      <c r="Q327" s="94">
        <f t="shared" si="582"/>
        <v>0</v>
      </c>
      <c r="R327" s="94">
        <f t="shared" si="583"/>
        <v>0</v>
      </c>
      <c r="S327" s="94">
        <f t="shared" si="584"/>
        <v>0</v>
      </c>
      <c r="T327" s="94">
        <f t="shared" si="585"/>
        <v>0</v>
      </c>
      <c r="U327" s="402">
        <f t="shared" si="586"/>
        <v>0</v>
      </c>
      <c r="V327" s="573">
        <v>0</v>
      </c>
      <c r="W327" s="326">
        <v>0</v>
      </c>
      <c r="X327" s="207">
        <v>-0.43</v>
      </c>
      <c r="Y327" s="367">
        <v>-0.43</v>
      </c>
      <c r="Z327" s="367">
        <v>-0.43</v>
      </c>
      <c r="AA327" s="468">
        <v>-0.43</v>
      </c>
      <c r="AB327" s="207">
        <f>-0.323745</f>
        <v>-0.323745</v>
      </c>
      <c r="AC327" s="207">
        <v>0</v>
      </c>
      <c r="AD327" s="367">
        <v>0</v>
      </c>
      <c r="AE327" s="468">
        <v>0</v>
      </c>
      <c r="AF327" s="468">
        <v>0</v>
      </c>
      <c r="AG327" s="468">
        <v>0</v>
      </c>
      <c r="AH327" s="468">
        <v>0</v>
      </c>
      <c r="AI327" s="387">
        <v>0</v>
      </c>
      <c r="AJ327" s="207">
        <v>0</v>
      </c>
      <c r="AK327" s="367">
        <v>0</v>
      </c>
      <c r="AL327" s="367">
        <v>0</v>
      </c>
      <c r="AM327" s="367">
        <v>0</v>
      </c>
      <c r="AN327" s="367">
        <v>0</v>
      </c>
      <c r="AO327" s="295">
        <v>0</v>
      </c>
      <c r="AP327" s="295">
        <v>0</v>
      </c>
      <c r="AQ327" s="295">
        <v>0</v>
      </c>
      <c r="AR327" s="387">
        <v>0</v>
      </c>
      <c r="AS327" s="295">
        <f>-AR327</f>
        <v>0</v>
      </c>
      <c r="AT327" s="411" t="s">
        <v>1155</v>
      </c>
    </row>
    <row r="328" spans="1:46" ht="72.650000000000006" hidden="1" customHeight="1" outlineLevel="1" x14ac:dyDescent="0.35">
      <c r="A328" s="590">
        <v>12</v>
      </c>
      <c r="B328" s="612" t="s">
        <v>210</v>
      </c>
      <c r="C328" s="602" t="s">
        <v>210</v>
      </c>
      <c r="D328" s="63">
        <v>44264</v>
      </c>
      <c r="E328" s="432" t="s">
        <v>1184</v>
      </c>
      <c r="F328" s="496" t="s">
        <v>1171</v>
      </c>
      <c r="G328" s="71" t="s">
        <v>211</v>
      </c>
      <c r="H328" s="310" t="s">
        <v>127</v>
      </c>
      <c r="I328" s="334"/>
      <c r="J328" s="283"/>
      <c r="K328" s="294">
        <f t="shared" si="589"/>
        <v>2.6791689999999999</v>
      </c>
      <c r="L328" s="20">
        <f t="shared" si="587"/>
        <v>0</v>
      </c>
      <c r="M328" s="95">
        <f t="shared" si="590"/>
        <v>0</v>
      </c>
      <c r="N328" s="94">
        <f t="shared" si="588"/>
        <v>3</v>
      </c>
      <c r="O328" s="94">
        <f t="shared" si="580"/>
        <v>3</v>
      </c>
      <c r="P328" s="94">
        <f t="shared" si="581"/>
        <v>2.6791689999999999</v>
      </c>
      <c r="Q328" s="94">
        <f t="shared" si="582"/>
        <v>0</v>
      </c>
      <c r="R328" s="94">
        <f t="shared" si="583"/>
        <v>0</v>
      </c>
      <c r="S328" s="94">
        <f t="shared" si="584"/>
        <v>0</v>
      </c>
      <c r="T328" s="94">
        <f t="shared" si="585"/>
        <v>0</v>
      </c>
      <c r="U328" s="402">
        <f t="shared" si="586"/>
        <v>0</v>
      </c>
      <c r="V328" s="573">
        <v>0</v>
      </c>
      <c r="W328" s="326">
        <v>0</v>
      </c>
      <c r="X328" s="207">
        <v>-3</v>
      </c>
      <c r="Y328" s="367">
        <v>-3</v>
      </c>
      <c r="Z328" s="367">
        <v>-3</v>
      </c>
      <c r="AA328" s="468">
        <v>-3</v>
      </c>
      <c r="AB328" s="207">
        <f>-2.65367-0.025499</f>
        <v>-2.6791689999999999</v>
      </c>
      <c r="AC328" s="207">
        <v>0</v>
      </c>
      <c r="AD328" s="367">
        <v>0</v>
      </c>
      <c r="AE328" s="468">
        <v>0</v>
      </c>
      <c r="AF328" s="468">
        <v>0</v>
      </c>
      <c r="AG328" s="468">
        <v>0</v>
      </c>
      <c r="AH328" s="468">
        <v>0</v>
      </c>
      <c r="AI328" s="387">
        <v>0</v>
      </c>
      <c r="AJ328" s="207">
        <v>0</v>
      </c>
      <c r="AK328" s="367">
        <v>0</v>
      </c>
      <c r="AL328" s="367">
        <v>0</v>
      </c>
      <c r="AM328" s="367">
        <v>0</v>
      </c>
      <c r="AN328" s="367">
        <v>0</v>
      </c>
      <c r="AO328" s="295">
        <v>0</v>
      </c>
      <c r="AP328" s="295">
        <v>0</v>
      </c>
      <c r="AQ328" s="295">
        <v>0</v>
      </c>
      <c r="AR328" s="387">
        <v>0</v>
      </c>
      <c r="AS328" s="295">
        <f>-AR328</f>
        <v>0</v>
      </c>
      <c r="AT328" s="411" t="s">
        <v>1178</v>
      </c>
    </row>
    <row r="329" spans="1:46" ht="72.650000000000006" hidden="1" customHeight="1" outlineLevel="1" x14ac:dyDescent="0.35">
      <c r="A329" s="590">
        <v>13</v>
      </c>
      <c r="B329" s="612" t="s">
        <v>210</v>
      </c>
      <c r="C329" s="602" t="s">
        <v>210</v>
      </c>
      <c r="D329" s="63">
        <v>44314</v>
      </c>
      <c r="E329" s="432" t="s">
        <v>1366</v>
      </c>
      <c r="F329" s="496" t="s">
        <v>1349</v>
      </c>
      <c r="G329" s="71" t="s">
        <v>138</v>
      </c>
      <c r="H329" s="310" t="s">
        <v>127</v>
      </c>
      <c r="I329" s="334"/>
      <c r="J329" s="283"/>
      <c r="K329" s="294">
        <f t="shared" si="589"/>
        <v>0</v>
      </c>
      <c r="L329" s="20">
        <f t="shared" si="587"/>
        <v>0</v>
      </c>
      <c r="M329" s="95">
        <f t="shared" si="590"/>
        <v>0</v>
      </c>
      <c r="N329" s="94">
        <f t="shared" si="588"/>
        <v>0.33</v>
      </c>
      <c r="O329" s="94">
        <f t="shared" si="580"/>
        <v>0.33</v>
      </c>
      <c r="P329" s="94">
        <f t="shared" si="581"/>
        <v>0</v>
      </c>
      <c r="Q329" s="94">
        <f t="shared" si="582"/>
        <v>0</v>
      </c>
      <c r="R329" s="94">
        <f t="shared" si="583"/>
        <v>0</v>
      </c>
      <c r="S329" s="94">
        <f t="shared" si="584"/>
        <v>0</v>
      </c>
      <c r="T329" s="94">
        <f t="shared" si="585"/>
        <v>0</v>
      </c>
      <c r="U329" s="402">
        <f t="shared" si="586"/>
        <v>0</v>
      </c>
      <c r="V329" s="573">
        <v>0</v>
      </c>
      <c r="W329" s="326">
        <v>0</v>
      </c>
      <c r="X329" s="207">
        <v>-0.33</v>
      </c>
      <c r="Y329" s="367">
        <v>0</v>
      </c>
      <c r="Z329" s="367">
        <v>-0.33</v>
      </c>
      <c r="AA329" s="468">
        <v>-0.33</v>
      </c>
      <c r="AB329" s="207">
        <v>0</v>
      </c>
      <c r="AC329" s="207">
        <v>0</v>
      </c>
      <c r="AD329" s="367">
        <v>0</v>
      </c>
      <c r="AE329" s="468">
        <v>0</v>
      </c>
      <c r="AF329" s="468">
        <v>0</v>
      </c>
      <c r="AG329" s="468">
        <v>0</v>
      </c>
      <c r="AH329" s="468">
        <v>0</v>
      </c>
      <c r="AI329" s="387">
        <v>0</v>
      </c>
      <c r="AJ329" s="207">
        <v>0</v>
      </c>
      <c r="AK329" s="367">
        <v>0</v>
      </c>
      <c r="AL329" s="367">
        <v>0</v>
      </c>
      <c r="AM329" s="367">
        <v>0</v>
      </c>
      <c r="AN329" s="367">
        <v>0</v>
      </c>
      <c r="AO329" s="295">
        <v>0</v>
      </c>
      <c r="AP329" s="295">
        <v>0</v>
      </c>
      <c r="AQ329" s="295">
        <v>0</v>
      </c>
      <c r="AR329" s="387">
        <v>0</v>
      </c>
      <c r="AS329" s="295">
        <f>-AR329</f>
        <v>0</v>
      </c>
      <c r="AT329" s="411" t="s">
        <v>1350</v>
      </c>
    </row>
    <row r="330" spans="1:46" ht="72.650000000000006" hidden="1" customHeight="1" outlineLevel="1" x14ac:dyDescent="0.35">
      <c r="A330" s="590">
        <v>14</v>
      </c>
      <c r="B330" s="612" t="s">
        <v>210</v>
      </c>
      <c r="C330" s="602" t="s">
        <v>210</v>
      </c>
      <c r="D330" s="63">
        <v>44314</v>
      </c>
      <c r="E330" s="432" t="s">
        <v>1365</v>
      </c>
      <c r="F330" s="496" t="s">
        <v>1351</v>
      </c>
      <c r="G330" s="71" t="s">
        <v>211</v>
      </c>
      <c r="H330" s="310" t="s">
        <v>127</v>
      </c>
      <c r="I330" s="334"/>
      <c r="J330" s="283"/>
      <c r="K330" s="294">
        <f t="shared" si="589"/>
        <v>0.18714900000000001</v>
      </c>
      <c r="L330" s="20">
        <f t="shared" ref="L330:L345" si="593">-V330</f>
        <v>0</v>
      </c>
      <c r="M330" s="95">
        <f t="shared" ref="M330:M345" si="594">-W330</f>
        <v>0</v>
      </c>
      <c r="N330" s="94">
        <f t="shared" ref="N330" si="595">-X330</f>
        <v>0.18714900000000001</v>
      </c>
      <c r="O330" s="94">
        <f t="shared" si="580"/>
        <v>0.18714900000000001</v>
      </c>
      <c r="P330" s="94">
        <f t="shared" si="581"/>
        <v>0.18714900000000001</v>
      </c>
      <c r="Q330" s="94">
        <f t="shared" si="582"/>
        <v>0</v>
      </c>
      <c r="R330" s="94">
        <f t="shared" si="583"/>
        <v>0</v>
      </c>
      <c r="S330" s="94">
        <f t="shared" si="584"/>
        <v>0</v>
      </c>
      <c r="T330" s="94">
        <f t="shared" si="585"/>
        <v>0</v>
      </c>
      <c r="U330" s="402">
        <f t="shared" si="586"/>
        <v>0</v>
      </c>
      <c r="V330" s="573">
        <v>0</v>
      </c>
      <c r="W330" s="326">
        <v>0</v>
      </c>
      <c r="X330" s="207">
        <f>-0.187149</f>
        <v>-0.18714900000000001</v>
      </c>
      <c r="Y330" s="367">
        <v>0</v>
      </c>
      <c r="Z330" s="367">
        <v>-0.18714900000000001</v>
      </c>
      <c r="AA330" s="468">
        <v>-0.18714900000000001</v>
      </c>
      <c r="AB330" s="207">
        <v>-0.18714900000000001</v>
      </c>
      <c r="AC330" s="207">
        <v>0</v>
      </c>
      <c r="AD330" s="367">
        <v>0</v>
      </c>
      <c r="AE330" s="468">
        <v>0</v>
      </c>
      <c r="AF330" s="468">
        <v>0</v>
      </c>
      <c r="AG330" s="468">
        <v>0</v>
      </c>
      <c r="AH330" s="468">
        <v>0</v>
      </c>
      <c r="AI330" s="387">
        <v>0</v>
      </c>
      <c r="AJ330" s="207">
        <v>0</v>
      </c>
      <c r="AK330" s="367">
        <v>0</v>
      </c>
      <c r="AL330" s="367">
        <v>0</v>
      </c>
      <c r="AM330" s="367">
        <v>0</v>
      </c>
      <c r="AN330" s="367">
        <v>0</v>
      </c>
      <c r="AO330" s="295">
        <v>0</v>
      </c>
      <c r="AP330" s="295">
        <v>0</v>
      </c>
      <c r="AQ330" s="295">
        <v>0</v>
      </c>
      <c r="AR330" s="387">
        <v>0</v>
      </c>
      <c r="AS330" s="295">
        <f t="shared" ref="AS330:AS345" si="596">-AR330</f>
        <v>0</v>
      </c>
      <c r="AT330" s="411" t="s">
        <v>1352</v>
      </c>
    </row>
    <row r="331" spans="1:46" ht="87" hidden="1" customHeight="1" outlineLevel="1" x14ac:dyDescent="0.35">
      <c r="A331" s="590">
        <v>15</v>
      </c>
      <c r="B331" s="612" t="s">
        <v>210</v>
      </c>
      <c r="C331" s="602" t="s">
        <v>210</v>
      </c>
      <c r="D331" s="63">
        <v>44354</v>
      </c>
      <c r="E331" s="432" t="s">
        <v>1467</v>
      </c>
      <c r="F331" s="496" t="s">
        <v>1468</v>
      </c>
      <c r="G331" s="71" t="s">
        <v>211</v>
      </c>
      <c r="H331" s="310" t="s">
        <v>127</v>
      </c>
      <c r="I331" s="334"/>
      <c r="J331" s="283"/>
      <c r="K331" s="294">
        <f t="shared" si="589"/>
        <v>2.0236000000000001E-2</v>
      </c>
      <c r="L331" s="20">
        <f t="shared" si="593"/>
        <v>0</v>
      </c>
      <c r="M331" s="95">
        <f t="shared" si="594"/>
        <v>0</v>
      </c>
      <c r="N331" s="94">
        <f t="shared" ref="N331:N334" si="597">-X331</f>
        <v>0.19294600000000001</v>
      </c>
      <c r="O331" s="94">
        <f t="shared" si="580"/>
        <v>0.19294600000000001</v>
      </c>
      <c r="P331" s="94">
        <f t="shared" si="581"/>
        <v>2.0236000000000001E-2</v>
      </c>
      <c r="Q331" s="94">
        <f t="shared" si="582"/>
        <v>0</v>
      </c>
      <c r="R331" s="94">
        <f t="shared" si="583"/>
        <v>0</v>
      </c>
      <c r="S331" s="94">
        <f t="shared" si="584"/>
        <v>0</v>
      </c>
      <c r="T331" s="94">
        <f t="shared" si="585"/>
        <v>0</v>
      </c>
      <c r="U331" s="402">
        <f t="shared" si="586"/>
        <v>0</v>
      </c>
      <c r="V331" s="573">
        <v>0</v>
      </c>
      <c r="W331" s="326">
        <v>0</v>
      </c>
      <c r="X331" s="207">
        <v>-0.19294600000000001</v>
      </c>
      <c r="Y331" s="367">
        <v>0</v>
      </c>
      <c r="Z331" s="367">
        <v>-0.19294600000000001</v>
      </c>
      <c r="AA331" s="468">
        <v>-0.19294600000000001</v>
      </c>
      <c r="AB331" s="207">
        <f>-0.020236</f>
        <v>-2.0236000000000001E-2</v>
      </c>
      <c r="AC331" s="207">
        <v>0</v>
      </c>
      <c r="AD331" s="367">
        <v>0</v>
      </c>
      <c r="AE331" s="468">
        <v>0</v>
      </c>
      <c r="AF331" s="468">
        <v>0</v>
      </c>
      <c r="AG331" s="468">
        <v>0</v>
      </c>
      <c r="AH331" s="468">
        <v>0</v>
      </c>
      <c r="AI331" s="387">
        <v>0</v>
      </c>
      <c r="AJ331" s="207">
        <v>0</v>
      </c>
      <c r="AK331" s="367">
        <v>0</v>
      </c>
      <c r="AL331" s="367">
        <v>0</v>
      </c>
      <c r="AM331" s="367">
        <v>0</v>
      </c>
      <c r="AN331" s="367">
        <v>0</v>
      </c>
      <c r="AO331" s="295">
        <v>0</v>
      </c>
      <c r="AP331" s="295">
        <v>0</v>
      </c>
      <c r="AQ331" s="295">
        <v>0</v>
      </c>
      <c r="AR331" s="387">
        <v>0</v>
      </c>
      <c r="AS331" s="295">
        <f t="shared" si="596"/>
        <v>0</v>
      </c>
      <c r="AT331" s="411" t="s">
        <v>1469</v>
      </c>
    </row>
    <row r="332" spans="1:46" ht="87" hidden="1" customHeight="1" outlineLevel="1" x14ac:dyDescent="0.35">
      <c r="A332" s="590">
        <v>16</v>
      </c>
      <c r="B332" s="612" t="s">
        <v>210</v>
      </c>
      <c r="C332" s="602" t="s">
        <v>210</v>
      </c>
      <c r="D332" s="63">
        <v>44369</v>
      </c>
      <c r="E332" s="432" t="s">
        <v>1476</v>
      </c>
      <c r="F332" s="496" t="s">
        <v>1477</v>
      </c>
      <c r="G332" s="71" t="s">
        <v>211</v>
      </c>
      <c r="H332" s="310" t="s">
        <v>127</v>
      </c>
      <c r="I332" s="334"/>
      <c r="J332" s="283"/>
      <c r="K332" s="294">
        <f t="shared" si="589"/>
        <v>3.3613580000000001</v>
      </c>
      <c r="L332" s="20">
        <f t="shared" si="593"/>
        <v>0</v>
      </c>
      <c r="M332" s="95">
        <f t="shared" si="594"/>
        <v>0</v>
      </c>
      <c r="N332" s="94">
        <f t="shared" si="597"/>
        <v>3.5902560000000001</v>
      </c>
      <c r="O332" s="94">
        <f t="shared" si="580"/>
        <v>3.5902560000000001</v>
      </c>
      <c r="P332" s="94">
        <f t="shared" si="581"/>
        <v>3.3613580000000001</v>
      </c>
      <c r="Q332" s="94">
        <f t="shared" si="582"/>
        <v>0</v>
      </c>
      <c r="R332" s="94">
        <f t="shared" si="583"/>
        <v>0</v>
      </c>
      <c r="S332" s="94">
        <f t="shared" si="584"/>
        <v>0</v>
      </c>
      <c r="T332" s="94">
        <f t="shared" si="585"/>
        <v>0</v>
      </c>
      <c r="U332" s="402">
        <f t="shared" si="586"/>
        <v>0</v>
      </c>
      <c r="V332" s="573">
        <v>0</v>
      </c>
      <c r="W332" s="326">
        <v>0</v>
      </c>
      <c r="X332" s="207">
        <v>-3.5902560000000001</v>
      </c>
      <c r="Y332" s="367">
        <v>0</v>
      </c>
      <c r="Z332" s="367">
        <v>-3.5902560000000001</v>
      </c>
      <c r="AA332" s="468">
        <v>-3.5902560000000001</v>
      </c>
      <c r="AB332" s="207">
        <f>-0.082-0.910448-0.058588-0.631998-0.849694-0.82863</f>
        <v>-3.3613580000000001</v>
      </c>
      <c r="AC332" s="207">
        <v>0</v>
      </c>
      <c r="AD332" s="367">
        <v>0</v>
      </c>
      <c r="AE332" s="468">
        <v>0</v>
      </c>
      <c r="AF332" s="468">
        <v>0</v>
      </c>
      <c r="AG332" s="468">
        <v>0</v>
      </c>
      <c r="AH332" s="468">
        <v>0</v>
      </c>
      <c r="AI332" s="387">
        <v>0</v>
      </c>
      <c r="AJ332" s="207">
        <v>0</v>
      </c>
      <c r="AK332" s="367">
        <v>0</v>
      </c>
      <c r="AL332" s="367">
        <v>0</v>
      </c>
      <c r="AM332" s="367">
        <v>0</v>
      </c>
      <c r="AN332" s="367">
        <v>0</v>
      </c>
      <c r="AO332" s="295">
        <v>0</v>
      </c>
      <c r="AP332" s="295">
        <v>0</v>
      </c>
      <c r="AQ332" s="295">
        <v>0</v>
      </c>
      <c r="AR332" s="387">
        <v>0</v>
      </c>
      <c r="AS332" s="295">
        <f t="shared" si="596"/>
        <v>0</v>
      </c>
      <c r="AT332" s="411" t="s">
        <v>1578</v>
      </c>
    </row>
    <row r="333" spans="1:46" ht="72.650000000000006" hidden="1" customHeight="1" outlineLevel="1" x14ac:dyDescent="0.35">
      <c r="A333" s="590">
        <v>17</v>
      </c>
      <c r="B333" s="612" t="s">
        <v>210</v>
      </c>
      <c r="C333" s="602" t="s">
        <v>210</v>
      </c>
      <c r="D333" s="63">
        <v>44375</v>
      </c>
      <c r="E333" s="432" t="s">
        <v>1497</v>
      </c>
      <c r="F333" s="496" t="s">
        <v>1483</v>
      </c>
      <c r="G333" s="71" t="s">
        <v>211</v>
      </c>
      <c r="H333" s="310" t="s">
        <v>127</v>
      </c>
      <c r="I333" s="334"/>
      <c r="J333" s="283"/>
      <c r="K333" s="294">
        <f t="shared" si="589"/>
        <v>0.80579800000000001</v>
      </c>
      <c r="L333" s="20">
        <f t="shared" si="593"/>
        <v>0</v>
      </c>
      <c r="M333" s="95">
        <f t="shared" si="594"/>
        <v>0</v>
      </c>
      <c r="N333" s="94">
        <f t="shared" si="597"/>
        <v>1</v>
      </c>
      <c r="O333" s="94">
        <f t="shared" si="580"/>
        <v>1</v>
      </c>
      <c r="P333" s="94">
        <f t="shared" si="581"/>
        <v>0.80579800000000001</v>
      </c>
      <c r="Q333" s="94">
        <f t="shared" si="582"/>
        <v>0</v>
      </c>
      <c r="R333" s="94">
        <f t="shared" si="583"/>
        <v>0</v>
      </c>
      <c r="S333" s="94">
        <f t="shared" si="584"/>
        <v>0</v>
      </c>
      <c r="T333" s="94">
        <f t="shared" si="585"/>
        <v>0</v>
      </c>
      <c r="U333" s="402">
        <f t="shared" si="586"/>
        <v>0</v>
      </c>
      <c r="V333" s="573">
        <v>0</v>
      </c>
      <c r="W333" s="326">
        <v>0</v>
      </c>
      <c r="X333" s="207">
        <v>-1</v>
      </c>
      <c r="Y333" s="367">
        <v>0</v>
      </c>
      <c r="Z333" s="367">
        <v>-1</v>
      </c>
      <c r="AA333" s="468">
        <v>-1</v>
      </c>
      <c r="AB333" s="207">
        <f>-0.63974-0.166058</f>
        <v>-0.80579800000000001</v>
      </c>
      <c r="AC333" s="207">
        <v>0</v>
      </c>
      <c r="AD333" s="367">
        <v>0</v>
      </c>
      <c r="AE333" s="468">
        <v>0</v>
      </c>
      <c r="AF333" s="468">
        <v>0</v>
      </c>
      <c r="AG333" s="468">
        <v>0</v>
      </c>
      <c r="AH333" s="468">
        <v>0</v>
      </c>
      <c r="AI333" s="387">
        <v>0</v>
      </c>
      <c r="AJ333" s="207">
        <v>0</v>
      </c>
      <c r="AK333" s="367">
        <v>0</v>
      </c>
      <c r="AL333" s="367">
        <v>0</v>
      </c>
      <c r="AM333" s="367">
        <v>0</v>
      </c>
      <c r="AN333" s="367">
        <v>0</v>
      </c>
      <c r="AO333" s="295">
        <v>0</v>
      </c>
      <c r="AP333" s="295">
        <v>0</v>
      </c>
      <c r="AQ333" s="295">
        <v>0</v>
      </c>
      <c r="AR333" s="387">
        <v>0</v>
      </c>
      <c r="AS333" s="295">
        <f t="shared" si="596"/>
        <v>0</v>
      </c>
      <c r="AT333" s="411" t="s">
        <v>1484</v>
      </c>
    </row>
    <row r="334" spans="1:46" ht="43.5" hidden="1" customHeight="1" outlineLevel="1" x14ac:dyDescent="0.35">
      <c r="A334" s="590">
        <v>18</v>
      </c>
      <c r="B334" s="612" t="s">
        <v>210</v>
      </c>
      <c r="C334" s="602" t="s">
        <v>210</v>
      </c>
      <c r="D334" s="63">
        <v>44383</v>
      </c>
      <c r="E334" s="432" t="s">
        <v>1482</v>
      </c>
      <c r="F334" s="496" t="s">
        <v>1483</v>
      </c>
      <c r="G334" s="71" t="s">
        <v>211</v>
      </c>
      <c r="H334" s="310" t="s">
        <v>127</v>
      </c>
      <c r="I334" s="334"/>
      <c r="J334" s="283"/>
      <c r="K334" s="294">
        <f t="shared" si="589"/>
        <v>0.63725100000000001</v>
      </c>
      <c r="L334" s="20">
        <f t="shared" si="593"/>
        <v>0</v>
      </c>
      <c r="M334" s="95">
        <f t="shared" si="594"/>
        <v>0</v>
      </c>
      <c r="N334" s="94">
        <f t="shared" si="597"/>
        <v>0.63973999999999998</v>
      </c>
      <c r="O334" s="94">
        <f t="shared" si="580"/>
        <v>0.63973999999999998</v>
      </c>
      <c r="P334" s="94">
        <f t="shared" si="581"/>
        <v>0.63725100000000001</v>
      </c>
      <c r="Q334" s="94">
        <f t="shared" si="582"/>
        <v>0</v>
      </c>
      <c r="R334" s="94">
        <f t="shared" si="583"/>
        <v>0</v>
      </c>
      <c r="S334" s="94">
        <f t="shared" si="584"/>
        <v>0</v>
      </c>
      <c r="T334" s="94">
        <f t="shared" si="585"/>
        <v>0</v>
      </c>
      <c r="U334" s="402">
        <f t="shared" si="586"/>
        <v>0</v>
      </c>
      <c r="V334" s="573">
        <v>0</v>
      </c>
      <c r="W334" s="326">
        <v>0</v>
      </c>
      <c r="X334" s="207">
        <f>-0.63974</f>
        <v>-0.63973999999999998</v>
      </c>
      <c r="Y334" s="367">
        <v>0</v>
      </c>
      <c r="Z334" s="367">
        <v>-0.63973999999999998</v>
      </c>
      <c r="AA334" s="468">
        <v>-0.63973999999999998</v>
      </c>
      <c r="AB334" s="207">
        <f>-0.584251-0.053</f>
        <v>-0.63725100000000001</v>
      </c>
      <c r="AC334" s="207">
        <v>0</v>
      </c>
      <c r="AD334" s="367">
        <v>0</v>
      </c>
      <c r="AE334" s="468">
        <v>0</v>
      </c>
      <c r="AF334" s="468">
        <v>0</v>
      </c>
      <c r="AG334" s="468">
        <v>0</v>
      </c>
      <c r="AH334" s="468">
        <v>0</v>
      </c>
      <c r="AI334" s="387">
        <v>0</v>
      </c>
      <c r="AJ334" s="207">
        <v>0</v>
      </c>
      <c r="AK334" s="367">
        <v>0</v>
      </c>
      <c r="AL334" s="367">
        <v>0</v>
      </c>
      <c r="AM334" s="367">
        <v>0</v>
      </c>
      <c r="AN334" s="367">
        <v>0</v>
      </c>
      <c r="AO334" s="295">
        <v>0</v>
      </c>
      <c r="AP334" s="295">
        <v>0</v>
      </c>
      <c r="AQ334" s="295">
        <v>0</v>
      </c>
      <c r="AR334" s="387">
        <v>0</v>
      </c>
      <c r="AS334" s="295">
        <f t="shared" si="596"/>
        <v>0</v>
      </c>
      <c r="AT334" s="411" t="s">
        <v>1498</v>
      </c>
    </row>
    <row r="335" spans="1:46" ht="72.650000000000006" hidden="1" customHeight="1" outlineLevel="1" x14ac:dyDescent="0.35">
      <c r="A335" s="590">
        <v>19</v>
      </c>
      <c r="B335" s="612" t="s">
        <v>210</v>
      </c>
      <c r="C335" s="602" t="s">
        <v>210</v>
      </c>
      <c r="D335" s="63">
        <v>44368</v>
      </c>
      <c r="E335" s="432" t="s">
        <v>1510</v>
      </c>
      <c r="F335" s="496" t="s">
        <v>1511</v>
      </c>
      <c r="G335" s="71" t="s">
        <v>211</v>
      </c>
      <c r="H335" s="310" t="s">
        <v>171</v>
      </c>
      <c r="I335" s="334"/>
      <c r="J335" s="283"/>
      <c r="K335" s="294">
        <f t="shared" si="589"/>
        <v>1.9086559999999999</v>
      </c>
      <c r="L335" s="20">
        <f t="shared" si="593"/>
        <v>0</v>
      </c>
      <c r="M335" s="95">
        <f t="shared" si="594"/>
        <v>0</v>
      </c>
      <c r="N335" s="94">
        <f t="shared" ref="N335:N345" si="598">-X335</f>
        <v>1.9086559999999999</v>
      </c>
      <c r="O335" s="94">
        <f t="shared" si="580"/>
        <v>1.9086559999999999</v>
      </c>
      <c r="P335" s="94">
        <f t="shared" si="581"/>
        <v>1.9086559999999999</v>
      </c>
      <c r="Q335" s="94">
        <f t="shared" si="582"/>
        <v>0</v>
      </c>
      <c r="R335" s="94">
        <f t="shared" ref="R335:R345" si="599">-AC335</f>
        <v>0</v>
      </c>
      <c r="S335" s="94">
        <f t="shared" si="584"/>
        <v>0</v>
      </c>
      <c r="T335" s="94">
        <f t="shared" ref="T335:T345" si="600">-AJ335</f>
        <v>0</v>
      </c>
      <c r="U335" s="402">
        <f t="shared" ref="U335:U345" si="601">-AQ335</f>
        <v>0</v>
      </c>
      <c r="V335" s="573">
        <v>0</v>
      </c>
      <c r="W335" s="326">
        <v>0</v>
      </c>
      <c r="X335" s="207">
        <v>-1.9086559999999999</v>
      </c>
      <c r="Y335" s="367">
        <v>0</v>
      </c>
      <c r="Z335" s="367">
        <v>-1.9086559999999999</v>
      </c>
      <c r="AA335" s="468">
        <v>-1.9086559999999999</v>
      </c>
      <c r="AB335" s="207">
        <f>-1.908656</f>
        <v>-1.9086559999999999</v>
      </c>
      <c r="AC335" s="207">
        <v>0</v>
      </c>
      <c r="AD335" s="367">
        <v>0</v>
      </c>
      <c r="AE335" s="468">
        <v>0</v>
      </c>
      <c r="AF335" s="468">
        <v>0</v>
      </c>
      <c r="AG335" s="468">
        <v>0</v>
      </c>
      <c r="AH335" s="468">
        <v>0</v>
      </c>
      <c r="AI335" s="387">
        <v>0</v>
      </c>
      <c r="AJ335" s="207">
        <v>0</v>
      </c>
      <c r="AK335" s="367">
        <v>0</v>
      </c>
      <c r="AL335" s="367">
        <v>0</v>
      </c>
      <c r="AM335" s="367">
        <v>0</v>
      </c>
      <c r="AN335" s="367">
        <v>0</v>
      </c>
      <c r="AO335" s="295">
        <v>0</v>
      </c>
      <c r="AP335" s="295">
        <v>0</v>
      </c>
      <c r="AQ335" s="295">
        <v>0</v>
      </c>
      <c r="AR335" s="387">
        <v>0</v>
      </c>
      <c r="AS335" s="295">
        <f t="shared" si="596"/>
        <v>0</v>
      </c>
      <c r="AT335" s="411" t="s">
        <v>1512</v>
      </c>
    </row>
    <row r="336" spans="1:46" ht="58" hidden="1" customHeight="1" outlineLevel="1" x14ac:dyDescent="0.35">
      <c r="A336" s="590">
        <v>20</v>
      </c>
      <c r="B336" s="612" t="s">
        <v>210</v>
      </c>
      <c r="C336" s="602" t="s">
        <v>210</v>
      </c>
      <c r="D336" s="63">
        <v>44417</v>
      </c>
      <c r="E336" s="432">
        <v>260</v>
      </c>
      <c r="F336" s="496" t="s">
        <v>1630</v>
      </c>
      <c r="G336" s="71" t="s">
        <v>211</v>
      </c>
      <c r="H336" s="310" t="s">
        <v>127</v>
      </c>
      <c r="I336" s="334"/>
      <c r="J336" s="283"/>
      <c r="K336" s="294">
        <f t="shared" si="589"/>
        <v>2.0619689999999999</v>
      </c>
      <c r="L336" s="20">
        <f t="shared" ref="L336:L344" si="602">-V336</f>
        <v>0</v>
      </c>
      <c r="M336" s="95">
        <f t="shared" ref="M336:M344" si="603">-W336</f>
        <v>0</v>
      </c>
      <c r="N336" s="94">
        <f t="shared" ref="N336:N344" si="604">-X336</f>
        <v>2.067148</v>
      </c>
      <c r="O336" s="94">
        <f t="shared" si="580"/>
        <v>2.067148</v>
      </c>
      <c r="P336" s="94">
        <f t="shared" si="581"/>
        <v>2.0619689999999999</v>
      </c>
      <c r="Q336" s="94">
        <f t="shared" si="582"/>
        <v>0</v>
      </c>
      <c r="R336" s="94">
        <f t="shared" ref="R336:R344" si="605">-AC336</f>
        <v>0</v>
      </c>
      <c r="S336" s="94">
        <f t="shared" si="584"/>
        <v>0</v>
      </c>
      <c r="T336" s="94">
        <f t="shared" ref="T336:T344" si="606">-AJ336</f>
        <v>0</v>
      </c>
      <c r="U336" s="402">
        <f t="shared" ref="U336:U344" si="607">-AQ336</f>
        <v>0</v>
      </c>
      <c r="V336" s="573">
        <v>0</v>
      </c>
      <c r="W336" s="326">
        <v>0</v>
      </c>
      <c r="X336" s="207">
        <f>-2.067148</f>
        <v>-2.067148</v>
      </c>
      <c r="Y336" s="367">
        <v>0</v>
      </c>
      <c r="Z336" s="367">
        <v>0</v>
      </c>
      <c r="AA336" s="468">
        <v>0</v>
      </c>
      <c r="AB336" s="207">
        <f>-2.061969</f>
        <v>-2.0619689999999999</v>
      </c>
      <c r="AC336" s="207">
        <v>0</v>
      </c>
      <c r="AD336" s="367">
        <v>0</v>
      </c>
      <c r="AE336" s="468">
        <v>0</v>
      </c>
      <c r="AF336" s="468">
        <v>0</v>
      </c>
      <c r="AG336" s="468">
        <v>0</v>
      </c>
      <c r="AH336" s="468">
        <v>0</v>
      </c>
      <c r="AI336" s="387">
        <v>0</v>
      </c>
      <c r="AJ336" s="207">
        <v>0</v>
      </c>
      <c r="AK336" s="367">
        <v>0</v>
      </c>
      <c r="AL336" s="367">
        <v>0</v>
      </c>
      <c r="AM336" s="367">
        <v>0</v>
      </c>
      <c r="AN336" s="367">
        <v>0</v>
      </c>
      <c r="AO336" s="295">
        <v>0</v>
      </c>
      <c r="AP336" s="295">
        <v>0</v>
      </c>
      <c r="AQ336" s="295">
        <v>0</v>
      </c>
      <c r="AR336" s="387">
        <v>0</v>
      </c>
      <c r="AS336" s="295">
        <f t="shared" ref="AS336:AS344" si="608">-AR336</f>
        <v>0</v>
      </c>
      <c r="AT336" s="411" t="s">
        <v>1563</v>
      </c>
    </row>
    <row r="337" spans="1:46" ht="43.5" hidden="1" customHeight="1" outlineLevel="1" x14ac:dyDescent="0.35">
      <c r="A337" s="590">
        <v>21</v>
      </c>
      <c r="B337" s="612" t="s">
        <v>210</v>
      </c>
      <c r="C337" s="602" t="s">
        <v>210</v>
      </c>
      <c r="D337" s="63">
        <v>44425</v>
      </c>
      <c r="E337" s="432" t="s">
        <v>1629</v>
      </c>
      <c r="F337" s="496" t="s">
        <v>1631</v>
      </c>
      <c r="G337" s="71" t="s">
        <v>211</v>
      </c>
      <c r="H337" s="310" t="s">
        <v>127</v>
      </c>
      <c r="I337" s="334"/>
      <c r="J337" s="283"/>
      <c r="K337" s="294">
        <f t="shared" si="589"/>
        <v>2.1704000000000001E-2</v>
      </c>
      <c r="L337" s="20">
        <f t="shared" si="602"/>
        <v>0</v>
      </c>
      <c r="M337" s="95">
        <f t="shared" si="603"/>
        <v>0</v>
      </c>
      <c r="N337" s="94">
        <f t="shared" si="604"/>
        <v>2.1703999999999998E-3</v>
      </c>
      <c r="O337" s="94">
        <f t="shared" si="580"/>
        <v>2.1703999999999998E-3</v>
      </c>
      <c r="P337" s="94">
        <f t="shared" si="581"/>
        <v>2.1704000000000001E-2</v>
      </c>
      <c r="Q337" s="94">
        <f t="shared" si="582"/>
        <v>0</v>
      </c>
      <c r="R337" s="94">
        <f t="shared" si="605"/>
        <v>0</v>
      </c>
      <c r="S337" s="94">
        <f t="shared" si="584"/>
        <v>0</v>
      </c>
      <c r="T337" s="94">
        <f t="shared" si="606"/>
        <v>0</v>
      </c>
      <c r="U337" s="402">
        <f t="shared" si="607"/>
        <v>0</v>
      </c>
      <c r="V337" s="573">
        <v>0</v>
      </c>
      <c r="W337" s="326">
        <v>0</v>
      </c>
      <c r="X337" s="207">
        <f>-0.0021704</f>
        <v>-2.1703999999999998E-3</v>
      </c>
      <c r="Y337" s="367">
        <v>0</v>
      </c>
      <c r="Z337" s="367">
        <v>0</v>
      </c>
      <c r="AA337" s="468">
        <v>0</v>
      </c>
      <c r="AB337" s="207">
        <f>-0.021704</f>
        <v>-2.1704000000000001E-2</v>
      </c>
      <c r="AC337" s="207">
        <v>0</v>
      </c>
      <c r="AD337" s="367">
        <v>0</v>
      </c>
      <c r="AE337" s="468">
        <v>0</v>
      </c>
      <c r="AF337" s="468">
        <v>0</v>
      </c>
      <c r="AG337" s="468">
        <v>0</v>
      </c>
      <c r="AH337" s="468">
        <v>0</v>
      </c>
      <c r="AI337" s="387">
        <v>0</v>
      </c>
      <c r="AJ337" s="207">
        <v>0</v>
      </c>
      <c r="AK337" s="367">
        <v>0</v>
      </c>
      <c r="AL337" s="367">
        <v>0</v>
      </c>
      <c r="AM337" s="367">
        <v>0</v>
      </c>
      <c r="AN337" s="367">
        <v>0</v>
      </c>
      <c r="AO337" s="295">
        <v>0</v>
      </c>
      <c r="AP337" s="295">
        <v>0</v>
      </c>
      <c r="AQ337" s="295">
        <v>0</v>
      </c>
      <c r="AR337" s="387">
        <v>0</v>
      </c>
      <c r="AS337" s="295">
        <f t="shared" si="608"/>
        <v>0</v>
      </c>
      <c r="AT337" s="411" t="s">
        <v>1628</v>
      </c>
    </row>
    <row r="338" spans="1:46" ht="43.5" hidden="1" customHeight="1" outlineLevel="1" x14ac:dyDescent="0.35">
      <c r="A338" s="590">
        <v>22</v>
      </c>
      <c r="B338" s="612" t="s">
        <v>210</v>
      </c>
      <c r="C338" s="602" t="s">
        <v>210</v>
      </c>
      <c r="D338" s="275">
        <v>44516</v>
      </c>
      <c r="E338" s="432" t="s">
        <v>1815</v>
      </c>
      <c r="F338" s="496" t="s">
        <v>1796</v>
      </c>
      <c r="G338" s="71" t="s">
        <v>211</v>
      </c>
      <c r="H338" s="310" t="s">
        <v>127</v>
      </c>
      <c r="I338" s="334"/>
      <c r="J338" s="283"/>
      <c r="K338" s="294">
        <f t="shared" si="589"/>
        <v>0.73021999999999998</v>
      </c>
      <c r="L338" s="20">
        <f t="shared" si="602"/>
        <v>0</v>
      </c>
      <c r="M338" s="95">
        <f t="shared" si="603"/>
        <v>0</v>
      </c>
      <c r="N338" s="94">
        <f t="shared" si="604"/>
        <v>0.73021999999999998</v>
      </c>
      <c r="O338" s="94">
        <f t="shared" si="580"/>
        <v>0.73021999999999998</v>
      </c>
      <c r="P338" s="94">
        <f t="shared" si="581"/>
        <v>0.73021999999999998</v>
      </c>
      <c r="Q338" s="94">
        <f t="shared" si="582"/>
        <v>0</v>
      </c>
      <c r="R338" s="94">
        <f t="shared" si="605"/>
        <v>0</v>
      </c>
      <c r="S338" s="94">
        <f t="shared" si="584"/>
        <v>0</v>
      </c>
      <c r="T338" s="94">
        <f t="shared" si="606"/>
        <v>0</v>
      </c>
      <c r="U338" s="402">
        <f t="shared" si="607"/>
        <v>0</v>
      </c>
      <c r="V338" s="573">
        <v>0</v>
      </c>
      <c r="W338" s="326">
        <v>0</v>
      </c>
      <c r="X338" s="207">
        <f>-0.73022</f>
        <v>-0.73021999999999998</v>
      </c>
      <c r="Y338" s="367">
        <v>0</v>
      </c>
      <c r="Z338" s="367">
        <v>0</v>
      </c>
      <c r="AA338" s="468">
        <v>0</v>
      </c>
      <c r="AB338" s="207">
        <f>-0.73022</f>
        <v>-0.73021999999999998</v>
      </c>
      <c r="AC338" s="207">
        <v>0</v>
      </c>
      <c r="AD338" s="367">
        <v>0</v>
      </c>
      <c r="AE338" s="468">
        <v>0</v>
      </c>
      <c r="AF338" s="468">
        <v>0</v>
      </c>
      <c r="AG338" s="468">
        <v>0</v>
      </c>
      <c r="AH338" s="468">
        <v>0</v>
      </c>
      <c r="AI338" s="387">
        <v>0</v>
      </c>
      <c r="AJ338" s="207">
        <v>0</v>
      </c>
      <c r="AK338" s="367">
        <v>0</v>
      </c>
      <c r="AL338" s="367">
        <v>0</v>
      </c>
      <c r="AM338" s="367">
        <v>0</v>
      </c>
      <c r="AN338" s="367">
        <v>0</v>
      </c>
      <c r="AO338" s="295">
        <v>0</v>
      </c>
      <c r="AP338" s="295">
        <v>0</v>
      </c>
      <c r="AQ338" s="295">
        <v>0</v>
      </c>
      <c r="AR338" s="387">
        <v>0</v>
      </c>
      <c r="AS338" s="295">
        <f t="shared" si="608"/>
        <v>0</v>
      </c>
      <c r="AT338" s="411" t="s">
        <v>1797</v>
      </c>
    </row>
    <row r="339" spans="1:46" ht="72.650000000000006" hidden="1" customHeight="1" outlineLevel="1" x14ac:dyDescent="0.35">
      <c r="A339" s="590">
        <v>23</v>
      </c>
      <c r="B339" s="612" t="s">
        <v>210</v>
      </c>
      <c r="C339" s="602" t="s">
        <v>210</v>
      </c>
      <c r="D339" s="275">
        <v>44544</v>
      </c>
      <c r="E339" s="432" t="s">
        <v>1879</v>
      </c>
      <c r="F339" s="496" t="s">
        <v>1878</v>
      </c>
      <c r="G339" s="71" t="s">
        <v>211</v>
      </c>
      <c r="H339" s="310" t="s">
        <v>127</v>
      </c>
      <c r="I339" s="334"/>
      <c r="J339" s="283"/>
      <c r="K339" s="294">
        <f t="shared" si="589"/>
        <v>0.115774</v>
      </c>
      <c r="L339" s="20">
        <f t="shared" si="602"/>
        <v>0</v>
      </c>
      <c r="M339" s="95">
        <f t="shared" si="603"/>
        <v>0</v>
      </c>
      <c r="N339" s="94">
        <f t="shared" si="604"/>
        <v>0.115775</v>
      </c>
      <c r="O339" s="94">
        <f t="shared" si="580"/>
        <v>0.115775</v>
      </c>
      <c r="P339" s="94">
        <f t="shared" si="581"/>
        <v>0.115774</v>
      </c>
      <c r="Q339" s="94">
        <f t="shared" si="582"/>
        <v>0</v>
      </c>
      <c r="R339" s="94">
        <f t="shared" si="605"/>
        <v>0</v>
      </c>
      <c r="S339" s="94">
        <f t="shared" si="584"/>
        <v>0</v>
      </c>
      <c r="T339" s="94">
        <f t="shared" si="606"/>
        <v>0</v>
      </c>
      <c r="U339" s="402">
        <f t="shared" si="607"/>
        <v>0</v>
      </c>
      <c r="V339" s="573">
        <v>0</v>
      </c>
      <c r="W339" s="326">
        <v>0</v>
      </c>
      <c r="X339" s="207">
        <f>-0.115775</f>
        <v>-0.115775</v>
      </c>
      <c r="Y339" s="367">
        <v>0</v>
      </c>
      <c r="Z339" s="367">
        <v>0</v>
      </c>
      <c r="AA339" s="468">
        <v>0</v>
      </c>
      <c r="AB339" s="207">
        <f>-0.115774</f>
        <v>-0.115774</v>
      </c>
      <c r="AC339" s="207">
        <v>0</v>
      </c>
      <c r="AD339" s="367">
        <v>0</v>
      </c>
      <c r="AE339" s="468">
        <v>0</v>
      </c>
      <c r="AF339" s="468">
        <v>0</v>
      </c>
      <c r="AG339" s="468">
        <v>0</v>
      </c>
      <c r="AH339" s="468">
        <v>0</v>
      </c>
      <c r="AI339" s="387">
        <v>0</v>
      </c>
      <c r="AJ339" s="207">
        <v>0</v>
      </c>
      <c r="AK339" s="367">
        <v>0</v>
      </c>
      <c r="AL339" s="367">
        <v>0</v>
      </c>
      <c r="AM339" s="367">
        <v>0</v>
      </c>
      <c r="AN339" s="367">
        <v>0</v>
      </c>
      <c r="AO339" s="295">
        <v>0</v>
      </c>
      <c r="AP339" s="295">
        <v>0</v>
      </c>
      <c r="AQ339" s="295">
        <v>0</v>
      </c>
      <c r="AR339" s="387">
        <v>0</v>
      </c>
      <c r="AS339" s="295">
        <f t="shared" si="608"/>
        <v>0</v>
      </c>
      <c r="AT339" s="411" t="s">
        <v>1880</v>
      </c>
    </row>
    <row r="340" spans="1:46" ht="43.5" hidden="1" customHeight="1" outlineLevel="1" x14ac:dyDescent="0.35">
      <c r="A340" s="590">
        <v>24</v>
      </c>
      <c r="B340" s="612" t="s">
        <v>210</v>
      </c>
      <c r="C340" s="602" t="s">
        <v>210</v>
      </c>
      <c r="D340" s="275">
        <v>44495</v>
      </c>
      <c r="E340" s="432" t="s">
        <v>1886</v>
      </c>
      <c r="F340" s="496" t="s">
        <v>1885</v>
      </c>
      <c r="G340" s="71" t="s">
        <v>211</v>
      </c>
      <c r="H340" s="310" t="s">
        <v>127</v>
      </c>
      <c r="I340" s="334"/>
      <c r="J340" s="283"/>
      <c r="K340" s="294">
        <f t="shared" ref="K340:K344" si="609">M340+P340+U340+R340+T340</f>
        <v>0.53165200000000012</v>
      </c>
      <c r="L340" s="20">
        <f t="shared" si="602"/>
        <v>0</v>
      </c>
      <c r="M340" s="95">
        <f t="shared" si="603"/>
        <v>0</v>
      </c>
      <c r="N340" s="94">
        <f t="shared" si="604"/>
        <v>0</v>
      </c>
      <c r="O340" s="94">
        <f t="shared" ref="O340:O344" si="610">-X340</f>
        <v>0</v>
      </c>
      <c r="P340" s="94">
        <f t="shared" ref="P340:P341" si="611">-AB340</f>
        <v>0</v>
      </c>
      <c r="Q340" s="94">
        <f t="shared" si="582"/>
        <v>0.53165200000000012</v>
      </c>
      <c r="R340" s="94">
        <f t="shared" si="605"/>
        <v>0.53165200000000012</v>
      </c>
      <c r="S340" s="94">
        <f t="shared" si="584"/>
        <v>0</v>
      </c>
      <c r="T340" s="94">
        <f t="shared" si="606"/>
        <v>0</v>
      </c>
      <c r="U340" s="402">
        <f t="shared" si="607"/>
        <v>0</v>
      </c>
      <c r="V340" s="573">
        <v>0</v>
      </c>
      <c r="W340" s="326">
        <v>0</v>
      </c>
      <c r="X340" s="207">
        <f>0</f>
        <v>0</v>
      </c>
      <c r="Y340" s="367">
        <v>0</v>
      </c>
      <c r="Z340" s="367">
        <v>0</v>
      </c>
      <c r="AA340" s="468">
        <v>0</v>
      </c>
      <c r="AB340" s="207">
        <f>0</f>
        <v>0</v>
      </c>
      <c r="AC340" s="207">
        <f>-1.799128+1.020044+0.247432</f>
        <v>-0.53165200000000012</v>
      </c>
      <c r="AD340" s="367">
        <v>0</v>
      </c>
      <c r="AE340" s="468">
        <v>0</v>
      </c>
      <c r="AF340" s="468">
        <v>-0.77908400000000011</v>
      </c>
      <c r="AG340" s="468">
        <v>-0.53165200000000012</v>
      </c>
      <c r="AH340" s="468">
        <v>-0.53165200000000012</v>
      </c>
      <c r="AI340" s="387">
        <f>0</f>
        <v>0</v>
      </c>
      <c r="AJ340" s="207">
        <v>0</v>
      </c>
      <c r="AK340" s="367">
        <v>0</v>
      </c>
      <c r="AL340" s="367">
        <v>0</v>
      </c>
      <c r="AM340" s="367">
        <v>0</v>
      </c>
      <c r="AN340" s="367">
        <v>0</v>
      </c>
      <c r="AO340" s="295">
        <v>0</v>
      </c>
      <c r="AP340" s="295">
        <v>0</v>
      </c>
      <c r="AQ340" s="295">
        <v>0</v>
      </c>
      <c r="AR340" s="387">
        <f>0</f>
        <v>0</v>
      </c>
      <c r="AS340" s="295">
        <f t="shared" si="608"/>
        <v>0</v>
      </c>
      <c r="AT340" s="411" t="s">
        <v>1887</v>
      </c>
    </row>
    <row r="341" spans="1:46" ht="87" hidden="1" customHeight="1" outlineLevel="1" x14ac:dyDescent="0.35">
      <c r="A341" s="590">
        <v>25</v>
      </c>
      <c r="B341" s="612" t="s">
        <v>210</v>
      </c>
      <c r="C341" s="602" t="s">
        <v>210</v>
      </c>
      <c r="D341" s="275">
        <v>44607</v>
      </c>
      <c r="E341" s="432" t="s">
        <v>1977</v>
      </c>
      <c r="F341" s="582" t="s">
        <v>1976</v>
      </c>
      <c r="G341" s="71" t="s">
        <v>211</v>
      </c>
      <c r="H341" s="310" t="s">
        <v>127</v>
      </c>
      <c r="I341" s="334"/>
      <c r="J341" s="283"/>
      <c r="K341" s="294">
        <f t="shared" si="609"/>
        <v>1.020044</v>
      </c>
      <c r="L341" s="20">
        <f t="shared" si="602"/>
        <v>0</v>
      </c>
      <c r="M341" s="95">
        <f t="shared" si="603"/>
        <v>0</v>
      </c>
      <c r="N341" s="94">
        <f t="shared" si="604"/>
        <v>0</v>
      </c>
      <c r="O341" s="94">
        <f t="shared" si="610"/>
        <v>0</v>
      </c>
      <c r="P341" s="94">
        <f t="shared" si="611"/>
        <v>0</v>
      </c>
      <c r="Q341" s="94">
        <f t="shared" si="582"/>
        <v>1.020044</v>
      </c>
      <c r="R341" s="94">
        <f t="shared" si="605"/>
        <v>1.020044</v>
      </c>
      <c r="S341" s="94">
        <f t="shared" si="584"/>
        <v>1.020044</v>
      </c>
      <c r="T341" s="94">
        <f t="shared" si="606"/>
        <v>0</v>
      </c>
      <c r="U341" s="402">
        <f t="shared" si="607"/>
        <v>0</v>
      </c>
      <c r="V341" s="573">
        <v>0</v>
      </c>
      <c r="W341" s="326">
        <v>0</v>
      </c>
      <c r="X341" s="207">
        <f>0</f>
        <v>0</v>
      </c>
      <c r="Y341" s="367">
        <v>0</v>
      </c>
      <c r="Z341" s="367">
        <v>0</v>
      </c>
      <c r="AA341" s="468">
        <v>0</v>
      </c>
      <c r="AB341" s="207">
        <f>0</f>
        <v>0</v>
      </c>
      <c r="AC341" s="207">
        <f>-1.020044</f>
        <v>-1.020044</v>
      </c>
      <c r="AD341" s="367">
        <v>0</v>
      </c>
      <c r="AE341" s="468">
        <v>0</v>
      </c>
      <c r="AF341" s="468">
        <v>-1.020044</v>
      </c>
      <c r="AG341" s="468">
        <v>-1.020044</v>
      </c>
      <c r="AH341" s="468">
        <v>-1.020044</v>
      </c>
      <c r="AI341" s="623">
        <f>-1.020044</f>
        <v>-1.020044</v>
      </c>
      <c r="AJ341" s="207">
        <v>0</v>
      </c>
      <c r="AK341" s="367">
        <v>0</v>
      </c>
      <c r="AL341" s="367">
        <v>0</v>
      </c>
      <c r="AM341" s="367">
        <v>0</v>
      </c>
      <c r="AN341" s="367">
        <v>0</v>
      </c>
      <c r="AO341" s="295">
        <v>0</v>
      </c>
      <c r="AP341" s="295">
        <v>0</v>
      </c>
      <c r="AQ341" s="295">
        <v>0</v>
      </c>
      <c r="AR341" s="623">
        <v>0</v>
      </c>
      <c r="AS341" s="295">
        <f t="shared" si="608"/>
        <v>0</v>
      </c>
      <c r="AT341" s="411" t="s">
        <v>1975</v>
      </c>
    </row>
    <row r="342" spans="1:46" ht="72.650000000000006" hidden="1" customHeight="1" outlineLevel="1" x14ac:dyDescent="0.35">
      <c r="A342" s="590">
        <v>26</v>
      </c>
      <c r="B342" s="612" t="s">
        <v>210</v>
      </c>
      <c r="C342" s="602" t="s">
        <v>210</v>
      </c>
      <c r="D342" s="275">
        <v>44664</v>
      </c>
      <c r="E342" s="432" t="s">
        <v>2065</v>
      </c>
      <c r="F342" s="582" t="s">
        <v>2063</v>
      </c>
      <c r="G342" s="71" t="s">
        <v>211</v>
      </c>
      <c r="H342" s="310" t="s">
        <v>127</v>
      </c>
      <c r="I342" s="334"/>
      <c r="J342" s="283"/>
      <c r="K342" s="294">
        <f t="shared" si="609"/>
        <v>0.24743200000000001</v>
      </c>
      <c r="L342" s="20">
        <f t="shared" si="602"/>
        <v>0</v>
      </c>
      <c r="M342" s="95">
        <f t="shared" si="603"/>
        <v>0</v>
      </c>
      <c r="N342" s="94">
        <f t="shared" si="604"/>
        <v>0</v>
      </c>
      <c r="O342" s="94">
        <f t="shared" si="610"/>
        <v>0</v>
      </c>
      <c r="P342" s="94">
        <f>-AB342</f>
        <v>0</v>
      </c>
      <c r="Q342" s="94">
        <f t="shared" si="582"/>
        <v>0.24743200000000001</v>
      </c>
      <c r="R342" s="94">
        <f t="shared" si="605"/>
        <v>0.24743200000000001</v>
      </c>
      <c r="S342" s="94">
        <f t="shared" si="584"/>
        <v>0.24743100000000001</v>
      </c>
      <c r="T342" s="94">
        <f t="shared" si="606"/>
        <v>0</v>
      </c>
      <c r="U342" s="402">
        <f t="shared" si="607"/>
        <v>0</v>
      </c>
      <c r="V342" s="573">
        <v>0</v>
      </c>
      <c r="W342" s="326">
        <v>0</v>
      </c>
      <c r="X342" s="207">
        <f>0</f>
        <v>0</v>
      </c>
      <c r="Y342" s="367">
        <v>0</v>
      </c>
      <c r="Z342" s="367">
        <v>0</v>
      </c>
      <c r="AA342" s="468">
        <v>0</v>
      </c>
      <c r="AB342" s="207">
        <f>0</f>
        <v>0</v>
      </c>
      <c r="AC342" s="207">
        <f>-0.247432</f>
        <v>-0.24743200000000001</v>
      </c>
      <c r="AD342" s="367">
        <v>0</v>
      </c>
      <c r="AE342" s="468">
        <v>0</v>
      </c>
      <c r="AF342" s="468">
        <v>0</v>
      </c>
      <c r="AG342" s="468">
        <v>-0.24743200000000001</v>
      </c>
      <c r="AH342" s="468">
        <v>-0.24743200000000001</v>
      </c>
      <c r="AI342" s="623">
        <f>-0.247431</f>
        <v>-0.24743100000000001</v>
      </c>
      <c r="AJ342" s="207">
        <v>0</v>
      </c>
      <c r="AK342" s="367">
        <v>0</v>
      </c>
      <c r="AL342" s="367">
        <v>0</v>
      </c>
      <c r="AM342" s="367">
        <v>0</v>
      </c>
      <c r="AN342" s="367">
        <v>0</v>
      </c>
      <c r="AO342" s="295">
        <v>0</v>
      </c>
      <c r="AP342" s="295">
        <v>0</v>
      </c>
      <c r="AQ342" s="295">
        <v>0</v>
      </c>
      <c r="AR342" s="623">
        <v>0</v>
      </c>
      <c r="AS342" s="295">
        <f t="shared" si="608"/>
        <v>0</v>
      </c>
      <c r="AT342" s="411" t="s">
        <v>2064</v>
      </c>
    </row>
    <row r="343" spans="1:46" ht="109.5" hidden="1" customHeight="1" outlineLevel="1" x14ac:dyDescent="0.35">
      <c r="A343" s="590">
        <v>27</v>
      </c>
      <c r="B343" s="612" t="s">
        <v>210</v>
      </c>
      <c r="C343" s="602" t="s">
        <v>210</v>
      </c>
      <c r="D343" s="275">
        <v>44593</v>
      </c>
      <c r="E343" s="432" t="s">
        <v>2094</v>
      </c>
      <c r="F343" s="582" t="s">
        <v>2093</v>
      </c>
      <c r="G343" s="71" t="s">
        <v>211</v>
      </c>
      <c r="H343" s="310" t="s">
        <v>127</v>
      </c>
      <c r="I343" s="334"/>
      <c r="J343" s="283"/>
      <c r="K343" s="294">
        <f t="shared" si="609"/>
        <v>3.0025189999999999</v>
      </c>
      <c r="L343" s="20">
        <f t="shared" si="602"/>
        <v>0</v>
      </c>
      <c r="M343" s="95">
        <f t="shared" si="603"/>
        <v>0</v>
      </c>
      <c r="N343" s="94">
        <f t="shared" si="604"/>
        <v>0</v>
      </c>
      <c r="O343" s="94">
        <f t="shared" si="610"/>
        <v>0</v>
      </c>
      <c r="P343" s="94">
        <f>-AB343</f>
        <v>0</v>
      </c>
      <c r="Q343" s="94">
        <f t="shared" si="582"/>
        <v>3.0025189999999999</v>
      </c>
      <c r="R343" s="94">
        <f t="shared" si="605"/>
        <v>3.0025189999999999</v>
      </c>
      <c r="S343" s="94">
        <f t="shared" si="584"/>
        <v>3.0025189999999999</v>
      </c>
      <c r="T343" s="94">
        <f t="shared" si="606"/>
        <v>0</v>
      </c>
      <c r="U343" s="402">
        <f t="shared" si="607"/>
        <v>0</v>
      </c>
      <c r="V343" s="573">
        <v>0</v>
      </c>
      <c r="W343" s="326">
        <v>0</v>
      </c>
      <c r="X343" s="207">
        <f>0</f>
        <v>0</v>
      </c>
      <c r="Y343" s="367">
        <v>0</v>
      </c>
      <c r="Z343" s="367">
        <v>0</v>
      </c>
      <c r="AA343" s="468">
        <v>0</v>
      </c>
      <c r="AB343" s="207">
        <f>0</f>
        <v>0</v>
      </c>
      <c r="AC343" s="207">
        <f>-3.002519</f>
        <v>-3.0025189999999999</v>
      </c>
      <c r="AD343" s="367">
        <v>0</v>
      </c>
      <c r="AE343" s="468">
        <v>0</v>
      </c>
      <c r="AF343" s="468">
        <v>0</v>
      </c>
      <c r="AG343" s="468">
        <v>-3.0025189999999999</v>
      </c>
      <c r="AH343" s="468">
        <v>-3.0025189999999999</v>
      </c>
      <c r="AI343" s="623">
        <f>-3.002519</f>
        <v>-3.0025189999999999</v>
      </c>
      <c r="AJ343" s="207">
        <v>0</v>
      </c>
      <c r="AK343" s="367">
        <v>0</v>
      </c>
      <c r="AL343" s="367">
        <v>0</v>
      </c>
      <c r="AM343" s="367">
        <v>0</v>
      </c>
      <c r="AN343" s="367">
        <v>0</v>
      </c>
      <c r="AO343" s="295">
        <v>0</v>
      </c>
      <c r="AP343" s="295">
        <v>0</v>
      </c>
      <c r="AQ343" s="295">
        <v>0</v>
      </c>
      <c r="AR343" s="623">
        <v>0</v>
      </c>
      <c r="AS343" s="295">
        <f t="shared" si="608"/>
        <v>0</v>
      </c>
      <c r="AT343" s="411" t="s">
        <v>2092</v>
      </c>
    </row>
    <row r="344" spans="1:46" ht="115" hidden="1" customHeight="1" outlineLevel="1" x14ac:dyDescent="0.35">
      <c r="A344" s="590">
        <v>28</v>
      </c>
      <c r="B344" s="612" t="s">
        <v>210</v>
      </c>
      <c r="C344" s="602" t="s">
        <v>210</v>
      </c>
      <c r="D344" s="275" t="s">
        <v>2305</v>
      </c>
      <c r="E344" s="432" t="s">
        <v>2121</v>
      </c>
      <c r="F344" s="582" t="s">
        <v>2120</v>
      </c>
      <c r="G344" s="71" t="s">
        <v>211</v>
      </c>
      <c r="H344" s="310" t="s">
        <v>127</v>
      </c>
      <c r="I344" s="334"/>
      <c r="J344" s="283"/>
      <c r="K344" s="294">
        <f t="shared" si="609"/>
        <v>1.494399</v>
      </c>
      <c r="L344" s="20">
        <f t="shared" si="602"/>
        <v>0</v>
      </c>
      <c r="M344" s="95">
        <f t="shared" si="603"/>
        <v>0</v>
      </c>
      <c r="N344" s="94">
        <f t="shared" si="604"/>
        <v>0</v>
      </c>
      <c r="O344" s="94">
        <f t="shared" si="610"/>
        <v>0</v>
      </c>
      <c r="P344" s="94">
        <f>-AB344</f>
        <v>0</v>
      </c>
      <c r="Q344" s="94">
        <f t="shared" ref="Q344" si="612">-AC344</f>
        <v>1.494399</v>
      </c>
      <c r="R344" s="94">
        <f t="shared" si="605"/>
        <v>1.494399</v>
      </c>
      <c r="S344" s="94">
        <f t="shared" si="584"/>
        <v>0.505139</v>
      </c>
      <c r="T344" s="94">
        <f t="shared" si="606"/>
        <v>0</v>
      </c>
      <c r="U344" s="402">
        <f t="shared" si="607"/>
        <v>0</v>
      </c>
      <c r="V344" s="573">
        <v>0</v>
      </c>
      <c r="W344" s="326">
        <v>0</v>
      </c>
      <c r="X344" s="207">
        <f>0</f>
        <v>0</v>
      </c>
      <c r="Y344" s="367">
        <v>0</v>
      </c>
      <c r="Z344" s="367">
        <v>0</v>
      </c>
      <c r="AA344" s="468">
        <v>0</v>
      </c>
      <c r="AB344" s="207">
        <f>0</f>
        <v>0</v>
      </c>
      <c r="AC344" s="207">
        <f>-1.494399</f>
        <v>-1.494399</v>
      </c>
      <c r="AD344" s="367">
        <v>0</v>
      </c>
      <c r="AE344" s="468">
        <v>0</v>
      </c>
      <c r="AF344" s="468">
        <v>0</v>
      </c>
      <c r="AG344" s="468">
        <v>-1.7124159999999999</v>
      </c>
      <c r="AH344" s="468">
        <v>-1.7124159999999999</v>
      </c>
      <c r="AI344" s="623">
        <f>-0.505139</f>
        <v>-0.505139</v>
      </c>
      <c r="AJ344" s="207">
        <v>0</v>
      </c>
      <c r="AK344" s="367">
        <v>0</v>
      </c>
      <c r="AL344" s="367">
        <v>0</v>
      </c>
      <c r="AM344" s="367">
        <v>0</v>
      </c>
      <c r="AN344" s="367">
        <v>0</v>
      </c>
      <c r="AO344" s="295">
        <v>0</v>
      </c>
      <c r="AP344" s="295">
        <v>0</v>
      </c>
      <c r="AQ344" s="295">
        <v>0</v>
      </c>
      <c r="AR344" s="623">
        <v>0</v>
      </c>
      <c r="AS344" s="295">
        <f t="shared" si="608"/>
        <v>0</v>
      </c>
      <c r="AT344" s="411" t="s">
        <v>2306</v>
      </c>
    </row>
    <row r="345" spans="1:46" ht="115" hidden="1" customHeight="1" outlineLevel="1" x14ac:dyDescent="0.35">
      <c r="A345" s="590">
        <v>29</v>
      </c>
      <c r="B345" s="612" t="s">
        <v>210</v>
      </c>
      <c r="C345" s="602" t="s">
        <v>210</v>
      </c>
      <c r="D345" s="275">
        <v>44860</v>
      </c>
      <c r="E345" s="432" t="s">
        <v>2307</v>
      </c>
      <c r="F345" s="582" t="s">
        <v>2120</v>
      </c>
      <c r="G345" s="71" t="s">
        <v>211</v>
      </c>
      <c r="H345" s="310" t="s">
        <v>127</v>
      </c>
      <c r="I345" s="334"/>
      <c r="J345" s="283"/>
      <c r="K345" s="294">
        <f t="shared" si="589"/>
        <v>1.5592E-2</v>
      </c>
      <c r="L345" s="20">
        <f t="shared" si="593"/>
        <v>0</v>
      </c>
      <c r="M345" s="95">
        <f t="shared" si="594"/>
        <v>0</v>
      </c>
      <c r="N345" s="94">
        <f t="shared" si="598"/>
        <v>0</v>
      </c>
      <c r="O345" s="94">
        <f t="shared" si="580"/>
        <v>0</v>
      </c>
      <c r="P345" s="94">
        <f>-AB345</f>
        <v>0</v>
      </c>
      <c r="Q345" s="94">
        <f t="shared" si="582"/>
        <v>1.5592E-2</v>
      </c>
      <c r="R345" s="94">
        <f t="shared" si="599"/>
        <v>1.5592E-2</v>
      </c>
      <c r="S345" s="94">
        <f t="shared" si="584"/>
        <v>1.5592E-2</v>
      </c>
      <c r="T345" s="94">
        <f t="shared" si="600"/>
        <v>0</v>
      </c>
      <c r="U345" s="402">
        <f t="shared" si="601"/>
        <v>0</v>
      </c>
      <c r="V345" s="573">
        <v>0</v>
      </c>
      <c r="W345" s="326">
        <v>0</v>
      </c>
      <c r="X345" s="207">
        <f>0</f>
        <v>0</v>
      </c>
      <c r="Y345" s="367">
        <v>0</v>
      </c>
      <c r="Z345" s="367">
        <v>0</v>
      </c>
      <c r="AA345" s="468">
        <v>0</v>
      </c>
      <c r="AB345" s="207">
        <f>0</f>
        <v>0</v>
      </c>
      <c r="AC345" s="207">
        <f>-0.015592</f>
        <v>-1.5592E-2</v>
      </c>
      <c r="AD345" s="367">
        <v>0</v>
      </c>
      <c r="AE345" s="468">
        <v>0</v>
      </c>
      <c r="AF345" s="468">
        <v>0</v>
      </c>
      <c r="AG345" s="468">
        <v>0</v>
      </c>
      <c r="AH345" s="468">
        <v>0</v>
      </c>
      <c r="AI345" s="899">
        <f>-0.015592</f>
        <v>-1.5592E-2</v>
      </c>
      <c r="AJ345" s="207">
        <v>0</v>
      </c>
      <c r="AK345" s="367">
        <v>0</v>
      </c>
      <c r="AL345" s="367">
        <v>0</v>
      </c>
      <c r="AM345" s="367">
        <v>0</v>
      </c>
      <c r="AN345" s="367">
        <v>0</v>
      </c>
      <c r="AO345" s="295">
        <v>0</v>
      </c>
      <c r="AP345" s="295">
        <v>0</v>
      </c>
      <c r="AQ345" s="295">
        <v>0</v>
      </c>
      <c r="AR345" s="899">
        <v>0</v>
      </c>
      <c r="AS345" s="295">
        <f t="shared" si="596"/>
        <v>0</v>
      </c>
      <c r="AT345" s="411" t="s">
        <v>2308</v>
      </c>
    </row>
    <row r="346" spans="1:46" ht="18.5" collapsed="1" x14ac:dyDescent="0.35">
      <c r="A346" s="436">
        <v>5</v>
      </c>
      <c r="B346" s="618" t="s">
        <v>1725</v>
      </c>
      <c r="C346" s="599"/>
      <c r="D346" s="345"/>
      <c r="E346" s="429"/>
      <c r="F346" s="478"/>
      <c r="G346" s="378" t="s">
        <v>1727</v>
      </c>
      <c r="H346" s="379" t="s">
        <v>1727</v>
      </c>
      <c r="I346" s="346"/>
      <c r="J346" s="336"/>
      <c r="K346" s="347">
        <f t="shared" ref="K346:AS346" si="613">SUM(K347:K350)</f>
        <v>61.954947000000004</v>
      </c>
      <c r="L346" s="363">
        <f t="shared" si="613"/>
        <v>45.5</v>
      </c>
      <c r="M346" s="363">
        <f t="shared" si="613"/>
        <v>37.540770000000002</v>
      </c>
      <c r="N346" s="363">
        <f t="shared" si="613"/>
        <v>136.5</v>
      </c>
      <c r="O346" s="363">
        <f t="shared" si="613"/>
        <v>136.5</v>
      </c>
      <c r="P346" s="363">
        <f>SUM(P347:P350)</f>
        <v>24.146602999999999</v>
      </c>
      <c r="Q346" s="363">
        <f t="shared" ref="Q346" si="614">SUM(Q347:Q350)</f>
        <v>0.26757399999999998</v>
      </c>
      <c r="R346" s="363">
        <f t="shared" si="613"/>
        <v>0.26757399999999998</v>
      </c>
      <c r="S346" s="363">
        <f t="shared" ref="S346" si="615">SUM(S347:S350)</f>
        <v>0.21742600000000001</v>
      </c>
      <c r="T346" s="363">
        <f t="shared" si="613"/>
        <v>0</v>
      </c>
      <c r="U346" s="364">
        <f t="shared" si="613"/>
        <v>0</v>
      </c>
      <c r="V346" s="572">
        <f t="shared" si="613"/>
        <v>-45.5</v>
      </c>
      <c r="W346" s="347">
        <f t="shared" si="613"/>
        <v>-37.540770000000002</v>
      </c>
      <c r="X346" s="363">
        <f t="shared" si="613"/>
        <v>-136.5</v>
      </c>
      <c r="Y346" s="365">
        <f t="shared" si="613"/>
        <v>-136.5</v>
      </c>
      <c r="Z346" s="365">
        <f t="shared" si="613"/>
        <v>-136.5</v>
      </c>
      <c r="AA346" s="567">
        <f t="shared" si="613"/>
        <v>-136.5</v>
      </c>
      <c r="AB346" s="350">
        <f t="shared" ref="AB346" si="616">SUM(AB347:AB350)</f>
        <v>-24.146602999999999</v>
      </c>
      <c r="AC346" s="363">
        <f t="shared" si="613"/>
        <v>-0.26757399999999998</v>
      </c>
      <c r="AD346" s="365">
        <f t="shared" si="613"/>
        <v>0</v>
      </c>
      <c r="AE346" s="467">
        <f t="shared" ref="AE346" si="617">SUM(AE347:AE350)</f>
        <v>0</v>
      </c>
      <c r="AF346" s="467">
        <f t="shared" si="613"/>
        <v>-5.0147999999999998E-2</v>
      </c>
      <c r="AG346" s="467">
        <f t="shared" ref="AG346:AI346" si="618">SUM(AG347:AG350)</f>
        <v>-0.26757399999999998</v>
      </c>
      <c r="AH346" s="467">
        <f t="shared" si="618"/>
        <v>-0.26757399999999998</v>
      </c>
      <c r="AI346" s="347">
        <f t="shared" si="618"/>
        <v>-0.21742600000000001</v>
      </c>
      <c r="AJ346" s="363">
        <f>SUM(AJ347:AJ350)</f>
        <v>0</v>
      </c>
      <c r="AK346" s="365">
        <f>SUM(AK347:AK350)</f>
        <v>0</v>
      </c>
      <c r="AL346" s="365">
        <f>SUM(AL347:AL350)</f>
        <v>0</v>
      </c>
      <c r="AM346" s="365">
        <f>SUM(AM347:AM350)</f>
        <v>0</v>
      </c>
      <c r="AN346" s="365">
        <f>SUM(AN347:AN350)</f>
        <v>0</v>
      </c>
      <c r="AO346" s="364">
        <f t="shared" ref="AO346:AP346" si="619">SUM(AO347:AO350)</f>
        <v>0</v>
      </c>
      <c r="AP346" s="364">
        <f t="shared" si="619"/>
        <v>0</v>
      </c>
      <c r="AQ346" s="364">
        <f t="shared" si="613"/>
        <v>0</v>
      </c>
      <c r="AR346" s="347">
        <f t="shared" si="613"/>
        <v>0</v>
      </c>
      <c r="AS346" s="364">
        <f t="shared" si="613"/>
        <v>0</v>
      </c>
      <c r="AT346" s="348"/>
    </row>
    <row r="347" spans="1:46" ht="188.5" hidden="1" customHeight="1" outlineLevel="1" x14ac:dyDescent="0.35">
      <c r="A347" s="590">
        <v>1</v>
      </c>
      <c r="B347" s="620" t="s">
        <v>41</v>
      </c>
      <c r="C347" s="604" t="s">
        <v>41</v>
      </c>
      <c r="D347" s="63">
        <v>43938</v>
      </c>
      <c r="E347" s="444" t="s">
        <v>150</v>
      </c>
      <c r="F347" s="480" t="s">
        <v>43</v>
      </c>
      <c r="G347" s="71" t="s">
        <v>40</v>
      </c>
      <c r="H347" s="310" t="s">
        <v>131</v>
      </c>
      <c r="I347" s="334"/>
      <c r="J347" s="283"/>
      <c r="K347" s="294">
        <f>M347+P347+U347+R347+T347</f>
        <v>37.540770000000002</v>
      </c>
      <c r="L347" s="20">
        <f>-V347</f>
        <v>45.5</v>
      </c>
      <c r="M347" s="95">
        <f>-W347</f>
        <v>37.540770000000002</v>
      </c>
      <c r="N347" s="94">
        <f>-X347</f>
        <v>0</v>
      </c>
      <c r="O347" s="94">
        <f>-X347</f>
        <v>0</v>
      </c>
      <c r="P347" s="94">
        <f>-AB347</f>
        <v>0</v>
      </c>
      <c r="Q347" s="94">
        <f>-AC347</f>
        <v>0</v>
      </c>
      <c r="R347" s="94">
        <f t="shared" ref="R347:R350" si="620">-AC347</f>
        <v>0</v>
      </c>
      <c r="S347" s="94">
        <f>-AI347</f>
        <v>0</v>
      </c>
      <c r="T347" s="94">
        <f t="shared" ref="T347:T350" si="621">-AJ347</f>
        <v>0</v>
      </c>
      <c r="U347" s="402">
        <f>-AQ347</f>
        <v>0</v>
      </c>
      <c r="V347" s="573">
        <v>-45.5</v>
      </c>
      <c r="W347" s="326">
        <v>-37.540770000000002</v>
      </c>
      <c r="X347" s="207">
        <v>0</v>
      </c>
      <c r="Y347" s="367">
        <v>0</v>
      </c>
      <c r="Z347" s="367">
        <v>0</v>
      </c>
      <c r="AA347" s="468">
        <v>0</v>
      </c>
      <c r="AB347" s="207">
        <v>0</v>
      </c>
      <c r="AC347" s="207">
        <v>0</v>
      </c>
      <c r="AD347" s="367">
        <v>0</v>
      </c>
      <c r="AE347" s="468">
        <v>0</v>
      </c>
      <c r="AF347" s="468">
        <v>0</v>
      </c>
      <c r="AG347" s="468">
        <v>0</v>
      </c>
      <c r="AH347" s="468">
        <v>0</v>
      </c>
      <c r="AI347" s="387">
        <v>0</v>
      </c>
      <c r="AJ347" s="207">
        <v>0</v>
      </c>
      <c r="AK347" s="367">
        <v>0</v>
      </c>
      <c r="AL347" s="367">
        <v>0</v>
      </c>
      <c r="AM347" s="367">
        <v>0</v>
      </c>
      <c r="AN347" s="367">
        <v>0</v>
      </c>
      <c r="AO347" s="295">
        <v>0</v>
      </c>
      <c r="AP347" s="295">
        <v>0</v>
      </c>
      <c r="AQ347" s="295">
        <v>0</v>
      </c>
      <c r="AR347" s="387">
        <v>0</v>
      </c>
      <c r="AS347" s="295">
        <f>-AR347</f>
        <v>0</v>
      </c>
      <c r="AT347" s="408" t="s">
        <v>42</v>
      </c>
    </row>
    <row r="348" spans="1:46" ht="188.5" hidden="1" customHeight="1" outlineLevel="1" x14ac:dyDescent="0.35">
      <c r="A348" s="393">
        <v>2</v>
      </c>
      <c r="B348" s="620" t="s">
        <v>41</v>
      </c>
      <c r="C348" s="604" t="s">
        <v>41</v>
      </c>
      <c r="D348" s="63">
        <v>44243</v>
      </c>
      <c r="E348" s="444" t="s">
        <v>1194</v>
      </c>
      <c r="F348" s="480" t="s">
        <v>707</v>
      </c>
      <c r="G348" s="71" t="s">
        <v>40</v>
      </c>
      <c r="H348" s="310" t="s">
        <v>131</v>
      </c>
      <c r="I348" s="334"/>
      <c r="J348" s="283"/>
      <c r="K348" s="294">
        <f>M348+P348+U348+R348+T348</f>
        <v>24.146602999999999</v>
      </c>
      <c r="L348" s="20">
        <f t="shared" ref="L348:L349" si="622">-V348</f>
        <v>0</v>
      </c>
      <c r="M348" s="95">
        <f t="shared" ref="M348:M349" si="623">-W348</f>
        <v>0</v>
      </c>
      <c r="N348" s="94">
        <f t="shared" ref="N348:N349" si="624">-X348</f>
        <v>45.5</v>
      </c>
      <c r="O348" s="94">
        <f>-X348</f>
        <v>45.5</v>
      </c>
      <c r="P348" s="94">
        <f>-AB348</f>
        <v>24.146602999999999</v>
      </c>
      <c r="Q348" s="94">
        <f>-AC348</f>
        <v>0</v>
      </c>
      <c r="R348" s="94">
        <f t="shared" si="620"/>
        <v>0</v>
      </c>
      <c r="S348" s="94">
        <f>-AI348</f>
        <v>0</v>
      </c>
      <c r="T348" s="94">
        <f t="shared" si="621"/>
        <v>0</v>
      </c>
      <c r="U348" s="402">
        <f>-AQ348</f>
        <v>0</v>
      </c>
      <c r="V348" s="573">
        <v>0</v>
      </c>
      <c r="W348" s="326">
        <v>0</v>
      </c>
      <c r="X348" s="207">
        <v>-45.5</v>
      </c>
      <c r="Y348" s="367">
        <v>-45.5</v>
      </c>
      <c r="Z348" s="367">
        <v>-45.5</v>
      </c>
      <c r="AA348" s="468">
        <v>-45.5</v>
      </c>
      <c r="AB348" s="207">
        <v>-24.146602999999999</v>
      </c>
      <c r="AC348" s="207">
        <v>0</v>
      </c>
      <c r="AD348" s="367">
        <v>0</v>
      </c>
      <c r="AE348" s="468">
        <v>0</v>
      </c>
      <c r="AF348" s="468">
        <v>0</v>
      </c>
      <c r="AG348" s="468">
        <v>0</v>
      </c>
      <c r="AH348" s="468">
        <v>0</v>
      </c>
      <c r="AI348" s="387">
        <v>0</v>
      </c>
      <c r="AJ348" s="207">
        <v>0</v>
      </c>
      <c r="AK348" s="367">
        <v>0</v>
      </c>
      <c r="AL348" s="367">
        <v>0</v>
      </c>
      <c r="AM348" s="367">
        <v>0</v>
      </c>
      <c r="AN348" s="367">
        <v>0</v>
      </c>
      <c r="AO348" s="295">
        <v>0</v>
      </c>
      <c r="AP348" s="295">
        <v>0</v>
      </c>
      <c r="AQ348" s="295">
        <v>0</v>
      </c>
      <c r="AR348" s="387">
        <v>0</v>
      </c>
      <c r="AS348" s="295">
        <f>-AR348</f>
        <v>0</v>
      </c>
      <c r="AT348" s="408" t="s">
        <v>706</v>
      </c>
    </row>
    <row r="349" spans="1:46" ht="188.5" hidden="1" customHeight="1" outlineLevel="1" x14ac:dyDescent="0.35">
      <c r="A349" s="210">
        <v>3</v>
      </c>
      <c r="B349" s="312" t="s">
        <v>41</v>
      </c>
      <c r="C349" s="600" t="s">
        <v>41</v>
      </c>
      <c r="D349" s="63" t="s">
        <v>2124</v>
      </c>
      <c r="E349" s="444" t="s">
        <v>1995</v>
      </c>
      <c r="F349" s="480" t="s">
        <v>1997</v>
      </c>
      <c r="G349" s="71" t="s">
        <v>40</v>
      </c>
      <c r="H349" s="310" t="s">
        <v>131</v>
      </c>
      <c r="I349" s="334"/>
      <c r="J349" s="283"/>
      <c r="K349" s="294">
        <f>M349+P349+U349+R349+T349</f>
        <v>5.0147999999999998E-2</v>
      </c>
      <c r="L349" s="20">
        <f t="shared" si="622"/>
        <v>0</v>
      </c>
      <c r="M349" s="95">
        <f t="shared" si="623"/>
        <v>0</v>
      </c>
      <c r="N349" s="94">
        <f t="shared" si="624"/>
        <v>45.5</v>
      </c>
      <c r="O349" s="94">
        <f>-X349</f>
        <v>45.5</v>
      </c>
      <c r="P349" s="94">
        <f t="shared" ref="P349" si="625">-AB349</f>
        <v>0</v>
      </c>
      <c r="Q349" s="94">
        <f>-AC349</f>
        <v>5.0147999999999998E-2</v>
      </c>
      <c r="R349" s="94">
        <f t="shared" ref="R349" si="626">-AC349</f>
        <v>5.0147999999999998E-2</v>
      </c>
      <c r="S349" s="94">
        <f>-AI349</f>
        <v>0</v>
      </c>
      <c r="T349" s="94">
        <f t="shared" ref="T349" si="627">-AJ349</f>
        <v>0</v>
      </c>
      <c r="U349" s="402">
        <f t="shared" ref="U349" si="628">-AQ349</f>
        <v>0</v>
      </c>
      <c r="V349" s="573">
        <v>0</v>
      </c>
      <c r="W349" s="326">
        <v>0</v>
      </c>
      <c r="X349" s="207">
        <v>-45.5</v>
      </c>
      <c r="Y349" s="367">
        <v>-45.5</v>
      </c>
      <c r="Z349" s="367">
        <v>-45.5</v>
      </c>
      <c r="AA349" s="468">
        <v>-45.5</v>
      </c>
      <c r="AB349" s="207">
        <v>0</v>
      </c>
      <c r="AC349" s="207">
        <f>-0.050148</f>
        <v>-5.0147999999999998E-2</v>
      </c>
      <c r="AD349" s="367">
        <v>0</v>
      </c>
      <c r="AE349" s="468">
        <v>0</v>
      </c>
      <c r="AF349" s="468">
        <v>-5.0147999999999998E-2</v>
      </c>
      <c r="AG349" s="468">
        <v>-5.0147999999999998E-2</v>
      </c>
      <c r="AH349" s="468">
        <v>-5.0147999999999998E-2</v>
      </c>
      <c r="AI349" s="387">
        <v>0</v>
      </c>
      <c r="AJ349" s="207">
        <v>0</v>
      </c>
      <c r="AK349" s="367">
        <v>0</v>
      </c>
      <c r="AL349" s="367">
        <v>0</v>
      </c>
      <c r="AM349" s="367">
        <v>0</v>
      </c>
      <c r="AN349" s="367">
        <v>0</v>
      </c>
      <c r="AO349" s="295">
        <v>0</v>
      </c>
      <c r="AP349" s="295">
        <v>0</v>
      </c>
      <c r="AQ349" s="295">
        <v>0</v>
      </c>
      <c r="AR349" s="387">
        <v>0</v>
      </c>
      <c r="AS349" s="295">
        <f>-AR349</f>
        <v>0</v>
      </c>
      <c r="AT349" s="408" t="s">
        <v>1996</v>
      </c>
    </row>
    <row r="350" spans="1:46" ht="101.5" hidden="1" customHeight="1" outlineLevel="1" x14ac:dyDescent="0.35">
      <c r="A350" s="393"/>
      <c r="B350" s="312" t="s">
        <v>41</v>
      </c>
      <c r="C350" s="600" t="s">
        <v>41</v>
      </c>
      <c r="D350" s="63">
        <v>44782</v>
      </c>
      <c r="E350" s="444" t="s">
        <v>2126</v>
      </c>
      <c r="F350" s="480" t="s">
        <v>2125</v>
      </c>
      <c r="G350" s="71" t="s">
        <v>40</v>
      </c>
      <c r="H350" s="310" t="s">
        <v>130</v>
      </c>
      <c r="I350" s="334"/>
      <c r="J350" s="283"/>
      <c r="K350" s="294">
        <f>M350+P350+U350+R350+T350</f>
        <v>0.21742600000000001</v>
      </c>
      <c r="L350" s="20">
        <f t="shared" ref="L350" si="629">-V350</f>
        <v>0</v>
      </c>
      <c r="M350" s="95">
        <f t="shared" ref="M350" si="630">-W350</f>
        <v>0</v>
      </c>
      <c r="N350" s="94">
        <f t="shared" ref="N350" si="631">-X350</f>
        <v>45.5</v>
      </c>
      <c r="O350" s="94">
        <f>-X350</f>
        <v>45.5</v>
      </c>
      <c r="P350" s="94">
        <f>-AB350</f>
        <v>0</v>
      </c>
      <c r="Q350" s="94">
        <f>-AC350</f>
        <v>0.21742600000000001</v>
      </c>
      <c r="R350" s="94">
        <f t="shared" si="620"/>
        <v>0.21742600000000001</v>
      </c>
      <c r="S350" s="94">
        <f>-AI350</f>
        <v>0.21742600000000001</v>
      </c>
      <c r="T350" s="94">
        <f t="shared" si="621"/>
        <v>0</v>
      </c>
      <c r="U350" s="402">
        <f>-AQ350</f>
        <v>0</v>
      </c>
      <c r="V350" s="573">
        <v>0</v>
      </c>
      <c r="W350" s="326">
        <v>0</v>
      </c>
      <c r="X350" s="207">
        <v>-45.5</v>
      </c>
      <c r="Y350" s="367">
        <v>-45.5</v>
      </c>
      <c r="Z350" s="367">
        <v>-45.5</v>
      </c>
      <c r="AA350" s="468">
        <v>-45.5</v>
      </c>
      <c r="AB350" s="207">
        <v>0</v>
      </c>
      <c r="AC350" s="207">
        <f>-0.217426</f>
        <v>-0.21742600000000001</v>
      </c>
      <c r="AD350" s="367">
        <v>0</v>
      </c>
      <c r="AE350" s="468">
        <v>0</v>
      </c>
      <c r="AF350" s="468">
        <v>0</v>
      </c>
      <c r="AG350" s="468">
        <v>-0.21742600000000001</v>
      </c>
      <c r="AH350" s="468">
        <v>-0.21742600000000001</v>
      </c>
      <c r="AI350" s="623">
        <v>-0.21742600000000001</v>
      </c>
      <c r="AJ350" s="207">
        <v>0</v>
      </c>
      <c r="AK350" s="367">
        <v>0</v>
      </c>
      <c r="AL350" s="367">
        <v>0</v>
      </c>
      <c r="AM350" s="367">
        <v>0</v>
      </c>
      <c r="AN350" s="367">
        <v>0</v>
      </c>
      <c r="AO350" s="295">
        <v>0</v>
      </c>
      <c r="AP350" s="295">
        <v>0</v>
      </c>
      <c r="AQ350" s="295">
        <v>0</v>
      </c>
      <c r="AR350" s="623">
        <v>0</v>
      </c>
      <c r="AS350" s="295">
        <f>-AR350</f>
        <v>0</v>
      </c>
      <c r="AT350" s="408" t="s">
        <v>2123</v>
      </c>
    </row>
    <row r="351" spans="1:46" ht="37" collapsed="1" x14ac:dyDescent="0.35">
      <c r="A351" s="430">
        <v>6</v>
      </c>
      <c r="B351" s="618" t="s">
        <v>1202</v>
      </c>
      <c r="C351" s="599"/>
      <c r="D351" s="345"/>
      <c r="E351" s="429"/>
      <c r="F351" s="478"/>
      <c r="G351" s="378" t="s">
        <v>1727</v>
      </c>
      <c r="H351" s="379" t="s">
        <v>1727</v>
      </c>
      <c r="I351" s="346"/>
      <c r="J351" s="336"/>
      <c r="K351" s="347">
        <f t="shared" ref="K351:AS351" si="632">SUM(K352:K385)</f>
        <v>145.60560194999999</v>
      </c>
      <c r="L351" s="363">
        <f t="shared" si="632"/>
        <v>0</v>
      </c>
      <c r="M351" s="363">
        <f t="shared" si="632"/>
        <v>0</v>
      </c>
      <c r="N351" s="363">
        <f t="shared" si="632"/>
        <v>56.073127999999983</v>
      </c>
      <c r="O351" s="363">
        <f t="shared" si="632"/>
        <v>56.073127999999983</v>
      </c>
      <c r="P351" s="363">
        <f>SUM(P352:P385)</f>
        <v>52.511577999999993</v>
      </c>
      <c r="Q351" s="363">
        <f t="shared" ref="Q351" si="633">SUM(Q352:Q385)</f>
        <v>93.094023950000008</v>
      </c>
      <c r="R351" s="363">
        <f t="shared" si="632"/>
        <v>93.094023950000008</v>
      </c>
      <c r="S351" s="363">
        <f t="shared" ref="S351" si="634">SUM(S352:S385)</f>
        <v>52.009733000000004</v>
      </c>
      <c r="T351" s="363">
        <f t="shared" si="632"/>
        <v>0</v>
      </c>
      <c r="U351" s="364">
        <f t="shared" si="632"/>
        <v>0</v>
      </c>
      <c r="V351" s="572">
        <f t="shared" si="632"/>
        <v>0</v>
      </c>
      <c r="W351" s="347">
        <f t="shared" si="632"/>
        <v>0</v>
      </c>
      <c r="X351" s="363">
        <f t="shared" si="632"/>
        <v>-56.073127999999983</v>
      </c>
      <c r="Y351" s="365">
        <f t="shared" si="632"/>
        <v>-120.76803700000001</v>
      </c>
      <c r="Z351" s="365">
        <f t="shared" si="632"/>
        <v>-38.423088</v>
      </c>
      <c r="AA351" s="567">
        <f t="shared" si="632"/>
        <v>-38.423088</v>
      </c>
      <c r="AB351" s="350">
        <f t="shared" ref="AB351" si="635">SUM(AB352:AB385)</f>
        <v>-51.82486699999999</v>
      </c>
      <c r="AC351" s="363">
        <f t="shared" si="632"/>
        <v>-80.31301895</v>
      </c>
      <c r="AD351" s="365">
        <f t="shared" ref="AD351:AQ351" si="636">SUM(AD352:AD385)</f>
        <v>-97.756292999999999</v>
      </c>
      <c r="AE351" s="467">
        <f t="shared" si="636"/>
        <v>-92.623603950000003</v>
      </c>
      <c r="AF351" s="467">
        <f t="shared" si="636"/>
        <v>-80.31301895</v>
      </c>
      <c r="AG351" s="467">
        <f t="shared" si="636"/>
        <v>-69.318013950000008</v>
      </c>
      <c r="AH351" s="467">
        <f t="shared" ref="AH351:AI351" si="637">SUM(AH352:AH385)</f>
        <v>-69.318013950000008</v>
      </c>
      <c r="AI351" s="347">
        <f t="shared" si="637"/>
        <v>-52.009733000000004</v>
      </c>
      <c r="AJ351" s="363">
        <f t="shared" si="636"/>
        <v>-13.467715999999999</v>
      </c>
      <c r="AK351" s="365">
        <f t="shared" si="636"/>
        <v>-13.467715999999999</v>
      </c>
      <c r="AL351" s="365">
        <f t="shared" ref="AL351:AP351" si="638">SUM(AL352:AL385)</f>
        <v>-13.467715999999999</v>
      </c>
      <c r="AM351" s="365">
        <f t="shared" si="638"/>
        <v>-13.467715999999999</v>
      </c>
      <c r="AN351" s="365">
        <f t="shared" ref="AN351" si="639">SUM(AN352:AN385)</f>
        <v>-13.467715999999999</v>
      </c>
      <c r="AO351" s="364">
        <f t="shared" si="638"/>
        <v>0</v>
      </c>
      <c r="AP351" s="364">
        <f t="shared" si="638"/>
        <v>0</v>
      </c>
      <c r="AQ351" s="364">
        <f t="shared" si="636"/>
        <v>0</v>
      </c>
      <c r="AR351" s="347">
        <f t="shared" si="632"/>
        <v>-4.0389679999999997</v>
      </c>
      <c r="AS351" s="364">
        <f t="shared" si="632"/>
        <v>4.0389679999999997</v>
      </c>
      <c r="AT351" s="348"/>
    </row>
    <row r="352" spans="1:46" ht="122.5" hidden="1" customHeight="1" outlineLevel="1" x14ac:dyDescent="0.35">
      <c r="A352" s="590">
        <v>1</v>
      </c>
      <c r="B352" s="612" t="s">
        <v>1202</v>
      </c>
      <c r="C352" s="604" t="s">
        <v>1202</v>
      </c>
      <c r="D352" s="63">
        <v>44273</v>
      </c>
      <c r="E352" s="432" t="s">
        <v>1203</v>
      </c>
      <c r="F352" s="482" t="s">
        <v>1204</v>
      </c>
      <c r="G352" s="71" t="s">
        <v>1729</v>
      </c>
      <c r="H352" s="310" t="s">
        <v>171</v>
      </c>
      <c r="I352" s="334"/>
      <c r="J352" s="283"/>
      <c r="K352" s="294">
        <f t="shared" ref="K352:K385" si="640">M352+P352+U352+R352+T352</f>
        <v>10.336514000000003</v>
      </c>
      <c r="L352" s="20">
        <f>-V352</f>
        <v>0</v>
      </c>
      <c r="M352" s="95">
        <f>-W352</f>
        <v>0</v>
      </c>
      <c r="N352" s="94">
        <f>-X352</f>
        <v>2.8550159999999982</v>
      </c>
      <c r="O352" s="94">
        <f t="shared" ref="O352:O385" si="641">-X352</f>
        <v>2.8550159999999982</v>
      </c>
      <c r="P352" s="94">
        <f t="shared" ref="P352:P385" si="642">-AB352</f>
        <v>0</v>
      </c>
      <c r="Q352" s="94">
        <f t="shared" ref="Q352:Q369" si="643">-AC352</f>
        <v>10.336514000000003</v>
      </c>
      <c r="R352" s="94">
        <f t="shared" ref="R352:R363" si="644">-AC352</f>
        <v>10.336514000000003</v>
      </c>
      <c r="S352" s="94">
        <f t="shared" ref="S352:S369" si="645">-AI352</f>
        <v>2.099952</v>
      </c>
      <c r="T352" s="94">
        <f t="shared" ref="T352:T363" si="646">-AJ352</f>
        <v>0</v>
      </c>
      <c r="U352" s="402">
        <f t="shared" ref="U352:U363" si="647">-AQ352</f>
        <v>0</v>
      </c>
      <c r="V352" s="573">
        <v>0</v>
      </c>
      <c r="W352" s="326">
        <v>0</v>
      </c>
      <c r="X352" s="207">
        <f>-110.72852+55+0.539777+27.15+1.217154+0.3+2.67598+0.173594+1.576+0.530868+0.849399+1.105445+1.910236+0.394635+0.679395+1.350559+0.316613+0.402359+1.758446+3.354989+0.182284+0.125907+0.244902+1.43673+1.382553+1.197551+0.3+0.469847+0.394826+0.217391+0.636064</f>
        <v>-2.8550159999999982</v>
      </c>
      <c r="Y352" s="367">
        <f>-120.768037</f>
        <v>-120.76803700000001</v>
      </c>
      <c r="Z352" s="367">
        <v>0</v>
      </c>
      <c r="AA352" s="468">
        <v>0</v>
      </c>
      <c r="AB352" s="895">
        <v>0</v>
      </c>
      <c r="AC352" s="207">
        <f>-92.623604+80.496337+1.790753</f>
        <v>-10.336514000000003</v>
      </c>
      <c r="AD352" s="367">
        <v>-71.316705049999996</v>
      </c>
      <c r="AE352" s="468">
        <v>-12.127267000000003</v>
      </c>
      <c r="AF352" s="468">
        <v>-12.127267000000003</v>
      </c>
      <c r="AG352" s="468">
        <f>-12.127267+1.790753+10.995005</f>
        <v>0.65849100000000149</v>
      </c>
      <c r="AH352" s="468">
        <f>-12.127267+1.790753+10.995005</f>
        <v>0.65849100000000149</v>
      </c>
      <c r="AI352" s="623">
        <f>-0.61749-1.482462</f>
        <v>-2.099952</v>
      </c>
      <c r="AJ352" s="207">
        <v>0</v>
      </c>
      <c r="AK352" s="367">
        <v>0</v>
      </c>
      <c r="AL352" s="367">
        <v>0</v>
      </c>
      <c r="AM352" s="367">
        <v>0</v>
      </c>
      <c r="AN352" s="367">
        <v>0</v>
      </c>
      <c r="AO352" s="295">
        <v>0</v>
      </c>
      <c r="AP352" s="295">
        <v>0</v>
      </c>
      <c r="AQ352" s="295">
        <v>0</v>
      </c>
      <c r="AR352" s="623">
        <v>0</v>
      </c>
      <c r="AS352" s="295">
        <f>-AR352</f>
        <v>0</v>
      </c>
      <c r="AT352" s="408" t="s">
        <v>1217</v>
      </c>
    </row>
    <row r="353" spans="1:46" ht="72.650000000000006" hidden="1" customHeight="1" outlineLevel="1" x14ac:dyDescent="0.35">
      <c r="A353" s="590">
        <v>2</v>
      </c>
      <c r="B353" s="612" t="s">
        <v>1202</v>
      </c>
      <c r="C353" s="604" t="s">
        <v>1202</v>
      </c>
      <c r="D353" s="63">
        <v>44300</v>
      </c>
      <c r="E353" s="432" t="s">
        <v>1334</v>
      </c>
      <c r="F353" s="482" t="s">
        <v>1204</v>
      </c>
      <c r="G353" s="71" t="s">
        <v>211</v>
      </c>
      <c r="H353" s="310" t="s">
        <v>171</v>
      </c>
      <c r="I353" s="334"/>
      <c r="J353" s="283"/>
      <c r="K353" s="294">
        <f t="shared" si="640"/>
        <v>1.921333</v>
      </c>
      <c r="L353" s="20">
        <f t="shared" ref="L353:L385" si="648">-V353</f>
        <v>0</v>
      </c>
      <c r="M353" s="95">
        <f t="shared" ref="M353:M385" si="649">-W353</f>
        <v>0</v>
      </c>
      <c r="N353" s="94">
        <f t="shared" ref="N353:N385" si="650">-X353</f>
        <v>0.53977699999999995</v>
      </c>
      <c r="O353" s="94">
        <f t="shared" si="641"/>
        <v>0.53977699999999995</v>
      </c>
      <c r="P353" s="94">
        <f t="shared" si="642"/>
        <v>0.53977699999999995</v>
      </c>
      <c r="Q353" s="94">
        <f t="shared" si="643"/>
        <v>1.381556</v>
      </c>
      <c r="R353" s="94">
        <f t="shared" si="644"/>
        <v>1.381556</v>
      </c>
      <c r="S353" s="94">
        <f t="shared" si="645"/>
        <v>0</v>
      </c>
      <c r="T353" s="94">
        <f t="shared" si="646"/>
        <v>0</v>
      </c>
      <c r="U353" s="402">
        <f t="shared" si="647"/>
        <v>0</v>
      </c>
      <c r="V353" s="573">
        <v>0</v>
      </c>
      <c r="W353" s="326">
        <v>0</v>
      </c>
      <c r="X353" s="207">
        <v>-0.53977699999999995</v>
      </c>
      <c r="Y353" s="367">
        <v>0</v>
      </c>
      <c r="Z353" s="367">
        <v>-0.53977699999999995</v>
      </c>
      <c r="AA353" s="468">
        <v>-0.53977699999999995</v>
      </c>
      <c r="AB353" s="207">
        <v>-0.53977699999999995</v>
      </c>
      <c r="AC353" s="207">
        <f>-1.381556</f>
        <v>-1.381556</v>
      </c>
      <c r="AD353" s="367">
        <v>0</v>
      </c>
      <c r="AE353" s="468">
        <v>-1.381556</v>
      </c>
      <c r="AF353" s="468">
        <v>-1.381556</v>
      </c>
      <c r="AG353" s="468">
        <v>-1.381556</v>
      </c>
      <c r="AH353" s="468">
        <v>-1.381556</v>
      </c>
      <c r="AI353" s="387">
        <v>0</v>
      </c>
      <c r="AJ353" s="207">
        <v>0</v>
      </c>
      <c r="AK353" s="367">
        <v>0</v>
      </c>
      <c r="AL353" s="367">
        <v>0</v>
      </c>
      <c r="AM353" s="367">
        <v>0</v>
      </c>
      <c r="AN353" s="367">
        <v>0</v>
      </c>
      <c r="AO353" s="295">
        <v>0</v>
      </c>
      <c r="AP353" s="295">
        <v>0</v>
      </c>
      <c r="AQ353" s="295">
        <v>0</v>
      </c>
      <c r="AR353" s="387">
        <v>0</v>
      </c>
      <c r="AS353" s="295">
        <f t="shared" ref="AS353:AS380" si="651">-AR353</f>
        <v>0</v>
      </c>
      <c r="AT353" s="408" t="s">
        <v>1287</v>
      </c>
    </row>
    <row r="354" spans="1:46" ht="72.650000000000006" hidden="1" customHeight="1" outlineLevel="1" x14ac:dyDescent="0.35">
      <c r="A354" s="590">
        <v>3</v>
      </c>
      <c r="B354" s="612" t="s">
        <v>1202</v>
      </c>
      <c r="C354" s="604" t="s">
        <v>1202</v>
      </c>
      <c r="D354" s="63">
        <v>44348</v>
      </c>
      <c r="E354" s="432" t="s">
        <v>1557</v>
      </c>
      <c r="F354" s="482" t="s">
        <v>1204</v>
      </c>
      <c r="G354" s="71" t="s">
        <v>708</v>
      </c>
      <c r="H354" s="310" t="s">
        <v>171</v>
      </c>
      <c r="I354" s="334"/>
      <c r="J354" s="283"/>
      <c r="K354" s="294">
        <f t="shared" si="640"/>
        <v>50.931582950000006</v>
      </c>
      <c r="L354" s="20">
        <f t="shared" si="648"/>
        <v>0</v>
      </c>
      <c r="M354" s="95">
        <f t="shared" si="649"/>
        <v>0</v>
      </c>
      <c r="N354" s="94">
        <f t="shared" si="650"/>
        <v>27.15</v>
      </c>
      <c r="O354" s="94">
        <f t="shared" si="641"/>
        <v>27.15</v>
      </c>
      <c r="P354" s="94">
        <f t="shared" si="642"/>
        <v>27.150000000000002</v>
      </c>
      <c r="Q354" s="94">
        <f t="shared" si="643"/>
        <v>23.781582950000001</v>
      </c>
      <c r="R354" s="94">
        <f t="shared" si="644"/>
        <v>23.781582950000001</v>
      </c>
      <c r="S354" s="94">
        <f t="shared" si="645"/>
        <v>22.668151000000002</v>
      </c>
      <c r="T354" s="94">
        <f t="shared" si="646"/>
        <v>0</v>
      </c>
      <c r="U354" s="402">
        <f t="shared" si="647"/>
        <v>0</v>
      </c>
      <c r="V354" s="573">
        <v>0</v>
      </c>
      <c r="W354" s="326">
        <v>0</v>
      </c>
      <c r="X354" s="207">
        <v>-27.15</v>
      </c>
      <c r="Y354" s="367">
        <v>0</v>
      </c>
      <c r="Z354" s="367">
        <v>-27.15</v>
      </c>
      <c r="AA354" s="468">
        <v>-27.15</v>
      </c>
      <c r="AB354" s="895">
        <f>-10.372998-14.695385-2.081617</f>
        <v>-27.150000000000002</v>
      </c>
      <c r="AC354" s="207">
        <v>-23.781582950000001</v>
      </c>
      <c r="AD354" s="367">
        <v>-23.781582950000001</v>
      </c>
      <c r="AE354" s="468">
        <v>-23.781582950000001</v>
      </c>
      <c r="AF354" s="468">
        <v>-23.781582950000001</v>
      </c>
      <c r="AG354" s="468">
        <v>-23.781582950000001</v>
      </c>
      <c r="AH354" s="468">
        <v>-23.781582950000001</v>
      </c>
      <c r="AI354" s="623">
        <f>-22.668151</f>
        <v>-22.668151000000002</v>
      </c>
      <c r="AJ354" s="207">
        <v>0</v>
      </c>
      <c r="AK354" s="367">
        <v>0</v>
      </c>
      <c r="AL354" s="367">
        <v>0</v>
      </c>
      <c r="AM354" s="367">
        <v>0</v>
      </c>
      <c r="AN354" s="367">
        <v>0</v>
      </c>
      <c r="AO354" s="295">
        <v>0</v>
      </c>
      <c r="AP354" s="295">
        <v>0</v>
      </c>
      <c r="AQ354" s="295">
        <v>0</v>
      </c>
      <c r="AR354" s="623">
        <v>0</v>
      </c>
      <c r="AS354" s="295">
        <f t="shared" si="651"/>
        <v>0</v>
      </c>
      <c r="AT354" s="408" t="s">
        <v>2122</v>
      </c>
    </row>
    <row r="355" spans="1:46" ht="72.650000000000006" hidden="1" customHeight="1" outlineLevel="1" x14ac:dyDescent="0.35">
      <c r="A355" s="590">
        <v>4</v>
      </c>
      <c r="B355" s="612" t="s">
        <v>1202</v>
      </c>
      <c r="C355" s="604" t="s">
        <v>1202</v>
      </c>
      <c r="D355" s="63">
        <v>44355</v>
      </c>
      <c r="E355" s="432" t="s">
        <v>1465</v>
      </c>
      <c r="F355" s="482" t="s">
        <v>1204</v>
      </c>
      <c r="G355" s="71" t="s">
        <v>211</v>
      </c>
      <c r="H355" s="310" t="s">
        <v>171</v>
      </c>
      <c r="I355" s="334"/>
      <c r="J355" s="283"/>
      <c r="K355" s="294">
        <f t="shared" si="640"/>
        <v>1.4745540000000001</v>
      </c>
      <c r="L355" s="20">
        <f t="shared" si="648"/>
        <v>0</v>
      </c>
      <c r="M355" s="95">
        <f t="shared" si="649"/>
        <v>0</v>
      </c>
      <c r="N355" s="94">
        <f t="shared" si="650"/>
        <v>0.3</v>
      </c>
      <c r="O355" s="94">
        <f t="shared" si="641"/>
        <v>0.3</v>
      </c>
      <c r="P355" s="94">
        <f t="shared" si="642"/>
        <v>0.3</v>
      </c>
      <c r="Q355" s="94">
        <f t="shared" si="643"/>
        <v>1.1745540000000001</v>
      </c>
      <c r="R355" s="94">
        <f t="shared" si="644"/>
        <v>1.1745540000000001</v>
      </c>
      <c r="S355" s="94">
        <f t="shared" si="645"/>
        <v>0</v>
      </c>
      <c r="T355" s="94">
        <f t="shared" si="646"/>
        <v>0</v>
      </c>
      <c r="U355" s="402">
        <f t="shared" si="647"/>
        <v>0</v>
      </c>
      <c r="V355" s="573">
        <v>0</v>
      </c>
      <c r="W355" s="326">
        <v>0</v>
      </c>
      <c r="X355" s="207">
        <v>-0.3</v>
      </c>
      <c r="Y355" s="367">
        <v>0</v>
      </c>
      <c r="Z355" s="367">
        <v>-0.3</v>
      </c>
      <c r="AA355" s="468">
        <v>-0.3</v>
      </c>
      <c r="AB355" s="207">
        <v>-0.3</v>
      </c>
      <c r="AC355" s="207">
        <f>-1.174554</f>
        <v>-1.1745540000000001</v>
      </c>
      <c r="AD355" s="367">
        <v>0</v>
      </c>
      <c r="AE355" s="468">
        <v>-1.1745540000000001</v>
      </c>
      <c r="AF355" s="468">
        <v>-1.1745540000000001</v>
      </c>
      <c r="AG355" s="468">
        <v>-1.1745540000000001</v>
      </c>
      <c r="AH355" s="468">
        <v>-1.1745540000000001</v>
      </c>
      <c r="AI355" s="387">
        <v>0</v>
      </c>
      <c r="AJ355" s="207">
        <v>0</v>
      </c>
      <c r="AK355" s="367">
        <v>0</v>
      </c>
      <c r="AL355" s="367">
        <v>0</v>
      </c>
      <c r="AM355" s="367">
        <v>0</v>
      </c>
      <c r="AN355" s="367">
        <v>0</v>
      </c>
      <c r="AO355" s="295">
        <v>0</v>
      </c>
      <c r="AP355" s="295">
        <v>0</v>
      </c>
      <c r="AQ355" s="295">
        <v>0</v>
      </c>
      <c r="AR355" s="387">
        <v>0</v>
      </c>
      <c r="AS355" s="295">
        <f t="shared" si="651"/>
        <v>0</v>
      </c>
      <c r="AT355" s="408" t="s">
        <v>1459</v>
      </c>
    </row>
    <row r="356" spans="1:46" ht="87" hidden="1" customHeight="1" outlineLevel="1" x14ac:dyDescent="0.35">
      <c r="A356" s="590">
        <v>5</v>
      </c>
      <c r="B356" s="612" t="s">
        <v>1202</v>
      </c>
      <c r="C356" s="604" t="s">
        <v>1202</v>
      </c>
      <c r="D356" s="63">
        <v>44361</v>
      </c>
      <c r="E356" s="432" t="s">
        <v>1669</v>
      </c>
      <c r="F356" s="482" t="s">
        <v>1204</v>
      </c>
      <c r="G356" s="71" t="s">
        <v>25</v>
      </c>
      <c r="H356" s="310" t="s">
        <v>171</v>
      </c>
      <c r="I356" s="334"/>
      <c r="J356" s="283"/>
      <c r="K356" s="294">
        <f t="shared" si="640"/>
        <v>1.2300059999999999</v>
      </c>
      <c r="L356" s="20">
        <f t="shared" si="648"/>
        <v>0</v>
      </c>
      <c r="M356" s="95">
        <f t="shared" si="649"/>
        <v>0</v>
      </c>
      <c r="N356" s="94">
        <f t="shared" si="650"/>
        <v>1.2171540000000001</v>
      </c>
      <c r="O356" s="94">
        <f t="shared" si="641"/>
        <v>1.2171540000000001</v>
      </c>
      <c r="P356" s="94">
        <f t="shared" si="642"/>
        <v>1.135159</v>
      </c>
      <c r="Q356" s="94">
        <f t="shared" si="643"/>
        <v>9.4847000000000001E-2</v>
      </c>
      <c r="R356" s="94">
        <f t="shared" si="644"/>
        <v>9.4847000000000001E-2</v>
      </c>
      <c r="S356" s="94">
        <f t="shared" si="645"/>
        <v>4.9047E-2</v>
      </c>
      <c r="T356" s="94">
        <f t="shared" si="646"/>
        <v>0</v>
      </c>
      <c r="U356" s="402">
        <f t="shared" si="647"/>
        <v>0</v>
      </c>
      <c r="V356" s="573">
        <v>0</v>
      </c>
      <c r="W356" s="326">
        <v>0</v>
      </c>
      <c r="X356" s="207">
        <v>-1.2171540000000001</v>
      </c>
      <c r="Y356" s="367">
        <v>0</v>
      </c>
      <c r="Z356" s="367">
        <v>-1.2171540000000001</v>
      </c>
      <c r="AA356" s="468">
        <v>-1.2171540000000001</v>
      </c>
      <c r="AB356" s="207">
        <f>-1.135159</f>
        <v>-1.135159</v>
      </c>
      <c r="AC356" s="207">
        <f>-0.094847</f>
        <v>-9.4847000000000001E-2</v>
      </c>
      <c r="AD356" s="367">
        <v>0</v>
      </c>
      <c r="AE356" s="468">
        <v>-9.4847000000000001E-2</v>
      </c>
      <c r="AF356" s="468">
        <v>-9.4847000000000001E-2</v>
      </c>
      <c r="AG356" s="468">
        <v>-9.4847000000000001E-2</v>
      </c>
      <c r="AH356" s="468">
        <v>-9.4847000000000001E-2</v>
      </c>
      <c r="AI356" s="623">
        <f>-0.049047</f>
        <v>-4.9047E-2</v>
      </c>
      <c r="AJ356" s="207">
        <v>0</v>
      </c>
      <c r="AK356" s="367">
        <v>0</v>
      </c>
      <c r="AL356" s="367">
        <v>0</v>
      </c>
      <c r="AM356" s="367">
        <v>0</v>
      </c>
      <c r="AN356" s="367">
        <v>0</v>
      </c>
      <c r="AO356" s="295">
        <v>0</v>
      </c>
      <c r="AP356" s="295">
        <v>0</v>
      </c>
      <c r="AQ356" s="295">
        <v>0</v>
      </c>
      <c r="AR356" s="623">
        <v>0</v>
      </c>
      <c r="AS356" s="295">
        <f t="shared" si="651"/>
        <v>0</v>
      </c>
      <c r="AT356" s="408" t="s">
        <v>1475</v>
      </c>
    </row>
    <row r="357" spans="1:46" ht="90" hidden="1" customHeight="1" outlineLevel="1" x14ac:dyDescent="0.35">
      <c r="A357" s="590">
        <v>6</v>
      </c>
      <c r="B357" s="612" t="s">
        <v>1202</v>
      </c>
      <c r="C357" s="604" t="s">
        <v>1202</v>
      </c>
      <c r="D357" s="268">
        <v>44376</v>
      </c>
      <c r="E357" s="432" t="s">
        <v>1479</v>
      </c>
      <c r="F357" s="482" t="s">
        <v>1204</v>
      </c>
      <c r="G357" s="71" t="s">
        <v>708</v>
      </c>
      <c r="H357" s="310" t="s">
        <v>171</v>
      </c>
      <c r="I357" s="334"/>
      <c r="J357" s="283"/>
      <c r="K357" s="294">
        <f t="shared" si="640"/>
        <v>5.3339840000000001</v>
      </c>
      <c r="L357" s="20">
        <f t="shared" si="648"/>
        <v>0</v>
      </c>
      <c r="M357" s="95">
        <f t="shared" si="649"/>
        <v>0</v>
      </c>
      <c r="N357" s="94">
        <f t="shared" si="650"/>
        <v>2.67598</v>
      </c>
      <c r="O357" s="94">
        <f t="shared" si="641"/>
        <v>2.67598</v>
      </c>
      <c r="P357" s="94">
        <f t="shared" si="642"/>
        <v>2.6759789999999999</v>
      </c>
      <c r="Q357" s="94">
        <f t="shared" si="643"/>
        <v>2.6580050000000002</v>
      </c>
      <c r="R357" s="94">
        <f t="shared" si="644"/>
        <v>2.6580050000000002</v>
      </c>
      <c r="S357" s="94">
        <f t="shared" si="645"/>
        <v>0</v>
      </c>
      <c r="T357" s="94">
        <f t="shared" si="646"/>
        <v>0</v>
      </c>
      <c r="U357" s="402">
        <f t="shared" si="647"/>
        <v>0</v>
      </c>
      <c r="V357" s="573">
        <v>0</v>
      </c>
      <c r="W357" s="326">
        <v>0</v>
      </c>
      <c r="X357" s="207">
        <v>-2.67598</v>
      </c>
      <c r="Y357" s="367">
        <v>0</v>
      </c>
      <c r="Z357" s="367">
        <v>-2.67598</v>
      </c>
      <c r="AA357" s="468">
        <v>-2.67598</v>
      </c>
      <c r="AB357" s="207">
        <f>-2.675979</f>
        <v>-2.6759789999999999</v>
      </c>
      <c r="AC357" s="207">
        <f>-4.374696+1.716691</f>
        <v>-2.6580050000000002</v>
      </c>
      <c r="AD357" s="367">
        <v>-2.6580050000000002</v>
      </c>
      <c r="AE357" s="468">
        <v>-2.6580050000000002</v>
      </c>
      <c r="AF357" s="468">
        <v>-2.6580050000000002</v>
      </c>
      <c r="AG357" s="468">
        <v>-2.6580050000000002</v>
      </c>
      <c r="AH357" s="468">
        <v>-2.6580050000000002</v>
      </c>
      <c r="AI357" s="917">
        <v>0</v>
      </c>
      <c r="AJ357" s="207">
        <v>0</v>
      </c>
      <c r="AK357" s="367">
        <v>0</v>
      </c>
      <c r="AL357" s="367">
        <v>0</v>
      </c>
      <c r="AM357" s="367">
        <v>0</v>
      </c>
      <c r="AN357" s="367">
        <v>0</v>
      </c>
      <c r="AO357" s="295">
        <v>0</v>
      </c>
      <c r="AP357" s="295">
        <v>0</v>
      </c>
      <c r="AQ357" s="295">
        <v>0</v>
      </c>
      <c r="AR357" s="917">
        <v>0</v>
      </c>
      <c r="AS357" s="295">
        <f t="shared" si="651"/>
        <v>0</v>
      </c>
      <c r="AT357" s="408" t="s">
        <v>1478</v>
      </c>
    </row>
    <row r="358" spans="1:46" ht="72.650000000000006" hidden="1" customHeight="1" outlineLevel="1" x14ac:dyDescent="0.35">
      <c r="A358" s="590">
        <v>7</v>
      </c>
      <c r="B358" s="612" t="s">
        <v>1202</v>
      </c>
      <c r="C358" s="604" t="s">
        <v>1202</v>
      </c>
      <c r="D358" s="268">
        <v>44383</v>
      </c>
      <c r="E358" s="432" t="s">
        <v>1488</v>
      </c>
      <c r="F358" s="482" t="s">
        <v>1204</v>
      </c>
      <c r="G358" s="71" t="s">
        <v>25</v>
      </c>
      <c r="H358" s="310" t="s">
        <v>171</v>
      </c>
      <c r="I358" s="334"/>
      <c r="J358" s="283"/>
      <c r="K358" s="294">
        <f t="shared" si="640"/>
        <v>0.28547600000000001</v>
      </c>
      <c r="L358" s="20">
        <f t="shared" si="648"/>
        <v>0</v>
      </c>
      <c r="M358" s="95">
        <f t="shared" si="649"/>
        <v>0</v>
      </c>
      <c r="N358" s="94">
        <f t="shared" si="650"/>
        <v>0.173594</v>
      </c>
      <c r="O358" s="94">
        <f t="shared" si="641"/>
        <v>0.173594</v>
      </c>
      <c r="P358" s="94">
        <f t="shared" si="642"/>
        <v>0.17338999999999999</v>
      </c>
      <c r="Q358" s="94">
        <f t="shared" si="643"/>
        <v>0.11208600000000001</v>
      </c>
      <c r="R358" s="94">
        <f t="shared" si="644"/>
        <v>0.11208600000000001</v>
      </c>
      <c r="S358" s="94">
        <f t="shared" si="645"/>
        <v>0.102571</v>
      </c>
      <c r="T358" s="94">
        <f t="shared" si="646"/>
        <v>0</v>
      </c>
      <c r="U358" s="402">
        <f t="shared" si="647"/>
        <v>0</v>
      </c>
      <c r="V358" s="573">
        <v>0</v>
      </c>
      <c r="W358" s="326">
        <v>0</v>
      </c>
      <c r="X358" s="207">
        <v>-0.173594</v>
      </c>
      <c r="Y358" s="367">
        <v>0</v>
      </c>
      <c r="Z358" s="367">
        <v>-0.173594</v>
      </c>
      <c r="AA358" s="468">
        <v>-0.173594</v>
      </c>
      <c r="AB358" s="207">
        <f>-0.172173-0.001217</f>
        <v>-0.17338999999999999</v>
      </c>
      <c r="AC358" s="207">
        <f>-0.112086</f>
        <v>-0.11208600000000001</v>
      </c>
      <c r="AD358" s="367">
        <v>0</v>
      </c>
      <c r="AE358" s="468">
        <v>-0.11208600000000001</v>
      </c>
      <c r="AF358" s="468">
        <v>-0.11208600000000001</v>
      </c>
      <c r="AG358" s="468">
        <v>-0.11208600000000001</v>
      </c>
      <c r="AH358" s="468">
        <v>-0.11208600000000001</v>
      </c>
      <c r="AI358" s="623">
        <f>-0.102571</f>
        <v>-0.102571</v>
      </c>
      <c r="AJ358" s="207">
        <v>0</v>
      </c>
      <c r="AK358" s="367">
        <v>0</v>
      </c>
      <c r="AL358" s="367">
        <v>0</v>
      </c>
      <c r="AM358" s="367">
        <v>0</v>
      </c>
      <c r="AN358" s="367">
        <v>0</v>
      </c>
      <c r="AO358" s="295">
        <v>0</v>
      </c>
      <c r="AP358" s="295">
        <v>0</v>
      </c>
      <c r="AQ358" s="295">
        <v>0</v>
      </c>
      <c r="AR358" s="623">
        <v>0</v>
      </c>
      <c r="AS358" s="295">
        <f t="shared" si="651"/>
        <v>0</v>
      </c>
      <c r="AT358" s="408" t="s">
        <v>1626</v>
      </c>
    </row>
    <row r="359" spans="1:46" ht="72.650000000000006" hidden="1" customHeight="1" outlineLevel="1" x14ac:dyDescent="0.35">
      <c r="A359" s="590">
        <v>8</v>
      </c>
      <c r="B359" s="612" t="s">
        <v>1202</v>
      </c>
      <c r="C359" s="604" t="s">
        <v>1202</v>
      </c>
      <c r="D359" s="268">
        <v>44383</v>
      </c>
      <c r="E359" s="432" t="s">
        <v>1489</v>
      </c>
      <c r="F359" s="482" t="s">
        <v>1204</v>
      </c>
      <c r="G359" s="71" t="s">
        <v>25</v>
      </c>
      <c r="H359" s="310" t="s">
        <v>171</v>
      </c>
      <c r="I359" s="334"/>
      <c r="J359" s="283"/>
      <c r="K359" s="294">
        <f t="shared" si="640"/>
        <v>1.5760000000000001</v>
      </c>
      <c r="L359" s="20">
        <f t="shared" si="648"/>
        <v>0</v>
      </c>
      <c r="M359" s="95">
        <f t="shared" si="649"/>
        <v>0</v>
      </c>
      <c r="N359" s="94">
        <f t="shared" si="650"/>
        <v>1.5760000000000001</v>
      </c>
      <c r="O359" s="94">
        <f t="shared" si="641"/>
        <v>1.5760000000000001</v>
      </c>
      <c r="P359" s="94">
        <f t="shared" si="642"/>
        <v>1.5760000000000001</v>
      </c>
      <c r="Q359" s="94">
        <f t="shared" si="643"/>
        <v>0</v>
      </c>
      <c r="R359" s="94">
        <f t="shared" si="644"/>
        <v>0</v>
      </c>
      <c r="S359" s="94">
        <f t="shared" si="645"/>
        <v>0</v>
      </c>
      <c r="T359" s="94">
        <f t="shared" si="646"/>
        <v>0</v>
      </c>
      <c r="U359" s="402">
        <f t="shared" si="647"/>
        <v>0</v>
      </c>
      <c r="V359" s="573">
        <v>0</v>
      </c>
      <c r="W359" s="326">
        <v>0</v>
      </c>
      <c r="X359" s="207">
        <v>-1.5760000000000001</v>
      </c>
      <c r="Y359" s="367">
        <v>0</v>
      </c>
      <c r="Z359" s="367">
        <v>-1.5760000000000001</v>
      </c>
      <c r="AA359" s="468">
        <v>-1.5760000000000001</v>
      </c>
      <c r="AB359" s="207">
        <f>-1.576</f>
        <v>-1.5760000000000001</v>
      </c>
      <c r="AC359" s="207">
        <v>0</v>
      </c>
      <c r="AD359" s="367">
        <v>0</v>
      </c>
      <c r="AE359" s="468">
        <v>0</v>
      </c>
      <c r="AF359" s="468">
        <v>0</v>
      </c>
      <c r="AG359" s="468">
        <v>0</v>
      </c>
      <c r="AH359" s="468">
        <v>0</v>
      </c>
      <c r="AI359" s="387">
        <v>0</v>
      </c>
      <c r="AJ359" s="207">
        <v>0</v>
      </c>
      <c r="AK359" s="367">
        <v>0</v>
      </c>
      <c r="AL359" s="367">
        <v>0</v>
      </c>
      <c r="AM359" s="367">
        <v>0</v>
      </c>
      <c r="AN359" s="367">
        <v>0</v>
      </c>
      <c r="AO359" s="295">
        <v>0</v>
      </c>
      <c r="AP359" s="295">
        <v>0</v>
      </c>
      <c r="AQ359" s="295">
        <v>0</v>
      </c>
      <c r="AR359" s="387">
        <v>0</v>
      </c>
      <c r="AS359" s="295">
        <f t="shared" si="651"/>
        <v>0</v>
      </c>
      <c r="AT359" s="408" t="s">
        <v>1490</v>
      </c>
    </row>
    <row r="360" spans="1:46" ht="72.650000000000006" hidden="1" customHeight="1" outlineLevel="1" x14ac:dyDescent="0.35">
      <c r="A360" s="590">
        <v>9</v>
      </c>
      <c r="B360" s="612" t="s">
        <v>1202</v>
      </c>
      <c r="C360" s="604" t="s">
        <v>1202</v>
      </c>
      <c r="D360" s="268">
        <v>44383</v>
      </c>
      <c r="E360" s="432" t="s">
        <v>1491</v>
      </c>
      <c r="F360" s="482" t="s">
        <v>1204</v>
      </c>
      <c r="G360" s="71" t="s">
        <v>25</v>
      </c>
      <c r="H360" s="310" t="s">
        <v>171</v>
      </c>
      <c r="I360" s="334"/>
      <c r="J360" s="283"/>
      <c r="K360" s="294">
        <f t="shared" si="640"/>
        <v>0.53086800000000001</v>
      </c>
      <c r="L360" s="20">
        <f t="shared" si="648"/>
        <v>0</v>
      </c>
      <c r="M360" s="95">
        <f t="shared" si="649"/>
        <v>0</v>
      </c>
      <c r="N360" s="94">
        <f t="shared" si="650"/>
        <v>0.53086800000000001</v>
      </c>
      <c r="O360" s="94">
        <f t="shared" si="641"/>
        <v>0.53086800000000001</v>
      </c>
      <c r="P360" s="94">
        <f t="shared" si="642"/>
        <v>0.53086800000000001</v>
      </c>
      <c r="Q360" s="94">
        <f t="shared" si="643"/>
        <v>0</v>
      </c>
      <c r="R360" s="94">
        <f t="shared" si="644"/>
        <v>0</v>
      </c>
      <c r="S360" s="94">
        <f t="shared" si="645"/>
        <v>0</v>
      </c>
      <c r="T360" s="94">
        <f t="shared" si="646"/>
        <v>0</v>
      </c>
      <c r="U360" s="402">
        <f t="shared" si="647"/>
        <v>0</v>
      </c>
      <c r="V360" s="573">
        <v>0</v>
      </c>
      <c r="W360" s="326">
        <v>0</v>
      </c>
      <c r="X360" s="207">
        <v>-0.53086800000000001</v>
      </c>
      <c r="Y360" s="367">
        <v>0</v>
      </c>
      <c r="Z360" s="367">
        <v>-0.53086800000000001</v>
      </c>
      <c r="AA360" s="468">
        <v>-0.53086800000000001</v>
      </c>
      <c r="AB360" s="207">
        <f>-0.530868</f>
        <v>-0.53086800000000001</v>
      </c>
      <c r="AC360" s="207">
        <v>0</v>
      </c>
      <c r="AD360" s="367">
        <v>0</v>
      </c>
      <c r="AE360" s="468">
        <v>0</v>
      </c>
      <c r="AF360" s="468">
        <v>0</v>
      </c>
      <c r="AG360" s="468">
        <v>0</v>
      </c>
      <c r="AH360" s="468">
        <v>0</v>
      </c>
      <c r="AI360" s="387">
        <v>0</v>
      </c>
      <c r="AJ360" s="207">
        <v>0</v>
      </c>
      <c r="AK360" s="367">
        <v>0</v>
      </c>
      <c r="AL360" s="367">
        <v>0</v>
      </c>
      <c r="AM360" s="367">
        <v>0</v>
      </c>
      <c r="AN360" s="367">
        <v>0</v>
      </c>
      <c r="AO360" s="295">
        <v>0</v>
      </c>
      <c r="AP360" s="295">
        <v>0</v>
      </c>
      <c r="AQ360" s="295">
        <v>0</v>
      </c>
      <c r="AR360" s="387">
        <v>0</v>
      </c>
      <c r="AS360" s="295">
        <f t="shared" si="651"/>
        <v>0</v>
      </c>
      <c r="AT360" s="408" t="s">
        <v>1492</v>
      </c>
    </row>
    <row r="361" spans="1:46" ht="72.650000000000006" hidden="1" customHeight="1" outlineLevel="1" x14ac:dyDescent="0.35">
      <c r="A361" s="590">
        <v>10</v>
      </c>
      <c r="B361" s="612" t="s">
        <v>1202</v>
      </c>
      <c r="C361" s="604" t="s">
        <v>1202</v>
      </c>
      <c r="D361" s="268">
        <v>44383</v>
      </c>
      <c r="E361" s="432" t="s">
        <v>1493</v>
      </c>
      <c r="F361" s="482" t="s">
        <v>1204</v>
      </c>
      <c r="G361" s="71" t="s">
        <v>211</v>
      </c>
      <c r="H361" s="310" t="s">
        <v>171</v>
      </c>
      <c r="I361" s="334"/>
      <c r="J361" s="283"/>
      <c r="K361" s="294">
        <f t="shared" si="640"/>
        <v>0.84939900000000002</v>
      </c>
      <c r="L361" s="20">
        <f t="shared" si="648"/>
        <v>0</v>
      </c>
      <c r="M361" s="95">
        <f t="shared" si="649"/>
        <v>0</v>
      </c>
      <c r="N361" s="94">
        <f t="shared" si="650"/>
        <v>0.84939900000000002</v>
      </c>
      <c r="O361" s="94">
        <f t="shared" si="641"/>
        <v>0.84939900000000002</v>
      </c>
      <c r="P361" s="94">
        <f t="shared" si="642"/>
        <v>0.84939900000000002</v>
      </c>
      <c r="Q361" s="94">
        <f t="shared" si="643"/>
        <v>0</v>
      </c>
      <c r="R361" s="94">
        <f t="shared" si="644"/>
        <v>0</v>
      </c>
      <c r="S361" s="94">
        <f t="shared" si="645"/>
        <v>0</v>
      </c>
      <c r="T361" s="94">
        <f t="shared" si="646"/>
        <v>0</v>
      </c>
      <c r="U361" s="402">
        <f t="shared" si="647"/>
        <v>0</v>
      </c>
      <c r="V361" s="573">
        <v>0</v>
      </c>
      <c r="W361" s="326">
        <v>0</v>
      </c>
      <c r="X361" s="207">
        <v>-0.84939900000000002</v>
      </c>
      <c r="Y361" s="367">
        <v>0</v>
      </c>
      <c r="Z361" s="367">
        <v>-0.84939900000000002</v>
      </c>
      <c r="AA361" s="468">
        <v>-0.84939900000000002</v>
      </c>
      <c r="AB361" s="207">
        <f>-0.849399</f>
        <v>-0.84939900000000002</v>
      </c>
      <c r="AC361" s="207">
        <v>0</v>
      </c>
      <c r="AD361" s="367">
        <v>0</v>
      </c>
      <c r="AE361" s="468">
        <v>0</v>
      </c>
      <c r="AF361" s="468">
        <v>0</v>
      </c>
      <c r="AG361" s="468">
        <v>0</v>
      </c>
      <c r="AH361" s="468">
        <v>0</v>
      </c>
      <c r="AI361" s="387">
        <v>0</v>
      </c>
      <c r="AJ361" s="207">
        <v>0</v>
      </c>
      <c r="AK361" s="367">
        <v>0</v>
      </c>
      <c r="AL361" s="367">
        <v>0</v>
      </c>
      <c r="AM361" s="367">
        <v>0</v>
      </c>
      <c r="AN361" s="367">
        <v>0</v>
      </c>
      <c r="AO361" s="295">
        <v>0</v>
      </c>
      <c r="AP361" s="295">
        <v>0</v>
      </c>
      <c r="AQ361" s="295">
        <v>0</v>
      </c>
      <c r="AR361" s="387">
        <v>0</v>
      </c>
      <c r="AS361" s="295">
        <f t="shared" si="651"/>
        <v>0</v>
      </c>
      <c r="AT361" s="408" t="s">
        <v>1494</v>
      </c>
    </row>
    <row r="362" spans="1:46" ht="72.650000000000006" hidden="1" customHeight="1" outlineLevel="1" x14ac:dyDescent="0.35">
      <c r="A362" s="590">
        <v>11</v>
      </c>
      <c r="B362" s="612" t="s">
        <v>1202</v>
      </c>
      <c r="C362" s="604" t="s">
        <v>1202</v>
      </c>
      <c r="D362" s="268">
        <v>44383</v>
      </c>
      <c r="E362" s="432" t="s">
        <v>1495</v>
      </c>
      <c r="F362" s="482" t="s">
        <v>1204</v>
      </c>
      <c r="G362" s="71" t="s">
        <v>211</v>
      </c>
      <c r="H362" s="310" t="s">
        <v>171</v>
      </c>
      <c r="I362" s="334"/>
      <c r="J362" s="283"/>
      <c r="K362" s="294">
        <f t="shared" si="640"/>
        <v>2.0781390000000002</v>
      </c>
      <c r="L362" s="20">
        <f t="shared" si="648"/>
        <v>0</v>
      </c>
      <c r="M362" s="95">
        <f t="shared" si="649"/>
        <v>0</v>
      </c>
      <c r="N362" s="94">
        <f t="shared" si="650"/>
        <v>1.105445</v>
      </c>
      <c r="O362" s="94">
        <f t="shared" si="641"/>
        <v>1.105445</v>
      </c>
      <c r="P362" s="94">
        <f t="shared" si="642"/>
        <v>1.105445</v>
      </c>
      <c r="Q362" s="94">
        <f t="shared" si="643"/>
        <v>0.97269399999999995</v>
      </c>
      <c r="R362" s="94">
        <f t="shared" si="644"/>
        <v>0.97269399999999995</v>
      </c>
      <c r="S362" s="94">
        <f t="shared" si="645"/>
        <v>0</v>
      </c>
      <c r="T362" s="94">
        <f t="shared" si="646"/>
        <v>0</v>
      </c>
      <c r="U362" s="402">
        <f t="shared" si="647"/>
        <v>0</v>
      </c>
      <c r="V362" s="573">
        <v>0</v>
      </c>
      <c r="W362" s="326">
        <v>0</v>
      </c>
      <c r="X362" s="207">
        <v>-1.105445</v>
      </c>
      <c r="Y362" s="367">
        <v>0</v>
      </c>
      <c r="Z362" s="367">
        <v>-1.105445</v>
      </c>
      <c r="AA362" s="468">
        <v>-1.105445</v>
      </c>
      <c r="AB362" s="207">
        <f>-1.105445</f>
        <v>-1.105445</v>
      </c>
      <c r="AC362" s="207">
        <f>-0.972694</f>
        <v>-0.97269399999999995</v>
      </c>
      <c r="AD362" s="367">
        <v>0</v>
      </c>
      <c r="AE362" s="468">
        <v>-0.97269399999999995</v>
      </c>
      <c r="AF362" s="468">
        <v>-0.97269399999999995</v>
      </c>
      <c r="AG362" s="468">
        <v>-0.97269399999999995</v>
      </c>
      <c r="AH362" s="468">
        <v>-0.97269399999999995</v>
      </c>
      <c r="AI362" s="387">
        <v>0</v>
      </c>
      <c r="AJ362" s="207">
        <v>0</v>
      </c>
      <c r="AK362" s="367">
        <v>0</v>
      </c>
      <c r="AL362" s="367">
        <v>0</v>
      </c>
      <c r="AM362" s="367">
        <v>0</v>
      </c>
      <c r="AN362" s="367">
        <v>0</v>
      </c>
      <c r="AO362" s="295">
        <v>0</v>
      </c>
      <c r="AP362" s="295">
        <v>0</v>
      </c>
      <c r="AQ362" s="295">
        <v>0</v>
      </c>
      <c r="AR362" s="387">
        <v>0</v>
      </c>
      <c r="AS362" s="295">
        <f t="shared" si="651"/>
        <v>0</v>
      </c>
      <c r="AT362" s="408" t="s">
        <v>1496</v>
      </c>
    </row>
    <row r="363" spans="1:46" ht="118.5" hidden="1" customHeight="1" outlineLevel="1" x14ac:dyDescent="0.35">
      <c r="A363" s="590">
        <v>12</v>
      </c>
      <c r="B363" s="612" t="s">
        <v>1202</v>
      </c>
      <c r="C363" s="604" t="s">
        <v>1202</v>
      </c>
      <c r="D363" s="268">
        <v>44384</v>
      </c>
      <c r="E363" s="432" t="s">
        <v>1499</v>
      </c>
      <c r="F363" s="482" t="s">
        <v>1204</v>
      </c>
      <c r="G363" s="71" t="s">
        <v>225</v>
      </c>
      <c r="H363" s="310" t="s">
        <v>171</v>
      </c>
      <c r="I363" s="334"/>
      <c r="J363" s="283"/>
      <c r="K363" s="294">
        <f t="shared" si="640"/>
        <v>1.910236</v>
      </c>
      <c r="L363" s="20">
        <f t="shared" si="648"/>
        <v>0</v>
      </c>
      <c r="M363" s="95">
        <f t="shared" si="649"/>
        <v>0</v>
      </c>
      <c r="N363" s="94">
        <f t="shared" si="650"/>
        <v>1.910236</v>
      </c>
      <c r="O363" s="94">
        <f t="shared" si="641"/>
        <v>1.910236</v>
      </c>
      <c r="P363" s="94">
        <f t="shared" si="642"/>
        <v>1.910236</v>
      </c>
      <c r="Q363" s="94">
        <f t="shared" si="643"/>
        <v>0</v>
      </c>
      <c r="R363" s="94">
        <f t="shared" si="644"/>
        <v>0</v>
      </c>
      <c r="S363" s="94">
        <f t="shared" si="645"/>
        <v>0</v>
      </c>
      <c r="T363" s="94">
        <f t="shared" si="646"/>
        <v>0</v>
      </c>
      <c r="U363" s="402">
        <f t="shared" si="647"/>
        <v>0</v>
      </c>
      <c r="V363" s="573">
        <v>0</v>
      </c>
      <c r="W363" s="326">
        <v>0</v>
      </c>
      <c r="X363" s="207">
        <f>-1.910236</f>
        <v>-1.910236</v>
      </c>
      <c r="Y363" s="367">
        <v>0</v>
      </c>
      <c r="Z363" s="367">
        <v>-1.910236</v>
      </c>
      <c r="AA363" s="468">
        <v>-1.910236</v>
      </c>
      <c r="AB363" s="207">
        <v>-1.910236</v>
      </c>
      <c r="AC363" s="207">
        <v>0</v>
      </c>
      <c r="AD363" s="367">
        <v>0</v>
      </c>
      <c r="AE363" s="468">
        <v>0</v>
      </c>
      <c r="AF363" s="468">
        <v>0</v>
      </c>
      <c r="AG363" s="468">
        <v>0</v>
      </c>
      <c r="AH363" s="468">
        <v>0</v>
      </c>
      <c r="AI363" s="387">
        <v>0</v>
      </c>
      <c r="AJ363" s="207">
        <v>0</v>
      </c>
      <c r="AK363" s="367">
        <v>0</v>
      </c>
      <c r="AL363" s="367">
        <v>0</v>
      </c>
      <c r="AM363" s="367">
        <v>0</v>
      </c>
      <c r="AN363" s="367">
        <v>0</v>
      </c>
      <c r="AO363" s="295">
        <v>0</v>
      </c>
      <c r="AP363" s="295">
        <v>0</v>
      </c>
      <c r="AQ363" s="295">
        <v>0</v>
      </c>
      <c r="AR363" s="387">
        <v>0</v>
      </c>
      <c r="AS363" s="295">
        <f t="shared" si="651"/>
        <v>0</v>
      </c>
      <c r="AT363" s="412" t="s">
        <v>1627</v>
      </c>
    </row>
    <row r="364" spans="1:46" ht="72.650000000000006" hidden="1" customHeight="1" outlineLevel="1" x14ac:dyDescent="0.35">
      <c r="A364" s="590">
        <v>13</v>
      </c>
      <c r="B364" s="612" t="s">
        <v>1202</v>
      </c>
      <c r="C364" s="604" t="s">
        <v>1202</v>
      </c>
      <c r="D364" s="268">
        <v>44368</v>
      </c>
      <c r="E364" s="432" t="s">
        <v>1508</v>
      </c>
      <c r="F364" s="482" t="s">
        <v>1204</v>
      </c>
      <c r="G364" s="71" t="s">
        <v>25</v>
      </c>
      <c r="H364" s="310" t="s">
        <v>171</v>
      </c>
      <c r="I364" s="334"/>
      <c r="J364" s="283"/>
      <c r="K364" s="294">
        <f t="shared" si="640"/>
        <v>0.44902500000000001</v>
      </c>
      <c r="L364" s="20">
        <f t="shared" si="648"/>
        <v>0</v>
      </c>
      <c r="M364" s="95">
        <f t="shared" si="649"/>
        <v>0</v>
      </c>
      <c r="N364" s="94">
        <f t="shared" si="650"/>
        <v>0.39463500000000001</v>
      </c>
      <c r="O364" s="94">
        <f t="shared" si="641"/>
        <v>0.39463500000000001</v>
      </c>
      <c r="P364" s="94">
        <f t="shared" si="642"/>
        <v>0.44902500000000001</v>
      </c>
      <c r="Q364" s="94">
        <f t="shared" si="643"/>
        <v>0</v>
      </c>
      <c r="R364" s="94">
        <f t="shared" ref="R364:R380" si="652">-AC364</f>
        <v>0</v>
      </c>
      <c r="S364" s="94">
        <f t="shared" si="645"/>
        <v>0</v>
      </c>
      <c r="T364" s="94">
        <f t="shared" ref="T364:T385" si="653">-AJ364</f>
        <v>0</v>
      </c>
      <c r="U364" s="402">
        <f t="shared" ref="U364:U385" si="654">-AQ364</f>
        <v>0</v>
      </c>
      <c r="V364" s="573">
        <v>0</v>
      </c>
      <c r="W364" s="326">
        <v>0</v>
      </c>
      <c r="X364" s="207">
        <v>-0.39463500000000001</v>
      </c>
      <c r="Y364" s="367">
        <v>0</v>
      </c>
      <c r="Z364" s="367">
        <v>-0.39463500000000001</v>
      </c>
      <c r="AA364" s="468">
        <v>-0.39463500000000001</v>
      </c>
      <c r="AB364" s="207">
        <v>-0.44902500000000001</v>
      </c>
      <c r="AC364" s="207">
        <v>0</v>
      </c>
      <c r="AD364" s="367">
        <v>0</v>
      </c>
      <c r="AE364" s="468">
        <v>0</v>
      </c>
      <c r="AF364" s="468">
        <v>0</v>
      </c>
      <c r="AG364" s="468">
        <v>0</v>
      </c>
      <c r="AH364" s="468">
        <v>0</v>
      </c>
      <c r="AI364" s="387">
        <v>0</v>
      </c>
      <c r="AJ364" s="207">
        <v>0</v>
      </c>
      <c r="AK364" s="367">
        <v>0</v>
      </c>
      <c r="AL364" s="367">
        <v>0</v>
      </c>
      <c r="AM364" s="367">
        <v>0</v>
      </c>
      <c r="AN364" s="367">
        <v>0</v>
      </c>
      <c r="AO364" s="295">
        <v>0</v>
      </c>
      <c r="AP364" s="295">
        <v>0</v>
      </c>
      <c r="AQ364" s="295">
        <v>0</v>
      </c>
      <c r="AR364" s="387">
        <v>0</v>
      </c>
      <c r="AS364" s="295">
        <f t="shared" si="651"/>
        <v>0</v>
      </c>
      <c r="AT364" s="412" t="s">
        <v>1509</v>
      </c>
    </row>
    <row r="365" spans="1:46" ht="142.5" hidden="1" customHeight="1" outlineLevel="1" x14ac:dyDescent="0.35">
      <c r="A365" s="590">
        <v>14</v>
      </c>
      <c r="B365" s="612" t="s">
        <v>1202</v>
      </c>
      <c r="C365" s="604" t="s">
        <v>1202</v>
      </c>
      <c r="D365" s="268">
        <v>44418</v>
      </c>
      <c r="E365" s="432" t="s">
        <v>1618</v>
      </c>
      <c r="F365" s="482" t="s">
        <v>1204</v>
      </c>
      <c r="G365" s="71" t="s">
        <v>27</v>
      </c>
      <c r="H365" s="310" t="s">
        <v>171</v>
      </c>
      <c r="I365" s="334"/>
      <c r="J365" s="283"/>
      <c r="K365" s="294">
        <f t="shared" si="640"/>
        <v>9.8692770000000003</v>
      </c>
      <c r="L365" s="20">
        <f t="shared" si="648"/>
        <v>0</v>
      </c>
      <c r="M365" s="95">
        <f t="shared" si="649"/>
        <v>0</v>
      </c>
      <c r="N365" s="94">
        <f t="shared" si="650"/>
        <v>0.67939499999999997</v>
      </c>
      <c r="O365" s="94">
        <f t="shared" si="641"/>
        <v>0.67939499999999997</v>
      </c>
      <c r="P365" s="94">
        <f t="shared" si="642"/>
        <v>0.67939499999999997</v>
      </c>
      <c r="Q365" s="94">
        <f t="shared" si="643"/>
        <v>9.1898820000000008</v>
      </c>
      <c r="R365" s="94">
        <f t="shared" si="652"/>
        <v>9.1898820000000008</v>
      </c>
      <c r="S365" s="94">
        <f t="shared" si="645"/>
        <v>0</v>
      </c>
      <c r="T365" s="94">
        <f t="shared" si="653"/>
        <v>0</v>
      </c>
      <c r="U365" s="402">
        <f t="shared" si="654"/>
        <v>0</v>
      </c>
      <c r="V365" s="573">
        <v>0</v>
      </c>
      <c r="W365" s="326">
        <v>0</v>
      </c>
      <c r="X365" s="207">
        <v>-0.67939499999999997</v>
      </c>
      <c r="Y365" s="367">
        <v>0</v>
      </c>
      <c r="Z365" s="367">
        <v>0</v>
      </c>
      <c r="AA365" s="468">
        <v>0</v>
      </c>
      <c r="AB365" s="207">
        <v>-0.67939499999999997</v>
      </c>
      <c r="AC365" s="207">
        <f>-9.189882</f>
        <v>-9.1898820000000008</v>
      </c>
      <c r="AD365" s="367">
        <v>0</v>
      </c>
      <c r="AE365" s="468">
        <v>-9.1898820000000008</v>
      </c>
      <c r="AF365" s="468">
        <v>-9.1898820000000008</v>
      </c>
      <c r="AG365" s="468">
        <v>-9.1898820000000008</v>
      </c>
      <c r="AH365" s="468">
        <v>-9.1898820000000008</v>
      </c>
      <c r="AI365" s="387">
        <v>0</v>
      </c>
      <c r="AJ365" s="207">
        <v>0</v>
      </c>
      <c r="AK365" s="367">
        <v>0</v>
      </c>
      <c r="AL365" s="367">
        <v>0</v>
      </c>
      <c r="AM365" s="367">
        <v>0</v>
      </c>
      <c r="AN365" s="367">
        <v>0</v>
      </c>
      <c r="AO365" s="295">
        <v>0</v>
      </c>
      <c r="AP365" s="295">
        <v>0</v>
      </c>
      <c r="AQ365" s="295">
        <v>0</v>
      </c>
      <c r="AR365" s="387">
        <v>0</v>
      </c>
      <c r="AS365" s="295">
        <f t="shared" si="651"/>
        <v>0</v>
      </c>
      <c r="AT365" s="412" t="s">
        <v>1619</v>
      </c>
    </row>
    <row r="366" spans="1:46" ht="138" hidden="1" customHeight="1" outlineLevel="1" x14ac:dyDescent="0.35">
      <c r="A366" s="590">
        <v>15</v>
      </c>
      <c r="B366" s="612" t="s">
        <v>1202</v>
      </c>
      <c r="C366" s="604" t="s">
        <v>1202</v>
      </c>
      <c r="D366" s="268">
        <v>44418</v>
      </c>
      <c r="E366" s="432" t="s">
        <v>1571</v>
      </c>
      <c r="F366" s="482" t="s">
        <v>1204</v>
      </c>
      <c r="G366" s="71" t="s">
        <v>25</v>
      </c>
      <c r="H366" s="310" t="s">
        <v>171</v>
      </c>
      <c r="I366" s="334"/>
      <c r="J366" s="283"/>
      <c r="K366" s="294">
        <f t="shared" si="640"/>
        <v>6.6095579999999998</v>
      </c>
      <c r="L366" s="20">
        <f t="shared" si="648"/>
        <v>0</v>
      </c>
      <c r="M366" s="95">
        <f t="shared" si="649"/>
        <v>0</v>
      </c>
      <c r="N366" s="94">
        <f t="shared" si="650"/>
        <v>1.3505590000000001</v>
      </c>
      <c r="O366" s="94">
        <f t="shared" si="641"/>
        <v>1.3505590000000001</v>
      </c>
      <c r="P366" s="94">
        <f t="shared" si="642"/>
        <v>1.4164399999999999</v>
      </c>
      <c r="Q366" s="94">
        <f t="shared" si="643"/>
        <v>5.1931180000000001</v>
      </c>
      <c r="R366" s="94">
        <f t="shared" si="652"/>
        <v>5.1931180000000001</v>
      </c>
      <c r="S366" s="94">
        <f t="shared" si="645"/>
        <v>1.55707</v>
      </c>
      <c r="T366" s="94">
        <f t="shared" si="653"/>
        <v>0</v>
      </c>
      <c r="U366" s="402">
        <f t="shared" si="654"/>
        <v>0</v>
      </c>
      <c r="V366" s="573">
        <v>0</v>
      </c>
      <c r="W366" s="326">
        <v>0</v>
      </c>
      <c r="X366" s="207">
        <v>-1.3505590000000001</v>
      </c>
      <c r="Y366" s="367">
        <v>0</v>
      </c>
      <c r="Z366" s="367">
        <v>0</v>
      </c>
      <c r="AA366" s="468">
        <v>0</v>
      </c>
      <c r="AB366" s="207">
        <f>-1.41644</f>
        <v>-1.4164399999999999</v>
      </c>
      <c r="AC366" s="207">
        <f>-5.193118</f>
        <v>-5.1931180000000001</v>
      </c>
      <c r="AD366" s="367">
        <v>0</v>
      </c>
      <c r="AE366" s="468">
        <v>-5.1931180000000001</v>
      </c>
      <c r="AF366" s="468">
        <v>-5.1931180000000001</v>
      </c>
      <c r="AG366" s="468">
        <v>-5.1931180000000001</v>
      </c>
      <c r="AH366" s="468">
        <v>-5.1931180000000001</v>
      </c>
      <c r="AI366" s="623">
        <f>-1.55707</f>
        <v>-1.55707</v>
      </c>
      <c r="AJ366" s="207">
        <v>0</v>
      </c>
      <c r="AK366" s="367">
        <v>0</v>
      </c>
      <c r="AL366" s="367">
        <v>0</v>
      </c>
      <c r="AM366" s="367">
        <v>0</v>
      </c>
      <c r="AN366" s="367">
        <v>0</v>
      </c>
      <c r="AO366" s="295">
        <v>0</v>
      </c>
      <c r="AP366" s="295">
        <v>0</v>
      </c>
      <c r="AQ366" s="295">
        <v>0</v>
      </c>
      <c r="AR366" s="623">
        <v>0</v>
      </c>
      <c r="AS366" s="295">
        <f t="shared" si="651"/>
        <v>0</v>
      </c>
      <c r="AT366" s="408" t="s">
        <v>1574</v>
      </c>
    </row>
    <row r="367" spans="1:46" ht="138" hidden="1" customHeight="1" outlineLevel="1" x14ac:dyDescent="0.35">
      <c r="A367" s="590">
        <v>16</v>
      </c>
      <c r="B367" s="612" t="s">
        <v>1202</v>
      </c>
      <c r="C367" s="604" t="s">
        <v>1202</v>
      </c>
      <c r="D367" s="268" t="s">
        <v>1573</v>
      </c>
      <c r="E367" s="432" t="s">
        <v>1572</v>
      </c>
      <c r="F367" s="482" t="s">
        <v>1204</v>
      </c>
      <c r="G367" s="71" t="s">
        <v>25</v>
      </c>
      <c r="H367" s="310" t="s">
        <v>171</v>
      </c>
      <c r="I367" s="334"/>
      <c r="J367" s="283"/>
      <c r="K367" s="294">
        <f t="shared" si="640"/>
        <v>4.187595</v>
      </c>
      <c r="L367" s="20">
        <f t="shared" si="648"/>
        <v>0</v>
      </c>
      <c r="M367" s="95">
        <f t="shared" si="649"/>
        <v>0</v>
      </c>
      <c r="N367" s="94">
        <f t="shared" si="650"/>
        <v>0.31661299999999998</v>
      </c>
      <c r="O367" s="94">
        <f t="shared" si="641"/>
        <v>0.31661299999999998</v>
      </c>
      <c r="P367" s="94">
        <f t="shared" si="642"/>
        <v>0.31661299999999998</v>
      </c>
      <c r="Q367" s="94">
        <f t="shared" si="643"/>
        <v>3.8709820000000001</v>
      </c>
      <c r="R367" s="94">
        <f t="shared" si="652"/>
        <v>3.8709820000000001</v>
      </c>
      <c r="S367" s="94">
        <f t="shared" si="645"/>
        <v>3.8709820000000001</v>
      </c>
      <c r="T367" s="94">
        <f t="shared" si="653"/>
        <v>0</v>
      </c>
      <c r="U367" s="402">
        <f t="shared" si="654"/>
        <v>0</v>
      </c>
      <c r="V367" s="573">
        <v>0</v>
      </c>
      <c r="W367" s="326">
        <v>0</v>
      </c>
      <c r="X367" s="207">
        <v>-0.31661299999999998</v>
      </c>
      <c r="Y367" s="367">
        <v>0</v>
      </c>
      <c r="Z367" s="367">
        <v>0</v>
      </c>
      <c r="AA367" s="468">
        <v>0</v>
      </c>
      <c r="AB367" s="207">
        <v>-0.31661299999999998</v>
      </c>
      <c r="AC367" s="207">
        <f>-3.870982</f>
        <v>-3.8709820000000001</v>
      </c>
      <c r="AD367" s="367">
        <v>0</v>
      </c>
      <c r="AE367" s="468">
        <v>-3.8709820000000001</v>
      </c>
      <c r="AF367" s="468">
        <v>-3.8709820000000001</v>
      </c>
      <c r="AG367" s="468">
        <v>-3.8709820000000001</v>
      </c>
      <c r="AH367" s="468">
        <v>-3.8709820000000001</v>
      </c>
      <c r="AI367" s="899">
        <f>-3.870982</f>
        <v>-3.8709820000000001</v>
      </c>
      <c r="AJ367" s="207">
        <v>0</v>
      </c>
      <c r="AK367" s="367">
        <v>0</v>
      </c>
      <c r="AL367" s="367">
        <v>0</v>
      </c>
      <c r="AM367" s="367">
        <v>0</v>
      </c>
      <c r="AN367" s="367">
        <v>0</v>
      </c>
      <c r="AO367" s="295">
        <v>0</v>
      </c>
      <c r="AP367" s="295">
        <v>0</v>
      </c>
      <c r="AQ367" s="295">
        <v>0</v>
      </c>
      <c r="AR367" s="899">
        <v>0</v>
      </c>
      <c r="AS367" s="295">
        <f t="shared" si="651"/>
        <v>0</v>
      </c>
      <c r="AT367" s="408" t="s">
        <v>1577</v>
      </c>
    </row>
    <row r="368" spans="1:46" ht="138" hidden="1" customHeight="1" outlineLevel="1" x14ac:dyDescent="0.35">
      <c r="A368" s="590">
        <v>17</v>
      </c>
      <c r="B368" s="612" t="s">
        <v>1202</v>
      </c>
      <c r="C368" s="604" t="s">
        <v>1202</v>
      </c>
      <c r="D368" s="268">
        <v>44418</v>
      </c>
      <c r="E368" s="432" t="s">
        <v>1575</v>
      </c>
      <c r="F368" s="482" t="s">
        <v>1204</v>
      </c>
      <c r="G368" s="71" t="s">
        <v>192</v>
      </c>
      <c r="H368" s="310" t="s">
        <v>171</v>
      </c>
      <c r="I368" s="334"/>
      <c r="J368" s="283"/>
      <c r="K368" s="294">
        <f t="shared" si="640"/>
        <v>5.46</v>
      </c>
      <c r="L368" s="20">
        <f t="shared" si="648"/>
        <v>0</v>
      </c>
      <c r="M368" s="95">
        <f t="shared" si="649"/>
        <v>0</v>
      </c>
      <c r="N368" s="94">
        <f t="shared" si="650"/>
        <v>0.40235900000000002</v>
      </c>
      <c r="O368" s="94">
        <f t="shared" si="641"/>
        <v>0.40235900000000002</v>
      </c>
      <c r="P368" s="94">
        <f t="shared" si="642"/>
        <v>0.40235900000000002</v>
      </c>
      <c r="Q368" s="94">
        <f t="shared" si="643"/>
        <v>5.0576410000000003</v>
      </c>
      <c r="R368" s="94">
        <f t="shared" si="652"/>
        <v>5.0576410000000003</v>
      </c>
      <c r="S368" s="94">
        <f t="shared" si="645"/>
        <v>0</v>
      </c>
      <c r="T368" s="94">
        <f t="shared" si="653"/>
        <v>0</v>
      </c>
      <c r="U368" s="402">
        <f t="shared" si="654"/>
        <v>0</v>
      </c>
      <c r="V368" s="573">
        <v>0</v>
      </c>
      <c r="W368" s="326">
        <v>0</v>
      </c>
      <c r="X368" s="207">
        <v>-0.40235900000000002</v>
      </c>
      <c r="Y368" s="367">
        <v>0</v>
      </c>
      <c r="Z368" s="367">
        <v>0</v>
      </c>
      <c r="AA368" s="468">
        <v>0</v>
      </c>
      <c r="AB368" s="207">
        <v>-0.40235900000000002</v>
      </c>
      <c r="AC368" s="207">
        <f>-5.057641</f>
        <v>-5.0576410000000003</v>
      </c>
      <c r="AD368" s="367">
        <v>0</v>
      </c>
      <c r="AE368" s="468">
        <v>-5.0576410000000003</v>
      </c>
      <c r="AF368" s="468">
        <v>-5.0576410000000003</v>
      </c>
      <c r="AG368" s="468">
        <v>-5.0576410000000003</v>
      </c>
      <c r="AH368" s="468">
        <v>-5.0576410000000003</v>
      </c>
      <c r="AI368" s="387">
        <v>0</v>
      </c>
      <c r="AJ368" s="207">
        <v>0</v>
      </c>
      <c r="AK368" s="367">
        <v>0</v>
      </c>
      <c r="AL368" s="367">
        <v>0</v>
      </c>
      <c r="AM368" s="367">
        <v>0</v>
      </c>
      <c r="AN368" s="367">
        <v>0</v>
      </c>
      <c r="AO368" s="295">
        <v>0</v>
      </c>
      <c r="AP368" s="295">
        <v>0</v>
      </c>
      <c r="AQ368" s="295">
        <v>0</v>
      </c>
      <c r="AR368" s="387">
        <v>0</v>
      </c>
      <c r="AS368" s="295">
        <f t="shared" si="651"/>
        <v>0</v>
      </c>
      <c r="AT368" s="408" t="s">
        <v>1576</v>
      </c>
    </row>
    <row r="369" spans="1:46" ht="138" hidden="1" customHeight="1" outlineLevel="1" x14ac:dyDescent="0.35">
      <c r="A369" s="590">
        <v>18</v>
      </c>
      <c r="B369" s="612" t="s">
        <v>1202</v>
      </c>
      <c r="C369" s="604" t="s">
        <v>1202</v>
      </c>
      <c r="D369" s="268">
        <v>44433</v>
      </c>
      <c r="E369" s="432" t="s">
        <v>1620</v>
      </c>
      <c r="F369" s="482" t="s">
        <v>1204</v>
      </c>
      <c r="G369" s="71" t="s">
        <v>24</v>
      </c>
      <c r="H369" s="310" t="s">
        <v>171</v>
      </c>
      <c r="I369" s="334"/>
      <c r="J369" s="283"/>
      <c r="K369" s="294">
        <f t="shared" si="640"/>
        <v>2.3580160000000001</v>
      </c>
      <c r="L369" s="20">
        <f t="shared" si="648"/>
        <v>0</v>
      </c>
      <c r="M369" s="95">
        <f t="shared" si="649"/>
        <v>0</v>
      </c>
      <c r="N369" s="94">
        <f t="shared" si="650"/>
        <v>1.758446</v>
      </c>
      <c r="O369" s="94">
        <f t="shared" si="641"/>
        <v>1.758446</v>
      </c>
      <c r="P369" s="94">
        <f t="shared" si="642"/>
        <v>1.1000000000000001</v>
      </c>
      <c r="Q369" s="94">
        <f t="shared" si="643"/>
        <v>1.258016</v>
      </c>
      <c r="R369" s="94">
        <f t="shared" si="652"/>
        <v>1.258016</v>
      </c>
      <c r="S369" s="94">
        <f t="shared" si="645"/>
        <v>2.1525509999999999</v>
      </c>
      <c r="T369" s="94">
        <f t="shared" si="653"/>
        <v>0</v>
      </c>
      <c r="U369" s="402">
        <f t="shared" si="654"/>
        <v>0</v>
      </c>
      <c r="V369" s="573">
        <v>0</v>
      </c>
      <c r="W369" s="326">
        <v>0</v>
      </c>
      <c r="X369" s="207">
        <v>-1.758446</v>
      </c>
      <c r="Y369" s="367">
        <v>0</v>
      </c>
      <c r="Z369" s="367">
        <v>0</v>
      </c>
      <c r="AA369" s="468">
        <v>0</v>
      </c>
      <c r="AB369" s="207">
        <f>-1.1</f>
        <v>-1.1000000000000001</v>
      </c>
      <c r="AC369" s="207">
        <f>-1.258016</f>
        <v>-1.258016</v>
      </c>
      <c r="AD369" s="367">
        <v>0</v>
      </c>
      <c r="AE369" s="923">
        <v>-1.258016</v>
      </c>
      <c r="AF369" s="468">
        <v>-1.258016</v>
      </c>
      <c r="AG369" s="468">
        <v>-1.258016</v>
      </c>
      <c r="AH369" s="468">
        <v>-1.258016</v>
      </c>
      <c r="AI369" s="623">
        <v>-2.1525509999999999</v>
      </c>
      <c r="AJ369" s="207">
        <v>0</v>
      </c>
      <c r="AK369" s="367">
        <v>0</v>
      </c>
      <c r="AL369" s="367">
        <v>0</v>
      </c>
      <c r="AM369" s="367">
        <v>0</v>
      </c>
      <c r="AN369" s="367">
        <v>0</v>
      </c>
      <c r="AO369" s="295">
        <v>0</v>
      </c>
      <c r="AP369" s="295">
        <v>0</v>
      </c>
      <c r="AQ369" s="295">
        <v>0</v>
      </c>
      <c r="AR369" s="623">
        <v>0</v>
      </c>
      <c r="AS369" s="295">
        <f t="shared" si="651"/>
        <v>0</v>
      </c>
      <c r="AT369" s="408" t="s">
        <v>1598</v>
      </c>
    </row>
    <row r="370" spans="1:46" ht="193.5" hidden="1" customHeight="1" outlineLevel="1" x14ac:dyDescent="0.35">
      <c r="A370" s="590">
        <v>19</v>
      </c>
      <c r="B370" s="612" t="s">
        <v>1202</v>
      </c>
      <c r="C370" s="604" t="s">
        <v>1202</v>
      </c>
      <c r="D370" s="268">
        <v>44433</v>
      </c>
      <c r="E370" s="432" t="s">
        <v>1621</v>
      </c>
      <c r="F370" s="482" t="s">
        <v>1934</v>
      </c>
      <c r="G370" s="71" t="s">
        <v>24</v>
      </c>
      <c r="H370" s="310" t="s">
        <v>171</v>
      </c>
      <c r="I370" s="334"/>
      <c r="J370" s="283"/>
      <c r="K370" s="294">
        <f t="shared" si="640"/>
        <v>8.4940359999999995</v>
      </c>
      <c r="L370" s="20">
        <f t="shared" si="648"/>
        <v>0</v>
      </c>
      <c r="M370" s="95">
        <f t="shared" si="649"/>
        <v>0</v>
      </c>
      <c r="N370" s="94">
        <f t="shared" si="650"/>
        <v>3.3549890000000002</v>
      </c>
      <c r="O370" s="94">
        <f t="shared" si="641"/>
        <v>3.3549890000000002</v>
      </c>
      <c r="P370" s="94">
        <v>3.3549890000000002</v>
      </c>
      <c r="Q370" s="94">
        <v>5.1390469999999997</v>
      </c>
      <c r="R370" s="94">
        <v>5.1390469999999997</v>
      </c>
      <c r="S370" s="94">
        <f t="shared" ref="S370:S371" si="655">-AI370</f>
        <v>10.591231000000001</v>
      </c>
      <c r="T370" s="94">
        <f t="shared" si="653"/>
        <v>0</v>
      </c>
      <c r="U370" s="402">
        <f t="shared" si="654"/>
        <v>0</v>
      </c>
      <c r="V370" s="573">
        <v>0</v>
      </c>
      <c r="W370" s="326">
        <v>0</v>
      </c>
      <c r="X370" s="207">
        <v>-3.3549890000000002</v>
      </c>
      <c r="Y370" s="367">
        <v>0</v>
      </c>
      <c r="Z370" s="367">
        <v>0</v>
      </c>
      <c r="AA370" s="468">
        <v>0</v>
      </c>
      <c r="AB370" s="207">
        <v>-2.6682779999999999</v>
      </c>
      <c r="AC370" s="207">
        <f>-5.139047-0.686711</f>
        <v>-5.8257579999999995</v>
      </c>
      <c r="AD370" s="367">
        <v>0</v>
      </c>
      <c r="AE370" s="923">
        <v>-5.1390469999999997</v>
      </c>
      <c r="AF370" s="468">
        <v>-5.8257579999999995</v>
      </c>
      <c r="AG370" s="468">
        <v>-5.8257579999999995</v>
      </c>
      <c r="AH370" s="468">
        <v>-5.8257579999999995</v>
      </c>
      <c r="AI370" s="623">
        <f>-9.322521-1.26871</f>
        <v>-10.591231000000001</v>
      </c>
      <c r="AJ370" s="207">
        <v>0</v>
      </c>
      <c r="AK370" s="367">
        <v>0</v>
      </c>
      <c r="AL370" s="367">
        <v>0</v>
      </c>
      <c r="AM370" s="367">
        <v>0</v>
      </c>
      <c r="AN370" s="367">
        <v>0</v>
      </c>
      <c r="AO370" s="295">
        <v>0</v>
      </c>
      <c r="AP370" s="295">
        <v>0</v>
      </c>
      <c r="AQ370" s="295">
        <v>0</v>
      </c>
      <c r="AR370" s="623">
        <v>0</v>
      </c>
      <c r="AS370" s="295">
        <f t="shared" si="651"/>
        <v>0</v>
      </c>
      <c r="AT370" s="408" t="s">
        <v>1599</v>
      </c>
    </row>
    <row r="371" spans="1:46" ht="154.5" hidden="1" customHeight="1" outlineLevel="1" x14ac:dyDescent="0.35">
      <c r="A371" s="590">
        <v>20</v>
      </c>
      <c r="B371" s="612" t="s">
        <v>1202</v>
      </c>
      <c r="C371" s="604" t="s">
        <v>1202</v>
      </c>
      <c r="D371" s="269">
        <v>44446</v>
      </c>
      <c r="E371" s="432" t="s">
        <v>1606</v>
      </c>
      <c r="F371" s="482" t="s">
        <v>1204</v>
      </c>
      <c r="G371" s="71" t="s">
        <v>25</v>
      </c>
      <c r="H371" s="310" t="s">
        <v>171</v>
      </c>
      <c r="I371" s="334"/>
      <c r="J371" s="283"/>
      <c r="K371" s="294">
        <f t="shared" si="640"/>
        <v>13.649999999999999</v>
      </c>
      <c r="L371" s="20">
        <f t="shared" si="648"/>
        <v>0</v>
      </c>
      <c r="M371" s="95">
        <f t="shared" si="649"/>
        <v>0</v>
      </c>
      <c r="N371" s="94">
        <f t="shared" si="650"/>
        <v>0.182284</v>
      </c>
      <c r="O371" s="94">
        <f t="shared" si="641"/>
        <v>0.182284</v>
      </c>
      <c r="P371" s="94">
        <f t="shared" si="642"/>
        <v>0.182284</v>
      </c>
      <c r="Q371" s="94">
        <v>13.467715999999999</v>
      </c>
      <c r="R371" s="94">
        <v>13.467715999999999</v>
      </c>
      <c r="S371" s="94">
        <f t="shared" si="655"/>
        <v>0</v>
      </c>
      <c r="T371" s="94">
        <v>0</v>
      </c>
      <c r="U371" s="402">
        <f t="shared" si="654"/>
        <v>0</v>
      </c>
      <c r="V371" s="573">
        <v>0</v>
      </c>
      <c r="W371" s="326">
        <v>0</v>
      </c>
      <c r="X371" s="207">
        <v>-0.182284</v>
      </c>
      <c r="Y371" s="367">
        <v>0</v>
      </c>
      <c r="Z371" s="367">
        <v>0</v>
      </c>
      <c r="AA371" s="468">
        <v>0</v>
      </c>
      <c r="AB371" s="207">
        <v>-0.182284</v>
      </c>
      <c r="AC371" s="207">
        <v>0</v>
      </c>
      <c r="AD371" s="367">
        <v>0</v>
      </c>
      <c r="AE371" s="468">
        <v>-13.467715999999999</v>
      </c>
      <c r="AF371" s="468">
        <v>0</v>
      </c>
      <c r="AG371" s="468">
        <v>0</v>
      </c>
      <c r="AH371" s="468">
        <v>0</v>
      </c>
      <c r="AI371" s="387">
        <v>0</v>
      </c>
      <c r="AJ371" s="207">
        <v>-13.467715999999999</v>
      </c>
      <c r="AK371" s="367">
        <v>-13.467715999999999</v>
      </c>
      <c r="AL371" s="367">
        <v>-13.467715999999999</v>
      </c>
      <c r="AM371" s="367">
        <v>-13.467715999999999</v>
      </c>
      <c r="AN371" s="367">
        <v>-13.467715999999999</v>
      </c>
      <c r="AO371" s="295">
        <v>0</v>
      </c>
      <c r="AP371" s="295">
        <v>0</v>
      </c>
      <c r="AQ371" s="295">
        <v>0</v>
      </c>
      <c r="AR371" s="623">
        <v>-4.0389679999999997</v>
      </c>
      <c r="AS371" s="295">
        <f t="shared" si="651"/>
        <v>4.0389679999999997</v>
      </c>
      <c r="AT371" s="408" t="s">
        <v>1610</v>
      </c>
    </row>
    <row r="372" spans="1:46" ht="154.5" hidden="1" customHeight="1" outlineLevel="1" x14ac:dyDescent="0.35">
      <c r="A372" s="590">
        <v>21</v>
      </c>
      <c r="B372" s="612" t="s">
        <v>1202</v>
      </c>
      <c r="C372" s="604" t="s">
        <v>1202</v>
      </c>
      <c r="D372" s="267">
        <v>44446</v>
      </c>
      <c r="E372" s="432" t="s">
        <v>1638</v>
      </c>
      <c r="F372" s="482" t="s">
        <v>1204</v>
      </c>
      <c r="G372" s="71" t="s">
        <v>211</v>
      </c>
      <c r="H372" s="310" t="s">
        <v>171</v>
      </c>
      <c r="I372" s="334"/>
      <c r="J372" s="283"/>
      <c r="K372" s="294">
        <f t="shared" si="640"/>
        <v>1.9596089999999999</v>
      </c>
      <c r="L372" s="20">
        <f t="shared" si="648"/>
        <v>0</v>
      </c>
      <c r="M372" s="95">
        <f t="shared" si="649"/>
        <v>0</v>
      </c>
      <c r="N372" s="94">
        <f t="shared" si="650"/>
        <v>0.12590699999999999</v>
      </c>
      <c r="O372" s="94">
        <f t="shared" si="641"/>
        <v>0.12590699999999999</v>
      </c>
      <c r="P372" s="94">
        <f t="shared" si="642"/>
        <v>0.12590699999999999</v>
      </c>
      <c r="Q372" s="94">
        <f t="shared" ref="Q372:Q385" si="656">-AC372</f>
        <v>1.8337019999999999</v>
      </c>
      <c r="R372" s="94">
        <f t="shared" si="652"/>
        <v>1.8337019999999999</v>
      </c>
      <c r="S372" s="94">
        <f t="shared" ref="S372:S385" si="657">-AI372</f>
        <v>0</v>
      </c>
      <c r="T372" s="94">
        <f t="shared" si="653"/>
        <v>0</v>
      </c>
      <c r="U372" s="402">
        <f t="shared" si="654"/>
        <v>0</v>
      </c>
      <c r="V372" s="573">
        <v>0</v>
      </c>
      <c r="W372" s="326">
        <v>0</v>
      </c>
      <c r="X372" s="207">
        <v>-0.12590699999999999</v>
      </c>
      <c r="Y372" s="367">
        <v>0</v>
      </c>
      <c r="Z372" s="367">
        <v>0</v>
      </c>
      <c r="AA372" s="468">
        <v>0</v>
      </c>
      <c r="AB372" s="207">
        <f>-0.125907</f>
        <v>-0.12590699999999999</v>
      </c>
      <c r="AC372" s="207">
        <f>-1.833702</f>
        <v>-1.8337019999999999</v>
      </c>
      <c r="AD372" s="367">
        <v>0</v>
      </c>
      <c r="AE372" s="468">
        <v>-1.8337019999999999</v>
      </c>
      <c r="AF372" s="468">
        <v>-1.8337019999999999</v>
      </c>
      <c r="AG372" s="468">
        <v>-1.8337019999999999</v>
      </c>
      <c r="AH372" s="468">
        <v>-1.8337019999999999</v>
      </c>
      <c r="AI372" s="387">
        <v>0</v>
      </c>
      <c r="AJ372" s="207">
        <v>0</v>
      </c>
      <c r="AK372" s="367">
        <v>0</v>
      </c>
      <c r="AL372" s="367">
        <v>0</v>
      </c>
      <c r="AM372" s="367">
        <v>0</v>
      </c>
      <c r="AN372" s="367">
        <v>0</v>
      </c>
      <c r="AO372" s="295">
        <v>0</v>
      </c>
      <c r="AP372" s="295">
        <v>0</v>
      </c>
      <c r="AQ372" s="295">
        <v>0</v>
      </c>
      <c r="AR372" s="387">
        <v>0</v>
      </c>
      <c r="AS372" s="295">
        <f t="shared" si="651"/>
        <v>0</v>
      </c>
      <c r="AT372" s="408" t="s">
        <v>1611</v>
      </c>
    </row>
    <row r="373" spans="1:46" ht="154.5" hidden="1" customHeight="1" outlineLevel="1" x14ac:dyDescent="0.35">
      <c r="A373" s="590">
        <v>22</v>
      </c>
      <c r="B373" s="612" t="s">
        <v>1202</v>
      </c>
      <c r="C373" s="604" t="s">
        <v>1202</v>
      </c>
      <c r="D373" s="270">
        <v>44418</v>
      </c>
      <c r="E373" s="432" t="s">
        <v>1592</v>
      </c>
      <c r="F373" s="482" t="s">
        <v>1204</v>
      </c>
      <c r="G373" s="71" t="s">
        <v>211</v>
      </c>
      <c r="H373" s="310" t="s">
        <v>171</v>
      </c>
      <c r="I373" s="334"/>
      <c r="J373" s="283"/>
      <c r="K373" s="294">
        <f t="shared" si="640"/>
        <v>0.294902</v>
      </c>
      <c r="L373" s="20">
        <f t="shared" si="648"/>
        <v>0</v>
      </c>
      <c r="M373" s="95">
        <f t="shared" si="649"/>
        <v>0</v>
      </c>
      <c r="N373" s="94">
        <f t="shared" si="650"/>
        <v>0.24490200000000001</v>
      </c>
      <c r="O373" s="94">
        <f t="shared" si="641"/>
        <v>0.24490200000000001</v>
      </c>
      <c r="P373" s="94">
        <f t="shared" si="642"/>
        <v>0.24490200000000001</v>
      </c>
      <c r="Q373" s="94">
        <f t="shared" si="656"/>
        <v>0.05</v>
      </c>
      <c r="R373" s="94">
        <f t="shared" si="652"/>
        <v>0.05</v>
      </c>
      <c r="S373" s="94">
        <f t="shared" si="657"/>
        <v>0</v>
      </c>
      <c r="T373" s="94">
        <f t="shared" si="653"/>
        <v>0</v>
      </c>
      <c r="U373" s="402">
        <f t="shared" si="654"/>
        <v>0</v>
      </c>
      <c r="V373" s="573">
        <v>0</v>
      </c>
      <c r="W373" s="326">
        <v>0</v>
      </c>
      <c r="X373" s="207">
        <v>-0.24490200000000001</v>
      </c>
      <c r="Y373" s="367">
        <v>0</v>
      </c>
      <c r="Z373" s="367">
        <v>0</v>
      </c>
      <c r="AA373" s="468">
        <v>0</v>
      </c>
      <c r="AB373" s="207">
        <f>-0.244902</f>
        <v>-0.24490200000000001</v>
      </c>
      <c r="AC373" s="207">
        <f>-0.05</f>
        <v>-0.05</v>
      </c>
      <c r="AD373" s="367">
        <v>0</v>
      </c>
      <c r="AE373" s="468">
        <v>-0.05</v>
      </c>
      <c r="AF373" s="468">
        <v>-0.05</v>
      </c>
      <c r="AG373" s="468">
        <v>-0.05</v>
      </c>
      <c r="AH373" s="468">
        <v>-0.05</v>
      </c>
      <c r="AI373" s="387">
        <v>0</v>
      </c>
      <c r="AJ373" s="207">
        <v>0</v>
      </c>
      <c r="AK373" s="367">
        <v>0</v>
      </c>
      <c r="AL373" s="367">
        <v>0</v>
      </c>
      <c r="AM373" s="367">
        <v>0</v>
      </c>
      <c r="AN373" s="367">
        <v>0</v>
      </c>
      <c r="AO373" s="295">
        <v>0</v>
      </c>
      <c r="AP373" s="295">
        <v>0</v>
      </c>
      <c r="AQ373" s="295">
        <v>0</v>
      </c>
      <c r="AR373" s="387">
        <v>0</v>
      </c>
      <c r="AS373" s="295">
        <f t="shared" si="651"/>
        <v>0</v>
      </c>
      <c r="AT373" s="408" t="s">
        <v>1613</v>
      </c>
    </row>
    <row r="374" spans="1:46" ht="87" hidden="1" customHeight="1" outlineLevel="1" x14ac:dyDescent="0.35">
      <c r="A374" s="590">
        <v>23</v>
      </c>
      <c r="B374" s="612" t="s">
        <v>1202</v>
      </c>
      <c r="C374" s="604" t="s">
        <v>1202</v>
      </c>
      <c r="D374" s="270">
        <v>44418</v>
      </c>
      <c r="E374" s="432" t="s">
        <v>1593</v>
      </c>
      <c r="F374" s="482" t="s">
        <v>1204</v>
      </c>
      <c r="G374" s="71" t="s">
        <v>211</v>
      </c>
      <c r="H374" s="310" t="s">
        <v>171</v>
      </c>
      <c r="I374" s="334"/>
      <c r="J374" s="283"/>
      <c r="K374" s="294">
        <f t="shared" si="640"/>
        <v>4.0993529999999998</v>
      </c>
      <c r="L374" s="20">
        <f t="shared" si="648"/>
        <v>0</v>
      </c>
      <c r="M374" s="95">
        <f t="shared" si="649"/>
        <v>0</v>
      </c>
      <c r="N374" s="94">
        <f t="shared" si="650"/>
        <v>1.4367300000000001</v>
      </c>
      <c r="O374" s="94">
        <f t="shared" si="641"/>
        <v>1.4367300000000001</v>
      </c>
      <c r="P374" s="94">
        <f t="shared" si="642"/>
        <v>1.4367300000000001</v>
      </c>
      <c r="Q374" s="94">
        <f t="shared" si="656"/>
        <v>2.662623</v>
      </c>
      <c r="R374" s="94">
        <f t="shared" si="652"/>
        <v>2.662623</v>
      </c>
      <c r="S374" s="94">
        <f t="shared" si="657"/>
        <v>0</v>
      </c>
      <c r="T374" s="94">
        <f t="shared" si="653"/>
        <v>0</v>
      </c>
      <c r="U374" s="402">
        <f t="shared" si="654"/>
        <v>0</v>
      </c>
      <c r="V374" s="573">
        <v>0</v>
      </c>
      <c r="W374" s="326">
        <v>0</v>
      </c>
      <c r="X374" s="207">
        <f>-1.43673</f>
        <v>-1.4367300000000001</v>
      </c>
      <c r="Y374" s="367">
        <v>0</v>
      </c>
      <c r="Z374" s="367">
        <v>0</v>
      </c>
      <c r="AA374" s="468">
        <v>0</v>
      </c>
      <c r="AB374" s="207">
        <f>-1.43673</f>
        <v>-1.4367300000000001</v>
      </c>
      <c r="AC374" s="207">
        <f>-2.662623</f>
        <v>-2.662623</v>
      </c>
      <c r="AD374" s="367">
        <v>0</v>
      </c>
      <c r="AE374" s="468">
        <v>-2.662623</v>
      </c>
      <c r="AF374" s="468">
        <v>-2.662623</v>
      </c>
      <c r="AG374" s="468">
        <v>-2.662623</v>
      </c>
      <c r="AH374" s="468">
        <v>-2.662623</v>
      </c>
      <c r="AI374" s="387">
        <v>0</v>
      </c>
      <c r="AJ374" s="207">
        <v>0</v>
      </c>
      <c r="AK374" s="367">
        <v>0</v>
      </c>
      <c r="AL374" s="367">
        <v>0</v>
      </c>
      <c r="AM374" s="367">
        <v>0</v>
      </c>
      <c r="AN374" s="367">
        <v>0</v>
      </c>
      <c r="AO374" s="295">
        <v>0</v>
      </c>
      <c r="AP374" s="295">
        <v>0</v>
      </c>
      <c r="AQ374" s="295">
        <v>0</v>
      </c>
      <c r="AR374" s="387">
        <v>0</v>
      </c>
      <c r="AS374" s="295">
        <f t="shared" si="651"/>
        <v>0</v>
      </c>
      <c r="AT374" s="408" t="s">
        <v>1614</v>
      </c>
    </row>
    <row r="375" spans="1:46" ht="87" hidden="1" customHeight="1" outlineLevel="1" x14ac:dyDescent="0.35">
      <c r="A375" s="590">
        <v>24</v>
      </c>
      <c r="B375" s="612" t="s">
        <v>1202</v>
      </c>
      <c r="C375" s="604" t="s">
        <v>1202</v>
      </c>
      <c r="D375" s="270">
        <v>44417</v>
      </c>
      <c r="E375" s="432" t="s">
        <v>1594</v>
      </c>
      <c r="F375" s="482" t="s">
        <v>1204</v>
      </c>
      <c r="G375" s="71" t="s">
        <v>211</v>
      </c>
      <c r="H375" s="310" t="s">
        <v>171</v>
      </c>
      <c r="I375" s="334"/>
      <c r="J375" s="283"/>
      <c r="K375" s="294">
        <f t="shared" si="640"/>
        <v>1.675268</v>
      </c>
      <c r="L375" s="20">
        <f t="shared" si="648"/>
        <v>0</v>
      </c>
      <c r="M375" s="95">
        <f t="shared" si="649"/>
        <v>0</v>
      </c>
      <c r="N375" s="94">
        <f t="shared" si="650"/>
        <v>1.3825529999999999</v>
      </c>
      <c r="O375" s="94">
        <f t="shared" si="641"/>
        <v>1.3825529999999999</v>
      </c>
      <c r="P375" s="94">
        <f t="shared" si="642"/>
        <v>1.3825529999999999</v>
      </c>
      <c r="Q375" s="94">
        <f t="shared" si="656"/>
        <v>0.292715</v>
      </c>
      <c r="R375" s="94">
        <f t="shared" si="652"/>
        <v>0.292715</v>
      </c>
      <c r="S375" s="94">
        <f t="shared" si="657"/>
        <v>0.60936500000000005</v>
      </c>
      <c r="T375" s="94">
        <f t="shared" si="653"/>
        <v>0</v>
      </c>
      <c r="U375" s="402">
        <f t="shared" si="654"/>
        <v>0</v>
      </c>
      <c r="V375" s="573">
        <v>0</v>
      </c>
      <c r="W375" s="326">
        <v>0</v>
      </c>
      <c r="X375" s="207">
        <v>-1.3825529999999999</v>
      </c>
      <c r="Y375" s="367">
        <v>0</v>
      </c>
      <c r="Z375" s="367">
        <v>0</v>
      </c>
      <c r="AA375" s="468">
        <v>0</v>
      </c>
      <c r="AB375" s="207">
        <v>-1.3825529999999999</v>
      </c>
      <c r="AC375" s="207">
        <f>-0.292715</f>
        <v>-0.292715</v>
      </c>
      <c r="AD375" s="367">
        <v>0</v>
      </c>
      <c r="AE375" s="468">
        <v>-0.292715</v>
      </c>
      <c r="AF375" s="468">
        <v>-0.292715</v>
      </c>
      <c r="AG375" s="468">
        <v>-0.292715</v>
      </c>
      <c r="AH375" s="468">
        <v>-0.292715</v>
      </c>
      <c r="AI375" s="623">
        <v>-0.60936500000000005</v>
      </c>
      <c r="AJ375" s="207">
        <v>0</v>
      </c>
      <c r="AK375" s="367">
        <v>0</v>
      </c>
      <c r="AL375" s="367">
        <v>0</v>
      </c>
      <c r="AM375" s="367">
        <v>0</v>
      </c>
      <c r="AN375" s="367">
        <v>0</v>
      </c>
      <c r="AO375" s="295">
        <v>0</v>
      </c>
      <c r="AP375" s="295">
        <v>0</v>
      </c>
      <c r="AQ375" s="295">
        <v>0</v>
      </c>
      <c r="AR375" s="623">
        <v>0</v>
      </c>
      <c r="AS375" s="295">
        <f t="shared" si="651"/>
        <v>0</v>
      </c>
      <c r="AT375" s="408" t="s">
        <v>1615</v>
      </c>
    </row>
    <row r="376" spans="1:46" ht="72.650000000000006" hidden="1" customHeight="1" outlineLevel="1" x14ac:dyDescent="0.35">
      <c r="A376" s="590">
        <v>25</v>
      </c>
      <c r="B376" s="612" t="s">
        <v>1202</v>
      </c>
      <c r="C376" s="604" t="s">
        <v>1202</v>
      </c>
      <c r="D376" s="270">
        <v>44418</v>
      </c>
      <c r="E376" s="432" t="s">
        <v>1595</v>
      </c>
      <c r="F376" s="482" t="s">
        <v>1204</v>
      </c>
      <c r="G376" s="71" t="s">
        <v>211</v>
      </c>
      <c r="H376" s="310" t="s">
        <v>171</v>
      </c>
      <c r="I376" s="334"/>
      <c r="J376" s="283"/>
      <c r="K376" s="294">
        <f t="shared" si="640"/>
        <v>1.4606330000000001</v>
      </c>
      <c r="L376" s="20">
        <f t="shared" si="648"/>
        <v>0</v>
      </c>
      <c r="M376" s="95">
        <f t="shared" si="649"/>
        <v>0</v>
      </c>
      <c r="N376" s="94">
        <f t="shared" si="650"/>
        <v>1.197551</v>
      </c>
      <c r="O376" s="94">
        <f t="shared" si="641"/>
        <v>1.197551</v>
      </c>
      <c r="P376" s="94">
        <f t="shared" si="642"/>
        <v>1.197551</v>
      </c>
      <c r="Q376" s="94">
        <f t="shared" si="656"/>
        <v>0.26308199999999998</v>
      </c>
      <c r="R376" s="94">
        <f t="shared" si="652"/>
        <v>0.26308199999999998</v>
      </c>
      <c r="S376" s="94">
        <f t="shared" si="657"/>
        <v>0</v>
      </c>
      <c r="T376" s="94">
        <f t="shared" si="653"/>
        <v>0</v>
      </c>
      <c r="U376" s="402">
        <f t="shared" si="654"/>
        <v>0</v>
      </c>
      <c r="V376" s="573">
        <v>0</v>
      </c>
      <c r="W376" s="326">
        <v>0</v>
      </c>
      <c r="X376" s="207">
        <v>-1.197551</v>
      </c>
      <c r="Y376" s="367">
        <v>0</v>
      </c>
      <c r="Z376" s="367">
        <v>0</v>
      </c>
      <c r="AA376" s="468">
        <v>0</v>
      </c>
      <c r="AB376" s="207">
        <v>-1.197551</v>
      </c>
      <c r="AC376" s="207">
        <f>-0.263082</f>
        <v>-0.26308199999999998</v>
      </c>
      <c r="AD376" s="367">
        <v>0</v>
      </c>
      <c r="AE376" s="468">
        <v>-0.26308199999999998</v>
      </c>
      <c r="AF376" s="468">
        <v>-0.26308199999999998</v>
      </c>
      <c r="AG376" s="468">
        <v>-0.26308199999999998</v>
      </c>
      <c r="AH376" s="468">
        <v>-0.26308199999999998</v>
      </c>
      <c r="AI376" s="387">
        <v>0</v>
      </c>
      <c r="AJ376" s="207">
        <v>0</v>
      </c>
      <c r="AK376" s="367">
        <v>0</v>
      </c>
      <c r="AL376" s="367">
        <v>0</v>
      </c>
      <c r="AM376" s="367">
        <v>0</v>
      </c>
      <c r="AN376" s="367">
        <v>0</v>
      </c>
      <c r="AO376" s="295">
        <v>0</v>
      </c>
      <c r="AP376" s="295">
        <v>0</v>
      </c>
      <c r="AQ376" s="295">
        <v>0</v>
      </c>
      <c r="AR376" s="387">
        <v>0</v>
      </c>
      <c r="AS376" s="295">
        <f t="shared" si="651"/>
        <v>0</v>
      </c>
      <c r="AT376" s="408" t="s">
        <v>1616</v>
      </c>
    </row>
    <row r="377" spans="1:46" ht="72.650000000000006" hidden="1" customHeight="1" outlineLevel="1" x14ac:dyDescent="0.35">
      <c r="A377" s="590">
        <v>26</v>
      </c>
      <c r="B377" s="612" t="s">
        <v>1202</v>
      </c>
      <c r="C377" s="604" t="s">
        <v>1202</v>
      </c>
      <c r="D377" s="270">
        <v>44418</v>
      </c>
      <c r="E377" s="432" t="s">
        <v>1597</v>
      </c>
      <c r="F377" s="482" t="s">
        <v>1204</v>
      </c>
      <c r="G377" s="71" t="s">
        <v>211</v>
      </c>
      <c r="H377" s="310" t="s">
        <v>171</v>
      </c>
      <c r="I377" s="334"/>
      <c r="J377" s="283"/>
      <c r="K377" s="294">
        <f t="shared" si="640"/>
        <v>1.5</v>
      </c>
      <c r="L377" s="20">
        <f t="shared" si="648"/>
        <v>0</v>
      </c>
      <c r="M377" s="95">
        <f t="shared" si="649"/>
        <v>0</v>
      </c>
      <c r="N377" s="94">
        <f t="shared" si="650"/>
        <v>0.3</v>
      </c>
      <c r="O377" s="94">
        <f t="shared" si="641"/>
        <v>0.3</v>
      </c>
      <c r="P377" s="94">
        <f t="shared" si="642"/>
        <v>0.3</v>
      </c>
      <c r="Q377" s="94">
        <f t="shared" si="656"/>
        <v>1.2</v>
      </c>
      <c r="R377" s="94">
        <f t="shared" si="652"/>
        <v>1.2</v>
      </c>
      <c r="S377" s="94">
        <f t="shared" si="657"/>
        <v>7.0365200000000003</v>
      </c>
      <c r="T377" s="94">
        <f t="shared" si="653"/>
        <v>0</v>
      </c>
      <c r="U377" s="402">
        <f t="shared" si="654"/>
        <v>0</v>
      </c>
      <c r="V377" s="573">
        <v>0</v>
      </c>
      <c r="W377" s="326">
        <v>0</v>
      </c>
      <c r="X377" s="207">
        <v>-0.3</v>
      </c>
      <c r="Y377" s="367">
        <v>0</v>
      </c>
      <c r="Z377" s="367">
        <v>0</v>
      </c>
      <c r="AA377" s="468">
        <v>0</v>
      </c>
      <c r="AB377" s="207">
        <f>-0.3</f>
        <v>-0.3</v>
      </c>
      <c r="AC377" s="207">
        <f>-1.2</f>
        <v>-1.2</v>
      </c>
      <c r="AD377" s="367">
        <v>0</v>
      </c>
      <c r="AE377" s="468">
        <v>-1.2</v>
      </c>
      <c r="AF377" s="468">
        <v>-1.2</v>
      </c>
      <c r="AG377" s="468">
        <v>-1.2</v>
      </c>
      <c r="AH377" s="468">
        <v>-1.2</v>
      </c>
      <c r="AI377" s="623">
        <v>-7.0365200000000003</v>
      </c>
      <c r="AJ377" s="207">
        <v>0</v>
      </c>
      <c r="AK377" s="367">
        <v>0</v>
      </c>
      <c r="AL377" s="367">
        <v>0</v>
      </c>
      <c r="AM377" s="367">
        <v>0</v>
      </c>
      <c r="AN377" s="367">
        <v>0</v>
      </c>
      <c r="AO377" s="295">
        <v>0</v>
      </c>
      <c r="AP377" s="295">
        <v>0</v>
      </c>
      <c r="AQ377" s="295">
        <v>0</v>
      </c>
      <c r="AR377" s="623">
        <v>0</v>
      </c>
      <c r="AS377" s="295">
        <f t="shared" si="651"/>
        <v>0</v>
      </c>
      <c r="AT377" s="408" t="s">
        <v>1565</v>
      </c>
    </row>
    <row r="378" spans="1:46" ht="109" hidden="1" customHeight="1" outlineLevel="1" x14ac:dyDescent="0.35">
      <c r="A378" s="590">
        <v>27</v>
      </c>
      <c r="B378" s="612" t="s">
        <v>1202</v>
      </c>
      <c r="C378" s="604" t="s">
        <v>1202</v>
      </c>
      <c r="D378" s="270">
        <v>44418</v>
      </c>
      <c r="E378" s="432" t="s">
        <v>1596</v>
      </c>
      <c r="F378" s="482" t="s">
        <v>1204</v>
      </c>
      <c r="G378" s="71" t="s">
        <v>211</v>
      </c>
      <c r="H378" s="310" t="s">
        <v>171</v>
      </c>
      <c r="I378" s="334"/>
      <c r="J378" s="283"/>
      <c r="K378" s="294">
        <f t="shared" si="640"/>
        <v>0.46984700000000001</v>
      </c>
      <c r="L378" s="20">
        <f t="shared" si="648"/>
        <v>0</v>
      </c>
      <c r="M378" s="95">
        <f t="shared" si="649"/>
        <v>0</v>
      </c>
      <c r="N378" s="94">
        <f t="shared" si="650"/>
        <v>0.46984700000000001</v>
      </c>
      <c r="O378" s="94">
        <f t="shared" si="641"/>
        <v>0.46984700000000001</v>
      </c>
      <c r="P378" s="94">
        <f t="shared" si="642"/>
        <v>0.46984700000000001</v>
      </c>
      <c r="Q378" s="94">
        <f t="shared" si="656"/>
        <v>0</v>
      </c>
      <c r="R378" s="94">
        <f t="shared" si="652"/>
        <v>0</v>
      </c>
      <c r="S378" s="94">
        <f t="shared" si="657"/>
        <v>0</v>
      </c>
      <c r="T378" s="94">
        <f t="shared" si="653"/>
        <v>0</v>
      </c>
      <c r="U378" s="402">
        <f t="shared" si="654"/>
        <v>0</v>
      </c>
      <c r="V378" s="573">
        <v>0</v>
      </c>
      <c r="W378" s="326">
        <v>0</v>
      </c>
      <c r="X378" s="207">
        <v>-0.46984700000000001</v>
      </c>
      <c r="Y378" s="367">
        <v>0</v>
      </c>
      <c r="Z378" s="367">
        <v>0</v>
      </c>
      <c r="AA378" s="468">
        <v>0</v>
      </c>
      <c r="AB378" s="207">
        <f>-0.469847</f>
        <v>-0.46984700000000001</v>
      </c>
      <c r="AC378" s="207">
        <f>0</f>
        <v>0</v>
      </c>
      <c r="AD378" s="367">
        <v>0</v>
      </c>
      <c r="AE378" s="468">
        <v>0</v>
      </c>
      <c r="AF378" s="468">
        <v>0</v>
      </c>
      <c r="AG378" s="468">
        <v>0</v>
      </c>
      <c r="AH378" s="468">
        <v>0</v>
      </c>
      <c r="AI378" s="387">
        <v>0</v>
      </c>
      <c r="AJ378" s="207">
        <v>0</v>
      </c>
      <c r="AK378" s="367">
        <v>0</v>
      </c>
      <c r="AL378" s="367">
        <v>0</v>
      </c>
      <c r="AM378" s="367">
        <v>0</v>
      </c>
      <c r="AN378" s="367">
        <v>0</v>
      </c>
      <c r="AO378" s="295">
        <v>0</v>
      </c>
      <c r="AP378" s="295">
        <v>0</v>
      </c>
      <c r="AQ378" s="295">
        <v>0</v>
      </c>
      <c r="AR378" s="387">
        <v>0</v>
      </c>
      <c r="AS378" s="295">
        <f t="shared" si="651"/>
        <v>0</v>
      </c>
      <c r="AT378" s="408" t="s">
        <v>1564</v>
      </c>
    </row>
    <row r="379" spans="1:46" ht="109" hidden="1" customHeight="1" outlineLevel="1" x14ac:dyDescent="0.35">
      <c r="A379" s="590">
        <v>28</v>
      </c>
      <c r="B379" s="612" t="s">
        <v>1202</v>
      </c>
      <c r="C379" s="604" t="s">
        <v>1202</v>
      </c>
      <c r="D379" s="270">
        <v>44424</v>
      </c>
      <c r="E379" s="432" t="s">
        <v>1617</v>
      </c>
      <c r="F379" s="482" t="s">
        <v>1204</v>
      </c>
      <c r="G379" s="71" t="s">
        <v>211</v>
      </c>
      <c r="H379" s="310" t="s">
        <v>171</v>
      </c>
      <c r="I379" s="334"/>
      <c r="J379" s="283"/>
      <c r="K379" s="294">
        <f t="shared" si="640"/>
        <v>1.127553</v>
      </c>
      <c r="L379" s="20">
        <f t="shared" si="648"/>
        <v>0</v>
      </c>
      <c r="M379" s="95">
        <f t="shared" si="649"/>
        <v>0</v>
      </c>
      <c r="N379" s="94">
        <f t="shared" si="650"/>
        <v>0.39482600000000001</v>
      </c>
      <c r="O379" s="94">
        <f t="shared" si="641"/>
        <v>0.39482600000000001</v>
      </c>
      <c r="P379" s="94">
        <f t="shared" si="642"/>
        <v>0.39482600000000001</v>
      </c>
      <c r="Q379" s="94">
        <f t="shared" si="656"/>
        <v>0.73272700000000002</v>
      </c>
      <c r="R379" s="94">
        <f t="shared" si="652"/>
        <v>0.73272700000000002</v>
      </c>
      <c r="S379" s="94">
        <f t="shared" si="657"/>
        <v>0.80187399999999998</v>
      </c>
      <c r="T379" s="94">
        <f t="shared" si="653"/>
        <v>0</v>
      </c>
      <c r="U379" s="402">
        <f t="shared" si="654"/>
        <v>0</v>
      </c>
      <c r="V379" s="573">
        <v>0</v>
      </c>
      <c r="W379" s="326">
        <v>0</v>
      </c>
      <c r="X379" s="207">
        <f>-0.394826</f>
        <v>-0.39482600000000001</v>
      </c>
      <c r="Y379" s="367">
        <v>0</v>
      </c>
      <c r="Z379" s="367">
        <v>0</v>
      </c>
      <c r="AA379" s="468">
        <v>0</v>
      </c>
      <c r="AB379" s="207">
        <f>-0.394826</f>
        <v>-0.39482600000000001</v>
      </c>
      <c r="AC379" s="207">
        <f>-0.732727</f>
        <v>-0.73272700000000002</v>
      </c>
      <c r="AD379" s="367">
        <v>0</v>
      </c>
      <c r="AE379" s="468">
        <v>-0.73272700000000002</v>
      </c>
      <c r="AF379" s="468">
        <v>-0.73272700000000002</v>
      </c>
      <c r="AG379" s="468">
        <v>-0.73272700000000002</v>
      </c>
      <c r="AH379" s="468">
        <v>-0.73272700000000002</v>
      </c>
      <c r="AI379" s="623">
        <v>-0.80187399999999998</v>
      </c>
      <c r="AJ379" s="207">
        <v>0</v>
      </c>
      <c r="AK379" s="367">
        <v>0</v>
      </c>
      <c r="AL379" s="367">
        <v>0</v>
      </c>
      <c r="AM379" s="367">
        <v>0</v>
      </c>
      <c r="AN379" s="367">
        <v>0</v>
      </c>
      <c r="AO379" s="295">
        <v>0</v>
      </c>
      <c r="AP379" s="295">
        <v>0</v>
      </c>
      <c r="AQ379" s="295">
        <v>0</v>
      </c>
      <c r="AR379" s="623">
        <v>0</v>
      </c>
      <c r="AS379" s="295">
        <f t="shared" si="651"/>
        <v>0</v>
      </c>
      <c r="AT379" s="408" t="s">
        <v>1585</v>
      </c>
    </row>
    <row r="380" spans="1:46" ht="109" hidden="1" customHeight="1" outlineLevel="1" x14ac:dyDescent="0.35">
      <c r="A380" s="590">
        <v>29</v>
      </c>
      <c r="B380" s="612" t="s">
        <v>1202</v>
      </c>
      <c r="C380" s="604" t="s">
        <v>1202</v>
      </c>
      <c r="D380" s="271">
        <v>44446</v>
      </c>
      <c r="E380" s="432" t="s">
        <v>1624</v>
      </c>
      <c r="F380" s="482" t="s">
        <v>1204</v>
      </c>
      <c r="G380" s="71" t="s">
        <v>211</v>
      </c>
      <c r="H380" s="310" t="s">
        <v>171</v>
      </c>
      <c r="I380" s="334"/>
      <c r="J380" s="283"/>
      <c r="K380" s="294">
        <f t="shared" si="640"/>
        <v>0.327152</v>
      </c>
      <c r="L380" s="20">
        <f t="shared" si="648"/>
        <v>0</v>
      </c>
      <c r="M380" s="95">
        <f t="shared" si="649"/>
        <v>0</v>
      </c>
      <c r="N380" s="94">
        <f t="shared" si="650"/>
        <v>0.217391</v>
      </c>
      <c r="O380" s="94">
        <f t="shared" si="641"/>
        <v>0.217391</v>
      </c>
      <c r="P380" s="94">
        <f t="shared" si="642"/>
        <v>0.217391</v>
      </c>
      <c r="Q380" s="94">
        <f t="shared" si="656"/>
        <v>0.109761</v>
      </c>
      <c r="R380" s="94">
        <f t="shared" si="652"/>
        <v>0.109761</v>
      </c>
      <c r="S380" s="94">
        <f t="shared" si="657"/>
        <v>0</v>
      </c>
      <c r="T380" s="94">
        <f t="shared" si="653"/>
        <v>0</v>
      </c>
      <c r="U380" s="402">
        <f t="shared" si="654"/>
        <v>0</v>
      </c>
      <c r="V380" s="573">
        <v>0</v>
      </c>
      <c r="W380" s="326">
        <v>0</v>
      </c>
      <c r="X380" s="207">
        <f>-0.217391</f>
        <v>-0.217391</v>
      </c>
      <c r="Y380" s="367">
        <v>0</v>
      </c>
      <c r="Z380" s="367">
        <v>0</v>
      </c>
      <c r="AA380" s="468">
        <v>0</v>
      </c>
      <c r="AB380" s="207">
        <v>-0.217391</v>
      </c>
      <c r="AC380" s="207">
        <f>-0.109761</f>
        <v>-0.109761</v>
      </c>
      <c r="AD380" s="367">
        <v>0</v>
      </c>
      <c r="AE380" s="468">
        <v>-0.109761</v>
      </c>
      <c r="AF380" s="468">
        <v>-0.109761</v>
      </c>
      <c r="AG380" s="468">
        <v>-0.109761</v>
      </c>
      <c r="AH380" s="468">
        <v>-0.109761</v>
      </c>
      <c r="AI380" s="387">
        <v>0</v>
      </c>
      <c r="AJ380" s="207">
        <v>0</v>
      </c>
      <c r="AK380" s="367">
        <v>0</v>
      </c>
      <c r="AL380" s="367">
        <v>0</v>
      </c>
      <c r="AM380" s="367">
        <v>0</v>
      </c>
      <c r="AN380" s="367">
        <v>0</v>
      </c>
      <c r="AO380" s="295">
        <v>0</v>
      </c>
      <c r="AP380" s="295">
        <v>0</v>
      </c>
      <c r="AQ380" s="295">
        <v>0</v>
      </c>
      <c r="AR380" s="387">
        <v>0</v>
      </c>
      <c r="AS380" s="295">
        <f t="shared" si="651"/>
        <v>0</v>
      </c>
      <c r="AT380" s="408" t="s">
        <v>1622</v>
      </c>
    </row>
    <row r="381" spans="1:46" ht="109" hidden="1" customHeight="1" outlineLevel="1" x14ac:dyDescent="0.35">
      <c r="A381" s="590">
        <v>30</v>
      </c>
      <c r="B381" s="612" t="s">
        <v>1202</v>
      </c>
      <c r="C381" s="604" t="s">
        <v>1202</v>
      </c>
      <c r="D381" s="271" t="s">
        <v>1623</v>
      </c>
      <c r="E381" s="432" t="s">
        <v>1664</v>
      </c>
      <c r="F381" s="482" t="s">
        <v>1204</v>
      </c>
      <c r="G381" s="71" t="s">
        <v>211</v>
      </c>
      <c r="H381" s="310" t="s">
        <v>171</v>
      </c>
      <c r="I381" s="334"/>
      <c r="J381" s="283"/>
      <c r="K381" s="294">
        <f t="shared" si="640"/>
        <v>0.63605699999999998</v>
      </c>
      <c r="L381" s="20">
        <f t="shared" ref="L381:L384" si="658">-V381</f>
        <v>0</v>
      </c>
      <c r="M381" s="95">
        <f t="shared" ref="M381:M384" si="659">-W381</f>
        <v>0</v>
      </c>
      <c r="N381" s="94">
        <f t="shared" ref="N381:N384" si="660">-X381</f>
        <v>0.63606399999999996</v>
      </c>
      <c r="O381" s="94">
        <f t="shared" si="641"/>
        <v>0.63606399999999996</v>
      </c>
      <c r="P381" s="94">
        <f t="shared" si="642"/>
        <v>0.63605699999999998</v>
      </c>
      <c r="Q381" s="94">
        <f t="shared" si="656"/>
        <v>0</v>
      </c>
      <c r="R381" s="94">
        <f t="shared" ref="R381:R382" si="661">-AC381</f>
        <v>0</v>
      </c>
      <c r="S381" s="94">
        <f t="shared" si="657"/>
        <v>0</v>
      </c>
      <c r="T381" s="94">
        <f t="shared" ref="T381:T384" si="662">-AJ381</f>
        <v>0</v>
      </c>
      <c r="U381" s="402">
        <f t="shared" ref="U381:U384" si="663">-AQ381</f>
        <v>0</v>
      </c>
      <c r="V381" s="573"/>
      <c r="W381" s="326">
        <v>0</v>
      </c>
      <c r="X381" s="207">
        <f>-0.636064</f>
        <v>-0.63606399999999996</v>
      </c>
      <c r="Y381" s="367">
        <v>0</v>
      </c>
      <c r="Z381" s="367">
        <v>0</v>
      </c>
      <c r="AA381" s="468">
        <v>0</v>
      </c>
      <c r="AB381" s="207">
        <v>-0.63605699999999998</v>
      </c>
      <c r="AC381" s="207">
        <f>0</f>
        <v>0</v>
      </c>
      <c r="AD381" s="367">
        <v>0</v>
      </c>
      <c r="AE381" s="468">
        <v>0</v>
      </c>
      <c r="AF381" s="468">
        <v>0</v>
      </c>
      <c r="AG381" s="468">
        <v>0</v>
      </c>
      <c r="AH381" s="468">
        <v>0</v>
      </c>
      <c r="AI381" s="387">
        <v>0</v>
      </c>
      <c r="AJ381" s="207">
        <v>0</v>
      </c>
      <c r="AK381" s="367">
        <v>0</v>
      </c>
      <c r="AL381" s="367">
        <v>0</v>
      </c>
      <c r="AM381" s="367">
        <v>0</v>
      </c>
      <c r="AN381" s="367">
        <v>0</v>
      </c>
      <c r="AO381" s="295">
        <v>0</v>
      </c>
      <c r="AP381" s="295">
        <v>0</v>
      </c>
      <c r="AQ381" s="295">
        <v>0</v>
      </c>
      <c r="AR381" s="387">
        <v>0</v>
      </c>
      <c r="AS381" s="295">
        <f t="shared" ref="AS381:AS384" si="664">-AR381</f>
        <v>0</v>
      </c>
      <c r="AT381" s="408" t="s">
        <v>1625</v>
      </c>
    </row>
    <row r="382" spans="1:46" ht="109" hidden="1" customHeight="1" outlineLevel="1" x14ac:dyDescent="0.35">
      <c r="A382" s="590">
        <v>31</v>
      </c>
      <c r="B382" s="612" t="s">
        <v>1202</v>
      </c>
      <c r="C382" s="604" t="s">
        <v>1202</v>
      </c>
      <c r="D382" s="271">
        <v>44482</v>
      </c>
      <c r="E382" s="432" t="s">
        <v>1864</v>
      </c>
      <c r="F382" s="482" t="s">
        <v>1204</v>
      </c>
      <c r="G382" s="71" t="s">
        <v>225</v>
      </c>
      <c r="H382" s="310" t="s">
        <v>171</v>
      </c>
      <c r="I382" s="334"/>
      <c r="J382" s="283"/>
      <c r="K382" s="294">
        <f t="shared" ref="K382:K384" si="665">M382+P382+U382+R382+T382</f>
        <v>8.6152000000000006E-2</v>
      </c>
      <c r="L382" s="20">
        <f t="shared" si="658"/>
        <v>0</v>
      </c>
      <c r="M382" s="95">
        <f t="shared" si="659"/>
        <v>0</v>
      </c>
      <c r="N382" s="94">
        <f t="shared" si="660"/>
        <v>8.6152000000000006E-2</v>
      </c>
      <c r="O382" s="94">
        <f t="shared" ref="O382:O384" si="666">-X382</f>
        <v>8.6152000000000006E-2</v>
      </c>
      <c r="P382" s="94">
        <f t="shared" ref="P382:P384" si="667">-AB382</f>
        <v>8.6152000000000006E-2</v>
      </c>
      <c r="Q382" s="94">
        <f t="shared" si="656"/>
        <v>0</v>
      </c>
      <c r="R382" s="94">
        <f t="shared" si="661"/>
        <v>0</v>
      </c>
      <c r="S382" s="94">
        <f t="shared" si="657"/>
        <v>0</v>
      </c>
      <c r="T382" s="94">
        <f t="shared" si="662"/>
        <v>0</v>
      </c>
      <c r="U382" s="402">
        <f t="shared" si="663"/>
        <v>0</v>
      </c>
      <c r="V382" s="573">
        <v>0</v>
      </c>
      <c r="W382" s="326">
        <v>0</v>
      </c>
      <c r="X382" s="207">
        <f>-0.086152</f>
        <v>-8.6152000000000006E-2</v>
      </c>
      <c r="Y382" s="367">
        <v>0</v>
      </c>
      <c r="Z382" s="367">
        <v>0</v>
      </c>
      <c r="AA382" s="468">
        <v>0</v>
      </c>
      <c r="AB382" s="207">
        <v>-8.6152000000000006E-2</v>
      </c>
      <c r="AC382" s="207">
        <f>0</f>
        <v>0</v>
      </c>
      <c r="AD382" s="367">
        <v>0</v>
      </c>
      <c r="AE382" s="468">
        <v>0</v>
      </c>
      <c r="AF382" s="468">
        <v>0</v>
      </c>
      <c r="AG382" s="468">
        <v>0</v>
      </c>
      <c r="AH382" s="468">
        <v>0</v>
      </c>
      <c r="AI382" s="387">
        <f>0</f>
        <v>0</v>
      </c>
      <c r="AJ382" s="207">
        <v>0</v>
      </c>
      <c r="AK382" s="367">
        <v>0</v>
      </c>
      <c r="AL382" s="367">
        <v>0</v>
      </c>
      <c r="AM382" s="367">
        <v>0</v>
      </c>
      <c r="AN382" s="367">
        <v>0</v>
      </c>
      <c r="AO382" s="295">
        <v>0</v>
      </c>
      <c r="AP382" s="295">
        <v>0</v>
      </c>
      <c r="AQ382" s="295">
        <v>0</v>
      </c>
      <c r="AR382" s="387">
        <f>0</f>
        <v>0</v>
      </c>
      <c r="AS382" s="295">
        <f t="shared" si="664"/>
        <v>0</v>
      </c>
      <c r="AT382" s="408" t="s">
        <v>1865</v>
      </c>
    </row>
    <row r="383" spans="1:46" ht="109" hidden="1" customHeight="1" outlineLevel="1" x14ac:dyDescent="0.35">
      <c r="A383" s="590">
        <v>32</v>
      </c>
      <c r="B383" s="612" t="s">
        <v>1202</v>
      </c>
      <c r="C383" s="604" t="s">
        <v>1202</v>
      </c>
      <c r="D383" s="271">
        <v>44588</v>
      </c>
      <c r="E383" s="432" t="s">
        <v>1954</v>
      </c>
      <c r="F383" s="559" t="s">
        <v>1204</v>
      </c>
      <c r="G383" s="71" t="s">
        <v>211</v>
      </c>
      <c r="H383" s="310" t="s">
        <v>171</v>
      </c>
      <c r="I383" s="334"/>
      <c r="J383" s="283"/>
      <c r="K383" s="294">
        <f t="shared" si="665"/>
        <v>0.55657200000000007</v>
      </c>
      <c r="L383" s="20">
        <f t="shared" si="658"/>
        <v>0</v>
      </c>
      <c r="M383" s="95">
        <f t="shared" si="659"/>
        <v>0</v>
      </c>
      <c r="N383" s="94">
        <f t="shared" si="660"/>
        <v>8.6152000000000006E-2</v>
      </c>
      <c r="O383" s="94">
        <f t="shared" si="666"/>
        <v>8.6152000000000006E-2</v>
      </c>
      <c r="P383" s="94">
        <f t="shared" si="667"/>
        <v>8.6152000000000006E-2</v>
      </c>
      <c r="Q383" s="94">
        <f t="shared" si="656"/>
        <v>0.47042</v>
      </c>
      <c r="R383" s="94">
        <f t="shared" ref="R383:R385" si="668">-AC383</f>
        <v>0.47042</v>
      </c>
      <c r="S383" s="94">
        <f t="shared" si="657"/>
        <v>0.47041899999999998</v>
      </c>
      <c r="T383" s="94">
        <f t="shared" si="662"/>
        <v>0</v>
      </c>
      <c r="U383" s="402">
        <f t="shared" si="663"/>
        <v>0</v>
      </c>
      <c r="V383" s="573">
        <v>0</v>
      </c>
      <c r="W383" s="326">
        <v>0</v>
      </c>
      <c r="X383" s="207">
        <f>-0.086152</f>
        <v>-8.6152000000000006E-2</v>
      </c>
      <c r="Y383" s="367">
        <v>0</v>
      </c>
      <c r="Z383" s="367">
        <v>0</v>
      </c>
      <c r="AA383" s="468">
        <v>0</v>
      </c>
      <c r="AB383" s="207">
        <v>-8.6152000000000006E-2</v>
      </c>
      <c r="AC383" s="207">
        <f>-0.47042</f>
        <v>-0.47042</v>
      </c>
      <c r="AD383" s="367">
        <v>0</v>
      </c>
      <c r="AE383" s="468">
        <v>0</v>
      </c>
      <c r="AF383" s="468">
        <v>-0.47042</v>
      </c>
      <c r="AG383" s="468">
        <v>-0.47042</v>
      </c>
      <c r="AH383" s="468">
        <v>-0.47042</v>
      </c>
      <c r="AI383" s="623">
        <f>-0.470419</f>
        <v>-0.47041899999999998</v>
      </c>
      <c r="AJ383" s="207">
        <v>0</v>
      </c>
      <c r="AK383" s="367">
        <v>0</v>
      </c>
      <c r="AL383" s="367">
        <v>0</v>
      </c>
      <c r="AM383" s="367">
        <v>0</v>
      </c>
      <c r="AN383" s="367">
        <v>0</v>
      </c>
      <c r="AO383" s="295">
        <v>0</v>
      </c>
      <c r="AP383" s="295">
        <v>0</v>
      </c>
      <c r="AQ383" s="295">
        <v>0</v>
      </c>
      <c r="AR383" s="623">
        <v>0</v>
      </c>
      <c r="AS383" s="295">
        <f t="shared" si="664"/>
        <v>0</v>
      </c>
      <c r="AT383" s="408" t="s">
        <v>1955</v>
      </c>
    </row>
    <row r="384" spans="1:46" ht="109" hidden="1" customHeight="1" outlineLevel="1" x14ac:dyDescent="0.35">
      <c r="A384" s="590">
        <v>33</v>
      </c>
      <c r="B384" s="612" t="s">
        <v>1202</v>
      </c>
      <c r="C384" s="604" t="s">
        <v>1202</v>
      </c>
      <c r="D384" s="271">
        <v>44638</v>
      </c>
      <c r="E384" s="432" t="s">
        <v>2091</v>
      </c>
      <c r="F384" s="559" t="s">
        <v>1204</v>
      </c>
      <c r="G384" s="71" t="s">
        <v>25</v>
      </c>
      <c r="H384" s="310" t="s">
        <v>171</v>
      </c>
      <c r="I384" s="334"/>
      <c r="J384" s="283"/>
      <c r="K384" s="294">
        <f t="shared" si="665"/>
        <v>8.6152000000000006E-2</v>
      </c>
      <c r="L384" s="20">
        <f t="shared" si="658"/>
        <v>0</v>
      </c>
      <c r="M384" s="95">
        <f t="shared" si="659"/>
        <v>0</v>
      </c>
      <c r="N384" s="94">
        <f t="shared" si="660"/>
        <v>8.6152000000000006E-2</v>
      </c>
      <c r="O384" s="94">
        <f t="shared" si="666"/>
        <v>8.6152000000000006E-2</v>
      </c>
      <c r="P384" s="94">
        <f t="shared" si="667"/>
        <v>8.6152000000000006E-2</v>
      </c>
      <c r="Q384" s="94">
        <f t="shared" si="656"/>
        <v>0</v>
      </c>
      <c r="R384" s="94">
        <f t="shared" si="668"/>
        <v>0</v>
      </c>
      <c r="S384" s="94">
        <f t="shared" si="657"/>
        <v>0</v>
      </c>
      <c r="T384" s="94">
        <f t="shared" si="662"/>
        <v>0</v>
      </c>
      <c r="U384" s="402">
        <f t="shared" si="663"/>
        <v>0</v>
      </c>
      <c r="V384" s="573">
        <v>0</v>
      </c>
      <c r="W384" s="326">
        <v>0</v>
      </c>
      <c r="X384" s="207">
        <f>-0.086152</f>
        <v>-8.6152000000000006E-2</v>
      </c>
      <c r="Y384" s="367">
        <v>0</v>
      </c>
      <c r="Z384" s="367">
        <v>0</v>
      </c>
      <c r="AA384" s="468">
        <v>0</v>
      </c>
      <c r="AB384" s="207">
        <v>-8.6152000000000006E-2</v>
      </c>
      <c r="AC384" s="207">
        <f>0</f>
        <v>0</v>
      </c>
      <c r="AD384" s="367">
        <v>0</v>
      </c>
      <c r="AE384" s="468">
        <v>0</v>
      </c>
      <c r="AF384" s="468">
        <v>0</v>
      </c>
      <c r="AG384" s="468">
        <v>0</v>
      </c>
      <c r="AH384" s="468">
        <v>0</v>
      </c>
      <c r="AI384" s="387">
        <f>0</f>
        <v>0</v>
      </c>
      <c r="AJ384" s="207">
        <v>0</v>
      </c>
      <c r="AK384" s="367">
        <v>0</v>
      </c>
      <c r="AL384" s="367">
        <v>0</v>
      </c>
      <c r="AM384" s="367">
        <v>0</v>
      </c>
      <c r="AN384" s="367">
        <v>0</v>
      </c>
      <c r="AO384" s="295">
        <v>0</v>
      </c>
      <c r="AP384" s="295">
        <v>0</v>
      </c>
      <c r="AQ384" s="295">
        <v>0</v>
      </c>
      <c r="AR384" s="387">
        <f>0</f>
        <v>0</v>
      </c>
      <c r="AS384" s="295">
        <f t="shared" si="664"/>
        <v>0</v>
      </c>
      <c r="AT384" s="408" t="s">
        <v>2090</v>
      </c>
    </row>
    <row r="385" spans="1:46" ht="116.15" hidden="1" customHeight="1" outlineLevel="1" x14ac:dyDescent="0.35">
      <c r="A385" s="590">
        <v>34</v>
      </c>
      <c r="B385" s="612" t="s">
        <v>1202</v>
      </c>
      <c r="C385" s="604" t="s">
        <v>1202</v>
      </c>
      <c r="D385" s="938">
        <v>44728</v>
      </c>
      <c r="E385" s="432" t="s">
        <v>2109</v>
      </c>
      <c r="F385" s="482" t="s">
        <v>1204</v>
      </c>
      <c r="G385" s="71" t="s">
        <v>27</v>
      </c>
      <c r="H385" s="310" t="s">
        <v>171</v>
      </c>
      <c r="I385" s="334"/>
      <c r="J385" s="283"/>
      <c r="K385" s="294">
        <f t="shared" si="640"/>
        <v>1.790753</v>
      </c>
      <c r="L385" s="20">
        <f t="shared" si="648"/>
        <v>0</v>
      </c>
      <c r="M385" s="95">
        <f t="shared" si="649"/>
        <v>0</v>
      </c>
      <c r="N385" s="94">
        <f t="shared" si="650"/>
        <v>8.6152000000000006E-2</v>
      </c>
      <c r="O385" s="94">
        <f t="shared" si="641"/>
        <v>8.6152000000000006E-2</v>
      </c>
      <c r="P385" s="94">
        <f t="shared" si="642"/>
        <v>0</v>
      </c>
      <c r="Q385" s="94">
        <f t="shared" si="656"/>
        <v>1.790753</v>
      </c>
      <c r="R385" s="94">
        <f t="shared" si="668"/>
        <v>1.790753</v>
      </c>
      <c r="S385" s="94">
        <f t="shared" si="657"/>
        <v>0</v>
      </c>
      <c r="T385" s="94">
        <f t="shared" si="653"/>
        <v>0</v>
      </c>
      <c r="U385" s="402">
        <f t="shared" si="654"/>
        <v>0</v>
      </c>
      <c r="V385" s="573">
        <v>0</v>
      </c>
      <c r="W385" s="326">
        <v>0</v>
      </c>
      <c r="X385" s="207">
        <f>-0.086152</f>
        <v>-8.6152000000000006E-2</v>
      </c>
      <c r="Y385" s="367">
        <v>0</v>
      </c>
      <c r="Z385" s="367">
        <v>0</v>
      </c>
      <c r="AA385" s="468">
        <v>0</v>
      </c>
      <c r="AB385" s="207">
        <v>0</v>
      </c>
      <c r="AC385" s="207">
        <f>-1.790753</f>
        <v>-1.790753</v>
      </c>
      <c r="AD385" s="367">
        <v>0</v>
      </c>
      <c r="AE385" s="468">
        <v>0</v>
      </c>
      <c r="AF385" s="468">
        <v>0</v>
      </c>
      <c r="AG385" s="468">
        <v>-1.790753</v>
      </c>
      <c r="AH385" s="468">
        <v>-1.790753</v>
      </c>
      <c r="AI385" s="387">
        <f>0</f>
        <v>0</v>
      </c>
      <c r="AJ385" s="207">
        <v>0</v>
      </c>
      <c r="AK385" s="367">
        <v>0</v>
      </c>
      <c r="AL385" s="367">
        <v>0</v>
      </c>
      <c r="AM385" s="367">
        <v>0</v>
      </c>
      <c r="AN385" s="367">
        <v>0</v>
      </c>
      <c r="AO385" s="295">
        <v>0</v>
      </c>
      <c r="AP385" s="295">
        <v>0</v>
      </c>
      <c r="AQ385" s="295">
        <v>0</v>
      </c>
      <c r="AR385" s="387">
        <f>0</f>
        <v>0</v>
      </c>
      <c r="AS385" s="295">
        <f>-AR385</f>
        <v>0</v>
      </c>
      <c r="AT385" s="408" t="s">
        <v>2110</v>
      </c>
    </row>
    <row r="386" spans="1:46" ht="18.5" collapsed="1" x14ac:dyDescent="0.35">
      <c r="A386" s="436">
        <v>7</v>
      </c>
      <c r="B386" s="618" t="s">
        <v>1726</v>
      </c>
      <c r="C386" s="599"/>
      <c r="D386" s="345"/>
      <c r="E386" s="429"/>
      <c r="F386" s="478"/>
      <c r="G386" s="378" t="s">
        <v>1727</v>
      </c>
      <c r="H386" s="379" t="s">
        <v>1727</v>
      </c>
      <c r="I386" s="346"/>
      <c r="J386" s="336"/>
      <c r="K386" s="347">
        <f t="shared" ref="K386:AS386" si="669">SUM(K387:K389)</f>
        <v>673.23094800000001</v>
      </c>
      <c r="L386" s="363">
        <f t="shared" si="669"/>
        <v>0</v>
      </c>
      <c r="M386" s="363">
        <f t="shared" si="669"/>
        <v>6.7655999999999994E-2</v>
      </c>
      <c r="N386" s="363">
        <f t="shared" si="669"/>
        <v>654.0913119999999</v>
      </c>
      <c r="O386" s="363">
        <f t="shared" si="669"/>
        <v>654.0913119999999</v>
      </c>
      <c r="P386" s="363">
        <f>SUM(P387:P389)</f>
        <v>513.12829199999999</v>
      </c>
      <c r="Q386" s="363">
        <f t="shared" ref="Q386" si="670">SUM(Q387:Q389)</f>
        <v>160.035</v>
      </c>
      <c r="R386" s="363">
        <f t="shared" si="669"/>
        <v>160.035</v>
      </c>
      <c r="S386" s="363">
        <f t="shared" ref="S386" si="671">SUM(S387:S389)</f>
        <v>55.725071</v>
      </c>
      <c r="T386" s="363">
        <f t="shared" si="669"/>
        <v>0</v>
      </c>
      <c r="U386" s="364">
        <f t="shared" si="669"/>
        <v>0</v>
      </c>
      <c r="V386" s="572">
        <f t="shared" si="669"/>
        <v>0</v>
      </c>
      <c r="W386" s="347">
        <f t="shared" si="669"/>
        <v>-6.7655999999999994E-2</v>
      </c>
      <c r="X386" s="363">
        <f t="shared" si="669"/>
        <v>-654.0913119999999</v>
      </c>
      <c r="Y386" s="365">
        <f t="shared" si="669"/>
        <v>-310.8</v>
      </c>
      <c r="Z386" s="365">
        <f t="shared" si="669"/>
        <v>-533.79999999999995</v>
      </c>
      <c r="AA386" s="567">
        <f t="shared" si="669"/>
        <v>-501.34</v>
      </c>
      <c r="AB386" s="350">
        <f t="shared" ref="AB386" si="672">SUM(AB387:AB389)</f>
        <v>-513.12829199999999</v>
      </c>
      <c r="AC386" s="363">
        <f t="shared" si="669"/>
        <v>-160.035</v>
      </c>
      <c r="AD386" s="365">
        <f t="shared" si="669"/>
        <v>0</v>
      </c>
      <c r="AE386" s="467">
        <f t="shared" ref="AE386" si="673">SUM(AE387:AE389)</f>
        <v>0</v>
      </c>
      <c r="AF386" s="467">
        <f t="shared" si="669"/>
        <v>-60</v>
      </c>
      <c r="AG386" s="467">
        <f t="shared" ref="AG386:AI386" si="674">SUM(AG387:AG389)</f>
        <v>-57.89</v>
      </c>
      <c r="AH386" s="467">
        <f t="shared" si="674"/>
        <v>-57.89</v>
      </c>
      <c r="AI386" s="347">
        <f t="shared" si="674"/>
        <v>-55.725071</v>
      </c>
      <c r="AJ386" s="363">
        <f>SUM(AJ387:AJ389)</f>
        <v>0</v>
      </c>
      <c r="AK386" s="365">
        <f>SUM(AK387:AK389)</f>
        <v>0</v>
      </c>
      <c r="AL386" s="365">
        <f>SUM(AL387:AL389)</f>
        <v>0</v>
      </c>
      <c r="AM386" s="365">
        <f>SUM(AM387:AM389)</f>
        <v>0</v>
      </c>
      <c r="AN386" s="365">
        <f>SUM(AN387:AN389)</f>
        <v>0</v>
      </c>
      <c r="AO386" s="364">
        <f t="shared" ref="AO386:AP386" si="675">SUM(AO387:AO389)</f>
        <v>0</v>
      </c>
      <c r="AP386" s="364">
        <f t="shared" si="675"/>
        <v>0</v>
      </c>
      <c r="AQ386" s="364">
        <f t="shared" si="669"/>
        <v>0</v>
      </c>
      <c r="AR386" s="347">
        <f t="shared" si="669"/>
        <v>-2.6224999999999998E-2</v>
      </c>
      <c r="AS386" s="364">
        <f t="shared" si="669"/>
        <v>2.6224999999999998E-2</v>
      </c>
      <c r="AT386" s="348"/>
    </row>
    <row r="387" spans="1:46" ht="203.15" hidden="1" customHeight="1" outlineLevel="1" x14ac:dyDescent="0.35">
      <c r="A387" s="590">
        <v>1</v>
      </c>
      <c r="B387" s="619" t="s">
        <v>541</v>
      </c>
      <c r="C387" s="596" t="s">
        <v>541</v>
      </c>
      <c r="D387" s="63" t="s">
        <v>1680</v>
      </c>
      <c r="E387" s="432" t="s">
        <v>643</v>
      </c>
      <c r="F387" s="480" t="s">
        <v>406</v>
      </c>
      <c r="G387" s="242" t="s">
        <v>427</v>
      </c>
      <c r="H387" s="310" t="s">
        <v>127</v>
      </c>
      <c r="I387" s="334"/>
      <c r="J387" s="283"/>
      <c r="K387" s="294">
        <f>M387+P387+U387+R387+T387</f>
        <v>501.732552</v>
      </c>
      <c r="L387" s="20">
        <f t="shared" ref="L387" si="676">-V387</f>
        <v>0</v>
      </c>
      <c r="M387" s="95">
        <f t="shared" ref="M387" si="677">-W387</f>
        <v>2.2551999999999999E-2</v>
      </c>
      <c r="N387" s="94">
        <f t="shared" ref="N387" si="678">-X387</f>
        <v>533.79999999999995</v>
      </c>
      <c r="O387" s="94">
        <f>-X387</f>
        <v>533.79999999999995</v>
      </c>
      <c r="P387" s="94">
        <f t="shared" ref="P387:Q389" si="679">-AB387</f>
        <v>501.71</v>
      </c>
      <c r="Q387" s="94">
        <f t="shared" si="679"/>
        <v>0</v>
      </c>
      <c r="R387" s="94">
        <f t="shared" ref="R387" si="680">-AC387</f>
        <v>0</v>
      </c>
      <c r="S387" s="94">
        <f>-AI387</f>
        <v>0</v>
      </c>
      <c r="T387" s="94">
        <f t="shared" ref="T387" si="681">-AJ387</f>
        <v>0</v>
      </c>
      <c r="U387" s="402">
        <f t="shared" ref="U387" si="682">-AQ387</f>
        <v>0</v>
      </c>
      <c r="V387" s="573">
        <v>0</v>
      </c>
      <c r="W387" s="326">
        <v>-2.2551999999999999E-2</v>
      </c>
      <c r="X387" s="207">
        <f>-70.8-240-173-50</f>
        <v>-533.79999999999995</v>
      </c>
      <c r="Y387" s="367">
        <f>-70.8-240</f>
        <v>-310.8</v>
      </c>
      <c r="Z387" s="367">
        <v>-533.79999999999995</v>
      </c>
      <c r="AA387" s="468">
        <v>-501.34</v>
      </c>
      <c r="AB387" s="207">
        <v>-501.71</v>
      </c>
      <c r="AC387" s="207">
        <v>0</v>
      </c>
      <c r="AD387" s="367">
        <v>0</v>
      </c>
      <c r="AE387" s="468">
        <v>0</v>
      </c>
      <c r="AF387" s="468">
        <v>0</v>
      </c>
      <c r="AG387" s="468">
        <v>0</v>
      </c>
      <c r="AH387" s="468">
        <v>0</v>
      </c>
      <c r="AI387" s="387">
        <v>0</v>
      </c>
      <c r="AJ387" s="207">
        <v>0</v>
      </c>
      <c r="AK387" s="367">
        <v>0</v>
      </c>
      <c r="AL387" s="367">
        <v>0</v>
      </c>
      <c r="AM387" s="367">
        <v>0</v>
      </c>
      <c r="AN387" s="367">
        <v>0</v>
      </c>
      <c r="AO387" s="295">
        <v>0</v>
      </c>
      <c r="AP387" s="295">
        <v>0</v>
      </c>
      <c r="AQ387" s="295">
        <v>0</v>
      </c>
      <c r="AR387" s="387">
        <v>0</v>
      </c>
      <c r="AS387" s="295">
        <f t="shared" ref="AS387" si="683">-AR387</f>
        <v>0</v>
      </c>
      <c r="AT387" s="408" t="s">
        <v>1416</v>
      </c>
    </row>
    <row r="388" spans="1:46" ht="154" hidden="1" customHeight="1" outlineLevel="1" x14ac:dyDescent="0.35">
      <c r="A388" s="590">
        <v>2</v>
      </c>
      <c r="B388" s="619" t="s">
        <v>541</v>
      </c>
      <c r="C388" s="596" t="s">
        <v>541</v>
      </c>
      <c r="D388" s="63" t="s">
        <v>1855</v>
      </c>
      <c r="E388" s="432" t="s">
        <v>1853</v>
      </c>
      <c r="F388" s="480" t="s">
        <v>1857</v>
      </c>
      <c r="G388" s="242" t="s">
        <v>427</v>
      </c>
      <c r="H388" s="310" t="s">
        <v>127</v>
      </c>
      <c r="I388" s="334"/>
      <c r="J388" s="283"/>
      <c r="K388" s="294">
        <f>M388+P388+U388+R388+T388</f>
        <v>171.475844</v>
      </c>
      <c r="L388" s="20">
        <f t="shared" ref="L388:N389" si="684">-V388</f>
        <v>0</v>
      </c>
      <c r="M388" s="95">
        <f t="shared" si="684"/>
        <v>2.2551999999999999E-2</v>
      </c>
      <c r="N388" s="94">
        <f t="shared" si="684"/>
        <v>120</v>
      </c>
      <c r="O388" s="94">
        <f>-X388</f>
        <v>120</v>
      </c>
      <c r="P388" s="94">
        <f t="shared" si="679"/>
        <v>11.418291999999999</v>
      </c>
      <c r="Q388" s="94">
        <f t="shared" si="679"/>
        <v>160.035</v>
      </c>
      <c r="R388" s="94">
        <f>-AC388</f>
        <v>160.035</v>
      </c>
      <c r="S388" s="94">
        <f>-AI388</f>
        <v>55.725071</v>
      </c>
      <c r="T388" s="94">
        <f>-AJ388</f>
        <v>0</v>
      </c>
      <c r="U388" s="402">
        <f>-AQ388</f>
        <v>0</v>
      </c>
      <c r="V388" s="573">
        <v>0</v>
      </c>
      <c r="W388" s="326">
        <v>-2.2551999999999999E-2</v>
      </c>
      <c r="X388" s="207">
        <f>-120</f>
        <v>-120</v>
      </c>
      <c r="Y388" s="367">
        <f>0</f>
        <v>0</v>
      </c>
      <c r="Z388" s="367">
        <v>0</v>
      </c>
      <c r="AA388" s="468">
        <v>0</v>
      </c>
      <c r="AB388" s="207">
        <v>-11.418291999999999</v>
      </c>
      <c r="AC388" s="924">
        <f>-120-30-8.4-1.635</f>
        <v>-160.035</v>
      </c>
      <c r="AD388" s="367">
        <v>0</v>
      </c>
      <c r="AE388" s="468">
        <v>0</v>
      </c>
      <c r="AF388" s="468">
        <v>-60</v>
      </c>
      <c r="AG388" s="468">
        <v>-57.89</v>
      </c>
      <c r="AH388" s="468">
        <v>-57.89</v>
      </c>
      <c r="AI388" s="623">
        <v>-55.725071</v>
      </c>
      <c r="AJ388" s="207">
        <v>0</v>
      </c>
      <c r="AK388" s="367">
        <v>0</v>
      </c>
      <c r="AL388" s="367">
        <v>0</v>
      </c>
      <c r="AM388" s="367">
        <v>0</v>
      </c>
      <c r="AN388" s="367">
        <v>0</v>
      </c>
      <c r="AO388" s="295">
        <v>0</v>
      </c>
      <c r="AP388" s="295">
        <v>0</v>
      </c>
      <c r="AQ388" s="295">
        <v>0</v>
      </c>
      <c r="AR388" s="623">
        <v>-2.6224999999999998E-2</v>
      </c>
      <c r="AS388" s="295">
        <f>-AR388</f>
        <v>2.6224999999999998E-2</v>
      </c>
      <c r="AT388" s="408" t="s">
        <v>1944</v>
      </c>
    </row>
    <row r="389" spans="1:46" ht="72.650000000000006" hidden="1" customHeight="1" outlineLevel="1" x14ac:dyDescent="0.35">
      <c r="A389" s="590">
        <v>3</v>
      </c>
      <c r="B389" s="619" t="s">
        <v>541</v>
      </c>
      <c r="C389" s="596" t="s">
        <v>541</v>
      </c>
      <c r="D389" s="63">
        <v>44511</v>
      </c>
      <c r="E389" s="432" t="s">
        <v>1853</v>
      </c>
      <c r="F389" s="480" t="s">
        <v>1854</v>
      </c>
      <c r="G389" s="242" t="s">
        <v>427</v>
      </c>
      <c r="H389" s="310" t="s">
        <v>127</v>
      </c>
      <c r="I389" s="334"/>
      <c r="J389" s="283"/>
      <c r="K389" s="294">
        <f>M389+P389+U389+R389+T389</f>
        <v>2.2551999999999999E-2</v>
      </c>
      <c r="L389" s="20">
        <f t="shared" si="684"/>
        <v>0</v>
      </c>
      <c r="M389" s="95">
        <f t="shared" si="684"/>
        <v>2.2551999999999999E-2</v>
      </c>
      <c r="N389" s="94">
        <f t="shared" si="684"/>
        <v>0.29131200000000002</v>
      </c>
      <c r="O389" s="94">
        <f>-X389</f>
        <v>0.29131200000000002</v>
      </c>
      <c r="P389" s="94">
        <f t="shared" si="679"/>
        <v>0</v>
      </c>
      <c r="Q389" s="94">
        <f t="shared" si="679"/>
        <v>0</v>
      </c>
      <c r="R389" s="94">
        <f>-AC389</f>
        <v>0</v>
      </c>
      <c r="S389" s="94">
        <f>-AI389</f>
        <v>0</v>
      </c>
      <c r="T389" s="94">
        <f>-AJ389</f>
        <v>0</v>
      </c>
      <c r="U389" s="402">
        <f>-AQ389</f>
        <v>0</v>
      </c>
      <c r="V389" s="573">
        <v>0</v>
      </c>
      <c r="W389" s="326">
        <v>-2.2551999999999999E-2</v>
      </c>
      <c r="X389" s="207">
        <f>-0.291312</f>
        <v>-0.29131200000000002</v>
      </c>
      <c r="Y389" s="367">
        <f>0</f>
        <v>0</v>
      </c>
      <c r="Z389" s="367">
        <v>0</v>
      </c>
      <c r="AA389" s="468">
        <v>0</v>
      </c>
      <c r="AB389" s="207">
        <f>0</f>
        <v>0</v>
      </c>
      <c r="AC389" s="207">
        <f>0</f>
        <v>0</v>
      </c>
      <c r="AD389" s="367">
        <v>0</v>
      </c>
      <c r="AE389" s="468">
        <v>0</v>
      </c>
      <c r="AF389" s="468">
        <v>0</v>
      </c>
      <c r="AG389" s="468">
        <v>0</v>
      </c>
      <c r="AH389" s="468">
        <v>0</v>
      </c>
      <c r="AI389" s="387">
        <f>0</f>
        <v>0</v>
      </c>
      <c r="AJ389" s="207">
        <v>0</v>
      </c>
      <c r="AK389" s="367">
        <v>0</v>
      </c>
      <c r="AL389" s="367">
        <v>0</v>
      </c>
      <c r="AM389" s="367">
        <v>0</v>
      </c>
      <c r="AN389" s="367">
        <v>0</v>
      </c>
      <c r="AO389" s="295">
        <v>0</v>
      </c>
      <c r="AP389" s="295">
        <v>0</v>
      </c>
      <c r="AQ389" s="295">
        <v>0</v>
      </c>
      <c r="AR389" s="387">
        <f>0</f>
        <v>0</v>
      </c>
      <c r="AS389" s="295">
        <f>-AR389</f>
        <v>0</v>
      </c>
      <c r="AT389" s="408" t="s">
        <v>1856</v>
      </c>
    </row>
    <row r="390" spans="1:46" ht="18.5" collapsed="1" x14ac:dyDescent="0.35">
      <c r="A390" s="436">
        <v>8</v>
      </c>
      <c r="B390" s="618" t="s">
        <v>1720</v>
      </c>
      <c r="C390" s="599"/>
      <c r="D390" s="345"/>
      <c r="E390" s="429"/>
      <c r="F390" s="478"/>
      <c r="G390" s="378" t="s">
        <v>1727</v>
      </c>
      <c r="H390" s="379" t="s">
        <v>1727</v>
      </c>
      <c r="I390" s="346"/>
      <c r="J390" s="336"/>
      <c r="K390" s="347">
        <f t="shared" ref="K390:AS390" si="685">SUM(K391:K490)</f>
        <v>113.46792041000003</v>
      </c>
      <c r="L390" s="363">
        <f t="shared" si="685"/>
        <v>14.820957999999999</v>
      </c>
      <c r="M390" s="363">
        <f t="shared" si="685"/>
        <v>9.553602999999999</v>
      </c>
      <c r="N390" s="363">
        <f t="shared" si="685"/>
        <v>88.242907000000002</v>
      </c>
      <c r="O390" s="363">
        <f t="shared" si="685"/>
        <v>88.242907000000002</v>
      </c>
      <c r="P390" s="363">
        <f>SUM(P391:P490)</f>
        <v>44.347659409999991</v>
      </c>
      <c r="Q390" s="363">
        <f t="shared" ref="Q390" si="686">SUM(Q391:Q490)</f>
        <v>59.566658000000004</v>
      </c>
      <c r="R390" s="363">
        <f t="shared" si="685"/>
        <v>59.566658000000004</v>
      </c>
      <c r="S390" s="363">
        <f t="shared" ref="S390" si="687">SUM(S391:S490)</f>
        <v>18.454781670000003</v>
      </c>
      <c r="T390" s="363">
        <f t="shared" si="685"/>
        <v>0</v>
      </c>
      <c r="U390" s="364">
        <f t="shared" si="685"/>
        <v>0</v>
      </c>
      <c r="V390" s="572">
        <f t="shared" si="685"/>
        <v>-14.820957999999999</v>
      </c>
      <c r="W390" s="347">
        <f t="shared" si="685"/>
        <v>-9.553602999999999</v>
      </c>
      <c r="X390" s="363">
        <f t="shared" si="685"/>
        <v>-88.242907000000002</v>
      </c>
      <c r="Y390" s="365">
        <f t="shared" si="685"/>
        <v>-56.269398999999993</v>
      </c>
      <c r="Z390" s="365">
        <f t="shared" si="685"/>
        <v>-104.53795400000001</v>
      </c>
      <c r="AA390" s="567">
        <f t="shared" si="685"/>
        <v>-84.015954000000022</v>
      </c>
      <c r="AB390" s="350">
        <f t="shared" si="685"/>
        <v>-44.347659409999991</v>
      </c>
      <c r="AC390" s="363">
        <f t="shared" si="685"/>
        <v>-59.566658000000004</v>
      </c>
      <c r="AD390" s="365">
        <f t="shared" si="685"/>
        <v>-0.14835300000000001</v>
      </c>
      <c r="AE390" s="467">
        <f t="shared" si="685"/>
        <v>-0.14835300000000001</v>
      </c>
      <c r="AF390" s="467">
        <f t="shared" si="685"/>
        <v>-15.742973000000001</v>
      </c>
      <c r="AG390" s="467">
        <f t="shared" ref="AG390:AI390" si="688">SUM(AG391:AG490)</f>
        <v>-18.959154000000005</v>
      </c>
      <c r="AH390" s="467">
        <f t="shared" si="688"/>
        <v>-18.959154000000005</v>
      </c>
      <c r="AI390" s="347">
        <f t="shared" si="688"/>
        <v>-18.454781670000003</v>
      </c>
      <c r="AJ390" s="363">
        <f t="shared" si="685"/>
        <v>0</v>
      </c>
      <c r="AK390" s="365">
        <f t="shared" ref="AK390:AL390" si="689">SUM(AK391:AK490)</f>
        <v>0</v>
      </c>
      <c r="AL390" s="365">
        <f t="shared" si="689"/>
        <v>0</v>
      </c>
      <c r="AM390" s="365">
        <f t="shared" ref="AM390:AP390" si="690">SUM(AM391:AM490)</f>
        <v>0</v>
      </c>
      <c r="AN390" s="365">
        <f t="shared" ref="AN390" si="691">SUM(AN391:AN490)</f>
        <v>0</v>
      </c>
      <c r="AO390" s="364">
        <f t="shared" si="690"/>
        <v>0</v>
      </c>
      <c r="AP390" s="364">
        <f t="shared" si="690"/>
        <v>0</v>
      </c>
      <c r="AQ390" s="364">
        <f t="shared" si="685"/>
        <v>0</v>
      </c>
      <c r="AR390" s="347">
        <f t="shared" si="685"/>
        <v>0</v>
      </c>
      <c r="AS390" s="364">
        <f t="shared" si="685"/>
        <v>0</v>
      </c>
      <c r="AT390" s="348"/>
    </row>
    <row r="391" spans="1:46" ht="95.25" hidden="1" customHeight="1" outlineLevel="1" x14ac:dyDescent="0.35">
      <c r="A391" s="590">
        <v>1</v>
      </c>
      <c r="B391" s="612" t="s">
        <v>72</v>
      </c>
      <c r="C391" s="604" t="s">
        <v>72</v>
      </c>
      <c r="D391" s="86" t="s">
        <v>703</v>
      </c>
      <c r="E391" s="445" t="s">
        <v>9</v>
      </c>
      <c r="F391" s="480" t="s">
        <v>74</v>
      </c>
      <c r="G391" s="71" t="s">
        <v>28</v>
      </c>
      <c r="H391" s="310" t="s">
        <v>127</v>
      </c>
      <c r="I391" s="334"/>
      <c r="J391" s="283"/>
      <c r="K391" s="294">
        <f t="shared" ref="K391:K422" si="692">M391+P391+U391+R391+T391</f>
        <v>0.14800000000000002</v>
      </c>
      <c r="L391" s="183">
        <f t="shared" si="521"/>
        <v>6.3E-2</v>
      </c>
      <c r="M391" s="94">
        <f>-W391</f>
        <v>6.3E-2</v>
      </c>
      <c r="N391" s="94">
        <f t="shared" si="521"/>
        <v>8.5000000000000006E-2</v>
      </c>
      <c r="O391" s="94">
        <f>-X391</f>
        <v>8.5000000000000006E-2</v>
      </c>
      <c r="P391" s="94">
        <f>-AB391</f>
        <v>8.5000000000000006E-2</v>
      </c>
      <c r="Q391" s="94">
        <f>-AC391</f>
        <v>0</v>
      </c>
      <c r="R391" s="94">
        <f t="shared" si="525"/>
        <v>0</v>
      </c>
      <c r="S391" s="94">
        <f>-AI391</f>
        <v>0</v>
      </c>
      <c r="T391" s="94">
        <f t="shared" si="527"/>
        <v>0</v>
      </c>
      <c r="U391" s="402">
        <f t="shared" si="528"/>
        <v>0</v>
      </c>
      <c r="V391" s="893">
        <v>-6.3E-2</v>
      </c>
      <c r="W391" s="387">
        <v>-6.3E-2</v>
      </c>
      <c r="X391" s="207">
        <v>-8.5000000000000006E-2</v>
      </c>
      <c r="Y391" s="132">
        <v>-8.5000000000000006E-2</v>
      </c>
      <c r="Z391" s="132">
        <v>-8.5000000000000006E-2</v>
      </c>
      <c r="AA391" s="132">
        <v>-8.5000000000000006E-2</v>
      </c>
      <c r="AB391" s="207">
        <v>-8.5000000000000006E-2</v>
      </c>
      <c r="AC391" s="207">
        <v>0</v>
      </c>
      <c r="AD391" s="132">
        <v>0</v>
      </c>
      <c r="AE391" s="132">
        <v>0</v>
      </c>
      <c r="AF391" s="132">
        <v>0</v>
      </c>
      <c r="AG391" s="132">
        <v>0</v>
      </c>
      <c r="AH391" s="132">
        <v>0</v>
      </c>
      <c r="AI391" s="387">
        <v>0</v>
      </c>
      <c r="AJ391" s="207">
        <v>0</v>
      </c>
      <c r="AK391" s="367">
        <v>0</v>
      </c>
      <c r="AL391" s="367">
        <v>0</v>
      </c>
      <c r="AM391" s="367">
        <v>0</v>
      </c>
      <c r="AN391" s="367">
        <v>0</v>
      </c>
      <c r="AO391" s="295">
        <v>0</v>
      </c>
      <c r="AP391" s="295">
        <v>0</v>
      </c>
      <c r="AQ391" s="295">
        <v>0</v>
      </c>
      <c r="AR391" s="387">
        <v>0</v>
      </c>
      <c r="AS391" s="295">
        <f t="shared" si="529"/>
        <v>0</v>
      </c>
      <c r="AT391" s="408" t="s">
        <v>642</v>
      </c>
    </row>
    <row r="392" spans="1:46" ht="138.75" hidden="1" customHeight="1" outlineLevel="1" x14ac:dyDescent="0.35">
      <c r="A392" s="590">
        <v>2</v>
      </c>
      <c r="B392" s="612" t="s">
        <v>72</v>
      </c>
      <c r="C392" s="604" t="s">
        <v>72</v>
      </c>
      <c r="D392" s="86">
        <v>43909</v>
      </c>
      <c r="E392" s="432" t="s">
        <v>75</v>
      </c>
      <c r="F392" s="480" t="s">
        <v>71</v>
      </c>
      <c r="G392" s="71" t="s">
        <v>77</v>
      </c>
      <c r="H392" s="310" t="s">
        <v>129</v>
      </c>
      <c r="I392" s="334"/>
      <c r="J392" s="283"/>
      <c r="K392" s="294">
        <f t="shared" si="692"/>
        <v>0.21021899999999999</v>
      </c>
      <c r="L392" s="183">
        <f t="shared" ref="L392:N407" si="693">-V392</f>
        <v>0.25926100000000002</v>
      </c>
      <c r="M392" s="94">
        <f t="shared" si="693"/>
        <v>0.21021899999999999</v>
      </c>
      <c r="N392" s="94">
        <v>0</v>
      </c>
      <c r="O392" s="94">
        <v>0</v>
      </c>
      <c r="P392" s="94">
        <v>0</v>
      </c>
      <c r="Q392" s="94">
        <v>0</v>
      </c>
      <c r="R392" s="94">
        <v>0</v>
      </c>
      <c r="S392" s="94">
        <v>0</v>
      </c>
      <c r="T392" s="94">
        <v>0</v>
      </c>
      <c r="U392" s="402">
        <v>0</v>
      </c>
      <c r="V392" s="573">
        <v>-0.25926100000000002</v>
      </c>
      <c r="W392" s="326">
        <v>-0.21021899999999999</v>
      </c>
      <c r="X392" s="207">
        <v>0</v>
      </c>
      <c r="Y392" s="132">
        <v>0</v>
      </c>
      <c r="Z392" s="132">
        <v>0</v>
      </c>
      <c r="AA392" s="132">
        <v>0</v>
      </c>
      <c r="AB392" s="207">
        <v>0</v>
      </c>
      <c r="AC392" s="207">
        <v>0</v>
      </c>
      <c r="AD392" s="132">
        <v>0</v>
      </c>
      <c r="AE392" s="132">
        <v>0</v>
      </c>
      <c r="AF392" s="132">
        <v>0</v>
      </c>
      <c r="AG392" s="132">
        <v>0</v>
      </c>
      <c r="AH392" s="132">
        <v>0</v>
      </c>
      <c r="AI392" s="387">
        <v>0</v>
      </c>
      <c r="AJ392" s="207">
        <v>0</v>
      </c>
      <c r="AK392" s="367">
        <v>0</v>
      </c>
      <c r="AL392" s="367">
        <v>0</v>
      </c>
      <c r="AM392" s="367">
        <v>0</v>
      </c>
      <c r="AN392" s="367">
        <v>0</v>
      </c>
      <c r="AO392" s="295">
        <v>0</v>
      </c>
      <c r="AP392" s="295">
        <v>0</v>
      </c>
      <c r="AQ392" s="295">
        <v>0</v>
      </c>
      <c r="AR392" s="387">
        <v>0</v>
      </c>
      <c r="AS392" s="295">
        <f t="shared" si="529"/>
        <v>0</v>
      </c>
      <c r="AT392" s="408" t="s">
        <v>347</v>
      </c>
    </row>
    <row r="393" spans="1:46" ht="197.15" hidden="1" customHeight="1" outlineLevel="1" x14ac:dyDescent="0.35">
      <c r="A393" s="590">
        <v>3</v>
      </c>
      <c r="B393" s="612" t="s">
        <v>72</v>
      </c>
      <c r="C393" s="604" t="s">
        <v>72</v>
      </c>
      <c r="D393" s="86">
        <v>43928</v>
      </c>
      <c r="E393" s="432" t="s">
        <v>76</v>
      </c>
      <c r="F393" s="480" t="s">
        <v>275</v>
      </c>
      <c r="G393" s="71" t="s">
        <v>138</v>
      </c>
      <c r="H393" s="310" t="s">
        <v>127</v>
      </c>
      <c r="I393" s="334"/>
      <c r="J393" s="283"/>
      <c r="K393" s="294">
        <f t="shared" si="692"/>
        <v>1.0400769999999999</v>
      </c>
      <c r="L393" s="183">
        <f t="shared" si="693"/>
        <v>1.0409280000000001</v>
      </c>
      <c r="M393" s="94">
        <f t="shared" si="693"/>
        <v>1.0400769999999999</v>
      </c>
      <c r="N393" s="94">
        <v>0</v>
      </c>
      <c r="O393" s="94">
        <v>0</v>
      </c>
      <c r="P393" s="94">
        <v>0</v>
      </c>
      <c r="Q393" s="94">
        <v>0</v>
      </c>
      <c r="R393" s="94">
        <v>0</v>
      </c>
      <c r="S393" s="94">
        <v>0</v>
      </c>
      <c r="T393" s="94">
        <v>0</v>
      </c>
      <c r="U393" s="402">
        <v>0</v>
      </c>
      <c r="V393" s="573">
        <v>-1.0409280000000001</v>
      </c>
      <c r="W393" s="326">
        <v>-1.0400769999999999</v>
      </c>
      <c r="X393" s="207">
        <v>0</v>
      </c>
      <c r="Y393" s="132">
        <v>0</v>
      </c>
      <c r="Z393" s="132">
        <v>0</v>
      </c>
      <c r="AA393" s="132">
        <v>0</v>
      </c>
      <c r="AB393" s="207">
        <v>0</v>
      </c>
      <c r="AC393" s="207">
        <v>0</v>
      </c>
      <c r="AD393" s="132">
        <v>0</v>
      </c>
      <c r="AE393" s="132">
        <v>0</v>
      </c>
      <c r="AF393" s="132">
        <v>0</v>
      </c>
      <c r="AG393" s="132">
        <v>0</v>
      </c>
      <c r="AH393" s="132">
        <v>0</v>
      </c>
      <c r="AI393" s="387">
        <v>0</v>
      </c>
      <c r="AJ393" s="207">
        <v>0</v>
      </c>
      <c r="AK393" s="367">
        <v>0</v>
      </c>
      <c r="AL393" s="367">
        <v>0</v>
      </c>
      <c r="AM393" s="367">
        <v>0</v>
      </c>
      <c r="AN393" s="367">
        <v>0</v>
      </c>
      <c r="AO393" s="295">
        <v>0</v>
      </c>
      <c r="AP393" s="295">
        <v>0</v>
      </c>
      <c r="AQ393" s="295">
        <v>0</v>
      </c>
      <c r="AR393" s="387">
        <v>0</v>
      </c>
      <c r="AS393" s="295">
        <f t="shared" si="529"/>
        <v>0</v>
      </c>
      <c r="AT393" s="408" t="s">
        <v>298</v>
      </c>
    </row>
    <row r="394" spans="1:46" ht="72.650000000000006" hidden="1" customHeight="1" outlineLevel="1" x14ac:dyDescent="0.35">
      <c r="A394" s="590">
        <v>4</v>
      </c>
      <c r="B394" s="612" t="s">
        <v>72</v>
      </c>
      <c r="C394" s="604" t="s">
        <v>72</v>
      </c>
      <c r="D394" s="86">
        <v>43928</v>
      </c>
      <c r="E394" s="432" t="s">
        <v>76</v>
      </c>
      <c r="F394" s="497" t="s">
        <v>317</v>
      </c>
      <c r="G394" s="242" t="s">
        <v>77</v>
      </c>
      <c r="H394" s="310" t="s">
        <v>127</v>
      </c>
      <c r="I394" s="334"/>
      <c r="J394" s="283"/>
      <c r="K394" s="294">
        <f t="shared" si="692"/>
        <v>1</v>
      </c>
      <c r="L394" s="183">
        <f t="shared" si="693"/>
        <v>1</v>
      </c>
      <c r="M394" s="94">
        <f t="shared" si="693"/>
        <v>1</v>
      </c>
      <c r="N394" s="94">
        <f t="shared" si="693"/>
        <v>0</v>
      </c>
      <c r="O394" s="94">
        <f t="shared" ref="O394:O403" si="694">-X394</f>
        <v>0</v>
      </c>
      <c r="P394" s="94">
        <f t="shared" ref="P394:P403" si="695">-AB394</f>
        <v>0</v>
      </c>
      <c r="Q394" s="94">
        <f t="shared" ref="Q394:Q403" si="696">-AC394</f>
        <v>0</v>
      </c>
      <c r="R394" s="94">
        <f t="shared" ref="R394:R403" si="697">-AC394</f>
        <v>0</v>
      </c>
      <c r="S394" s="94">
        <f t="shared" ref="S394:S403" si="698">-AI394</f>
        <v>0</v>
      </c>
      <c r="T394" s="94">
        <f t="shared" ref="T394:T403" si="699">-AJ394</f>
        <v>0</v>
      </c>
      <c r="U394" s="402">
        <f t="shared" ref="U394:U400" si="700">-AQ394</f>
        <v>0</v>
      </c>
      <c r="V394" s="573">
        <v>-1</v>
      </c>
      <c r="W394" s="326">
        <v>-1</v>
      </c>
      <c r="X394" s="207">
        <v>0</v>
      </c>
      <c r="Y394" s="132">
        <v>0</v>
      </c>
      <c r="Z394" s="132">
        <v>0</v>
      </c>
      <c r="AA394" s="132">
        <v>0</v>
      </c>
      <c r="AB394" s="207">
        <v>0</v>
      </c>
      <c r="AC394" s="207">
        <v>0</v>
      </c>
      <c r="AD394" s="132">
        <v>0</v>
      </c>
      <c r="AE394" s="132">
        <v>0</v>
      </c>
      <c r="AF394" s="132">
        <v>0</v>
      </c>
      <c r="AG394" s="132">
        <v>0</v>
      </c>
      <c r="AH394" s="132">
        <v>0</v>
      </c>
      <c r="AI394" s="387">
        <v>0</v>
      </c>
      <c r="AJ394" s="207">
        <v>0</v>
      </c>
      <c r="AK394" s="367">
        <v>0</v>
      </c>
      <c r="AL394" s="367">
        <v>0</v>
      </c>
      <c r="AM394" s="367">
        <v>0</v>
      </c>
      <c r="AN394" s="367">
        <v>0</v>
      </c>
      <c r="AO394" s="295">
        <v>0</v>
      </c>
      <c r="AP394" s="295">
        <v>0</v>
      </c>
      <c r="AQ394" s="295">
        <v>0</v>
      </c>
      <c r="AR394" s="387">
        <v>0</v>
      </c>
      <c r="AS394" s="295">
        <f t="shared" si="529"/>
        <v>0</v>
      </c>
      <c r="AT394" s="408" t="s">
        <v>141</v>
      </c>
    </row>
    <row r="395" spans="1:46" ht="43.5" hidden="1" customHeight="1" outlineLevel="1" x14ac:dyDescent="0.35">
      <c r="A395" s="590">
        <v>5</v>
      </c>
      <c r="B395" s="612" t="s">
        <v>72</v>
      </c>
      <c r="C395" s="604" t="s">
        <v>72</v>
      </c>
      <c r="D395" s="86">
        <v>43938</v>
      </c>
      <c r="E395" s="446" t="s">
        <v>146</v>
      </c>
      <c r="F395" s="497" t="s">
        <v>230</v>
      </c>
      <c r="G395" s="71" t="s">
        <v>138</v>
      </c>
      <c r="H395" s="310" t="s">
        <v>127</v>
      </c>
      <c r="I395" s="334"/>
      <c r="J395" s="283"/>
      <c r="K395" s="294">
        <f t="shared" si="692"/>
        <v>0.15491199999999999</v>
      </c>
      <c r="L395" s="183">
        <f t="shared" si="693"/>
        <v>0.15491199999999999</v>
      </c>
      <c r="M395" s="94">
        <f t="shared" si="693"/>
        <v>0.15491199999999999</v>
      </c>
      <c r="N395" s="94">
        <f t="shared" si="693"/>
        <v>0</v>
      </c>
      <c r="O395" s="94">
        <f t="shared" si="694"/>
        <v>0</v>
      </c>
      <c r="P395" s="94">
        <f t="shared" si="695"/>
        <v>0</v>
      </c>
      <c r="Q395" s="94">
        <f t="shared" si="696"/>
        <v>0</v>
      </c>
      <c r="R395" s="94">
        <f t="shared" si="697"/>
        <v>0</v>
      </c>
      <c r="S395" s="94">
        <f t="shared" si="698"/>
        <v>0</v>
      </c>
      <c r="T395" s="94">
        <f t="shared" si="699"/>
        <v>0</v>
      </c>
      <c r="U395" s="402">
        <f t="shared" si="700"/>
        <v>0</v>
      </c>
      <c r="V395" s="573">
        <v>-0.15491199999999999</v>
      </c>
      <c r="W395" s="326">
        <v>-0.15491199999999999</v>
      </c>
      <c r="X395" s="207">
        <v>0</v>
      </c>
      <c r="Y395" s="132">
        <v>0</v>
      </c>
      <c r="Z395" s="132">
        <v>0</v>
      </c>
      <c r="AA395" s="132">
        <v>0</v>
      </c>
      <c r="AB395" s="207">
        <v>0</v>
      </c>
      <c r="AC395" s="207">
        <v>0</v>
      </c>
      <c r="AD395" s="132">
        <v>0</v>
      </c>
      <c r="AE395" s="132">
        <v>0</v>
      </c>
      <c r="AF395" s="132">
        <v>0</v>
      </c>
      <c r="AG395" s="132">
        <v>0</v>
      </c>
      <c r="AH395" s="132">
        <v>0</v>
      </c>
      <c r="AI395" s="387">
        <v>0</v>
      </c>
      <c r="AJ395" s="207">
        <v>0</v>
      </c>
      <c r="AK395" s="367">
        <v>0</v>
      </c>
      <c r="AL395" s="367">
        <v>0</v>
      </c>
      <c r="AM395" s="367">
        <v>0</v>
      </c>
      <c r="AN395" s="367">
        <v>0</v>
      </c>
      <c r="AO395" s="295">
        <v>0</v>
      </c>
      <c r="AP395" s="295">
        <v>0</v>
      </c>
      <c r="AQ395" s="295">
        <v>0</v>
      </c>
      <c r="AR395" s="387">
        <v>0</v>
      </c>
      <c r="AS395" s="295">
        <f t="shared" si="529"/>
        <v>0</v>
      </c>
      <c r="AT395" s="408" t="s">
        <v>39</v>
      </c>
    </row>
    <row r="396" spans="1:46" ht="101.5" hidden="1" customHeight="1" outlineLevel="1" x14ac:dyDescent="0.35">
      <c r="A396" s="590">
        <v>6</v>
      </c>
      <c r="B396" s="612" t="s">
        <v>72</v>
      </c>
      <c r="C396" s="604" t="s">
        <v>72</v>
      </c>
      <c r="D396" s="86">
        <v>44123</v>
      </c>
      <c r="E396" s="432" t="s">
        <v>386</v>
      </c>
      <c r="F396" s="482" t="s">
        <v>385</v>
      </c>
      <c r="G396" s="242" t="s">
        <v>77</v>
      </c>
      <c r="H396" s="310" t="s">
        <v>129</v>
      </c>
      <c r="I396" s="334"/>
      <c r="J396" s="283"/>
      <c r="K396" s="294">
        <f t="shared" si="692"/>
        <v>3.0929999999999999E-2</v>
      </c>
      <c r="L396" s="183">
        <f t="shared" si="693"/>
        <v>3.0929999999999999E-2</v>
      </c>
      <c r="M396" s="94">
        <f t="shared" si="693"/>
        <v>3.0929999999999999E-2</v>
      </c>
      <c r="N396" s="94">
        <f t="shared" si="693"/>
        <v>0</v>
      </c>
      <c r="O396" s="94">
        <f t="shared" si="694"/>
        <v>0</v>
      </c>
      <c r="P396" s="94">
        <f t="shared" si="695"/>
        <v>0</v>
      </c>
      <c r="Q396" s="94">
        <f t="shared" si="696"/>
        <v>0</v>
      </c>
      <c r="R396" s="94">
        <f t="shared" si="697"/>
        <v>0</v>
      </c>
      <c r="S396" s="94">
        <f t="shared" si="698"/>
        <v>0</v>
      </c>
      <c r="T396" s="94">
        <f t="shared" si="699"/>
        <v>0</v>
      </c>
      <c r="U396" s="402">
        <f t="shared" si="700"/>
        <v>0</v>
      </c>
      <c r="V396" s="573">
        <v>-3.0929999999999999E-2</v>
      </c>
      <c r="W396" s="326">
        <v>-3.0929999999999999E-2</v>
      </c>
      <c r="X396" s="207">
        <v>0</v>
      </c>
      <c r="Y396" s="132">
        <v>0</v>
      </c>
      <c r="Z396" s="132">
        <v>0</v>
      </c>
      <c r="AA396" s="132">
        <v>0</v>
      </c>
      <c r="AB396" s="207">
        <v>0</v>
      </c>
      <c r="AC396" s="207">
        <v>0</v>
      </c>
      <c r="AD396" s="132">
        <v>0</v>
      </c>
      <c r="AE396" s="132">
        <v>0</v>
      </c>
      <c r="AF396" s="132">
        <v>0</v>
      </c>
      <c r="AG396" s="132">
        <v>0</v>
      </c>
      <c r="AH396" s="132">
        <v>0</v>
      </c>
      <c r="AI396" s="387">
        <v>0</v>
      </c>
      <c r="AJ396" s="207">
        <v>0</v>
      </c>
      <c r="AK396" s="367">
        <v>0</v>
      </c>
      <c r="AL396" s="367">
        <v>0</v>
      </c>
      <c r="AM396" s="367">
        <v>0</v>
      </c>
      <c r="AN396" s="367">
        <v>0</v>
      </c>
      <c r="AO396" s="295">
        <v>0</v>
      </c>
      <c r="AP396" s="295">
        <v>0</v>
      </c>
      <c r="AQ396" s="295">
        <v>0</v>
      </c>
      <c r="AR396" s="387">
        <v>0</v>
      </c>
      <c r="AS396" s="295">
        <f t="shared" si="529"/>
        <v>0</v>
      </c>
      <c r="AT396" s="408" t="s">
        <v>384</v>
      </c>
    </row>
    <row r="397" spans="1:46" ht="43.5" hidden="1" customHeight="1" outlineLevel="1" x14ac:dyDescent="0.35">
      <c r="A397" s="590">
        <v>7</v>
      </c>
      <c r="B397" s="612" t="s">
        <v>72</v>
      </c>
      <c r="C397" s="604" t="s">
        <v>72</v>
      </c>
      <c r="D397" s="63" t="s">
        <v>713</v>
      </c>
      <c r="E397" s="432" t="s">
        <v>714</v>
      </c>
      <c r="F397" s="480" t="s">
        <v>514</v>
      </c>
      <c r="G397" s="71" t="s">
        <v>192</v>
      </c>
      <c r="H397" s="310" t="s">
        <v>129</v>
      </c>
      <c r="I397" s="334"/>
      <c r="J397" s="283"/>
      <c r="K397" s="294">
        <f t="shared" si="692"/>
        <v>4.6947999999999997E-2</v>
      </c>
      <c r="L397" s="20">
        <f t="shared" si="693"/>
        <v>4.4527999999999998E-2</v>
      </c>
      <c r="M397" s="95">
        <f t="shared" si="693"/>
        <v>0</v>
      </c>
      <c r="N397" s="94">
        <f t="shared" si="693"/>
        <v>4.6947999999999997E-2</v>
      </c>
      <c r="O397" s="94">
        <f t="shared" si="694"/>
        <v>4.6947999999999997E-2</v>
      </c>
      <c r="P397" s="94">
        <f t="shared" si="695"/>
        <v>4.6947999999999997E-2</v>
      </c>
      <c r="Q397" s="94">
        <f t="shared" si="696"/>
        <v>0</v>
      </c>
      <c r="R397" s="94">
        <f t="shared" si="697"/>
        <v>0</v>
      </c>
      <c r="S397" s="94">
        <f t="shared" si="698"/>
        <v>0</v>
      </c>
      <c r="T397" s="94">
        <f t="shared" si="699"/>
        <v>0</v>
      </c>
      <c r="U397" s="402">
        <f t="shared" si="700"/>
        <v>0</v>
      </c>
      <c r="V397" s="573">
        <v>-4.4527999999999998E-2</v>
      </c>
      <c r="W397" s="326">
        <v>0</v>
      </c>
      <c r="X397" s="207">
        <v>-4.6947999999999997E-2</v>
      </c>
      <c r="Y397" s="132">
        <v>-4.6947999999999997E-2</v>
      </c>
      <c r="Z397" s="132">
        <v>-4.6947999999999997E-2</v>
      </c>
      <c r="AA397" s="132">
        <v>-4.6947999999999997E-2</v>
      </c>
      <c r="AB397" s="207">
        <v>-4.6947999999999997E-2</v>
      </c>
      <c r="AC397" s="207">
        <v>0</v>
      </c>
      <c r="AD397" s="132">
        <v>0</v>
      </c>
      <c r="AE397" s="132">
        <v>0</v>
      </c>
      <c r="AF397" s="132">
        <v>0</v>
      </c>
      <c r="AG397" s="132">
        <v>0</v>
      </c>
      <c r="AH397" s="132">
        <v>0</v>
      </c>
      <c r="AI397" s="387">
        <v>0</v>
      </c>
      <c r="AJ397" s="207">
        <v>0</v>
      </c>
      <c r="AK397" s="367">
        <v>0</v>
      </c>
      <c r="AL397" s="367">
        <v>0</v>
      </c>
      <c r="AM397" s="367">
        <v>0</v>
      </c>
      <c r="AN397" s="367">
        <v>0</v>
      </c>
      <c r="AO397" s="295">
        <v>0</v>
      </c>
      <c r="AP397" s="295">
        <v>0</v>
      </c>
      <c r="AQ397" s="295">
        <v>0</v>
      </c>
      <c r="AR397" s="387">
        <v>0</v>
      </c>
      <c r="AS397" s="295">
        <f t="shared" si="529"/>
        <v>0</v>
      </c>
      <c r="AT397" s="411" t="s">
        <v>715</v>
      </c>
    </row>
    <row r="398" spans="1:46" ht="96.65" hidden="1" customHeight="1" outlineLevel="1" x14ac:dyDescent="0.35">
      <c r="A398" s="590">
        <v>8</v>
      </c>
      <c r="B398" s="612" t="s">
        <v>72</v>
      </c>
      <c r="C398" s="604" t="s">
        <v>72</v>
      </c>
      <c r="D398" s="63">
        <v>44253</v>
      </c>
      <c r="E398" s="432" t="s">
        <v>1153</v>
      </c>
      <c r="F398" s="480" t="s">
        <v>1151</v>
      </c>
      <c r="G398" s="71" t="s">
        <v>211</v>
      </c>
      <c r="H398" s="310" t="s">
        <v>127</v>
      </c>
      <c r="I398" s="334"/>
      <c r="J398" s="283"/>
      <c r="K398" s="294">
        <f t="shared" si="692"/>
        <v>3.1528770000000002</v>
      </c>
      <c r="L398" s="20">
        <f t="shared" si="693"/>
        <v>0</v>
      </c>
      <c r="M398" s="95">
        <f t="shared" si="693"/>
        <v>0</v>
      </c>
      <c r="N398" s="94">
        <f t="shared" si="693"/>
        <v>3.2583669999999998</v>
      </c>
      <c r="O398" s="94">
        <f t="shared" si="694"/>
        <v>3.2583669999999998</v>
      </c>
      <c r="P398" s="94">
        <f t="shared" si="695"/>
        <v>3.1528770000000002</v>
      </c>
      <c r="Q398" s="94">
        <f t="shared" si="696"/>
        <v>0</v>
      </c>
      <c r="R398" s="94">
        <f t="shared" si="697"/>
        <v>0</v>
      </c>
      <c r="S398" s="94">
        <f t="shared" si="698"/>
        <v>0</v>
      </c>
      <c r="T398" s="94">
        <f t="shared" si="699"/>
        <v>0</v>
      </c>
      <c r="U398" s="402">
        <f t="shared" si="700"/>
        <v>0</v>
      </c>
      <c r="V398" s="573">
        <v>0</v>
      </c>
      <c r="W398" s="326">
        <v>0</v>
      </c>
      <c r="X398" s="207">
        <v>-3.2583669999999998</v>
      </c>
      <c r="Y398" s="132">
        <v>-3.2583669999999998</v>
      </c>
      <c r="Z398" s="132">
        <v>-3.2583669999999998</v>
      </c>
      <c r="AA398" s="132">
        <v>-3.2583669999999998</v>
      </c>
      <c r="AB398" s="207">
        <f>-3.152877</f>
        <v>-3.1528770000000002</v>
      </c>
      <c r="AC398" s="207">
        <v>0</v>
      </c>
      <c r="AD398" s="132">
        <v>0</v>
      </c>
      <c r="AE398" s="132">
        <v>0</v>
      </c>
      <c r="AF398" s="132">
        <v>0</v>
      </c>
      <c r="AG398" s="132">
        <v>0</v>
      </c>
      <c r="AH398" s="132">
        <v>0</v>
      </c>
      <c r="AI398" s="387">
        <v>0</v>
      </c>
      <c r="AJ398" s="207">
        <v>0</v>
      </c>
      <c r="AK398" s="367">
        <v>0</v>
      </c>
      <c r="AL398" s="367">
        <v>0</v>
      </c>
      <c r="AM398" s="367">
        <v>0</v>
      </c>
      <c r="AN398" s="367">
        <v>0</v>
      </c>
      <c r="AO398" s="295">
        <v>0</v>
      </c>
      <c r="AP398" s="295">
        <v>0</v>
      </c>
      <c r="AQ398" s="295">
        <v>0</v>
      </c>
      <c r="AR398" s="387">
        <v>0</v>
      </c>
      <c r="AS398" s="295">
        <f t="shared" si="529"/>
        <v>0</v>
      </c>
      <c r="AT398" s="325" t="s">
        <v>1152</v>
      </c>
    </row>
    <row r="399" spans="1:46" ht="58" hidden="1" customHeight="1" outlineLevel="1" x14ac:dyDescent="0.35">
      <c r="A399" s="590">
        <v>9</v>
      </c>
      <c r="B399" s="612" t="s">
        <v>72</v>
      </c>
      <c r="C399" s="604" t="s">
        <v>72</v>
      </c>
      <c r="D399" s="63">
        <v>44260</v>
      </c>
      <c r="E399" s="432" t="s">
        <v>1188</v>
      </c>
      <c r="F399" s="480" t="s">
        <v>1167</v>
      </c>
      <c r="G399" s="71" t="s">
        <v>216</v>
      </c>
      <c r="H399" s="310" t="s">
        <v>127</v>
      </c>
      <c r="I399" s="334"/>
      <c r="J399" s="283"/>
      <c r="K399" s="294">
        <f t="shared" si="692"/>
        <v>0.11852</v>
      </c>
      <c r="L399" s="20">
        <f t="shared" si="693"/>
        <v>0</v>
      </c>
      <c r="M399" s="95">
        <f t="shared" si="693"/>
        <v>0</v>
      </c>
      <c r="N399" s="94">
        <f t="shared" si="693"/>
        <v>0.118521</v>
      </c>
      <c r="O399" s="94">
        <f t="shared" si="694"/>
        <v>0.118521</v>
      </c>
      <c r="P399" s="94">
        <f t="shared" si="695"/>
        <v>0.11852</v>
      </c>
      <c r="Q399" s="94">
        <f t="shared" si="696"/>
        <v>0</v>
      </c>
      <c r="R399" s="94">
        <f t="shared" si="697"/>
        <v>0</v>
      </c>
      <c r="S399" s="94">
        <f t="shared" si="698"/>
        <v>0</v>
      </c>
      <c r="T399" s="94">
        <f t="shared" si="699"/>
        <v>0</v>
      </c>
      <c r="U399" s="402">
        <f t="shared" si="700"/>
        <v>0</v>
      </c>
      <c r="V399" s="573">
        <v>0</v>
      </c>
      <c r="W399" s="326">
        <v>0</v>
      </c>
      <c r="X399" s="207">
        <v>-0.118521</v>
      </c>
      <c r="Y399" s="132">
        <v>-0.118521</v>
      </c>
      <c r="Z399" s="132">
        <v>-0.118521</v>
      </c>
      <c r="AA399" s="132">
        <v>-0.118521</v>
      </c>
      <c r="AB399" s="207">
        <v>-0.11852</v>
      </c>
      <c r="AC399" s="207">
        <v>0</v>
      </c>
      <c r="AD399" s="132">
        <v>0</v>
      </c>
      <c r="AE399" s="132">
        <v>0</v>
      </c>
      <c r="AF399" s="132">
        <v>0</v>
      </c>
      <c r="AG399" s="132">
        <v>0</v>
      </c>
      <c r="AH399" s="132">
        <v>0</v>
      </c>
      <c r="AI399" s="387">
        <v>0</v>
      </c>
      <c r="AJ399" s="207">
        <v>0</v>
      </c>
      <c r="AK399" s="367">
        <v>0</v>
      </c>
      <c r="AL399" s="367">
        <v>0</v>
      </c>
      <c r="AM399" s="367">
        <v>0</v>
      </c>
      <c r="AN399" s="367">
        <v>0</v>
      </c>
      <c r="AO399" s="295">
        <v>0</v>
      </c>
      <c r="AP399" s="295">
        <v>0</v>
      </c>
      <c r="AQ399" s="295">
        <v>0</v>
      </c>
      <c r="AR399" s="387">
        <v>0</v>
      </c>
      <c r="AS399" s="295">
        <f t="shared" si="529"/>
        <v>0</v>
      </c>
      <c r="AT399" s="421" t="s">
        <v>1168</v>
      </c>
    </row>
    <row r="400" spans="1:46" ht="43.5" hidden="1" customHeight="1" outlineLevel="1" x14ac:dyDescent="0.35">
      <c r="A400" s="590">
        <v>10</v>
      </c>
      <c r="B400" s="612" t="s">
        <v>72</v>
      </c>
      <c r="C400" s="604" t="s">
        <v>72</v>
      </c>
      <c r="D400" s="63">
        <v>44265</v>
      </c>
      <c r="E400" s="432" t="s">
        <v>1197</v>
      </c>
      <c r="F400" s="480" t="s">
        <v>1196</v>
      </c>
      <c r="G400" s="71" t="s">
        <v>28</v>
      </c>
      <c r="H400" s="310" t="s">
        <v>127</v>
      </c>
      <c r="I400" s="334"/>
      <c r="J400" s="283"/>
      <c r="K400" s="294">
        <f t="shared" si="692"/>
        <v>0.237872</v>
      </c>
      <c r="L400" s="20">
        <f t="shared" si="693"/>
        <v>0</v>
      </c>
      <c r="M400" s="95">
        <f t="shared" si="693"/>
        <v>0</v>
      </c>
      <c r="N400" s="94">
        <f t="shared" si="693"/>
        <v>0.33</v>
      </c>
      <c r="O400" s="94">
        <f t="shared" si="694"/>
        <v>0.33</v>
      </c>
      <c r="P400" s="94">
        <f t="shared" si="695"/>
        <v>0.237872</v>
      </c>
      <c r="Q400" s="94">
        <f t="shared" si="696"/>
        <v>0</v>
      </c>
      <c r="R400" s="94">
        <f t="shared" si="697"/>
        <v>0</v>
      </c>
      <c r="S400" s="94">
        <f t="shared" si="698"/>
        <v>0</v>
      </c>
      <c r="T400" s="94">
        <f t="shared" si="699"/>
        <v>0</v>
      </c>
      <c r="U400" s="402">
        <f t="shared" si="700"/>
        <v>0</v>
      </c>
      <c r="V400" s="573">
        <v>0</v>
      </c>
      <c r="W400" s="326">
        <v>0</v>
      </c>
      <c r="X400" s="207">
        <v>-0.33</v>
      </c>
      <c r="Y400" s="132">
        <v>-0.33</v>
      </c>
      <c r="Z400" s="132">
        <v>-0.33</v>
      </c>
      <c r="AA400" s="132">
        <v>-0.33</v>
      </c>
      <c r="AB400" s="207">
        <f>-0.237872</f>
        <v>-0.237872</v>
      </c>
      <c r="AC400" s="207">
        <v>0</v>
      </c>
      <c r="AD400" s="132">
        <v>0</v>
      </c>
      <c r="AE400" s="132">
        <v>0</v>
      </c>
      <c r="AF400" s="132">
        <v>0</v>
      </c>
      <c r="AG400" s="132">
        <v>0</v>
      </c>
      <c r="AH400" s="132">
        <v>0</v>
      </c>
      <c r="AI400" s="387">
        <v>0</v>
      </c>
      <c r="AJ400" s="207">
        <v>0</v>
      </c>
      <c r="AK400" s="367">
        <v>0</v>
      </c>
      <c r="AL400" s="367">
        <v>0</v>
      </c>
      <c r="AM400" s="367">
        <v>0</v>
      </c>
      <c r="AN400" s="367">
        <v>0</v>
      </c>
      <c r="AO400" s="295">
        <v>0</v>
      </c>
      <c r="AP400" s="295">
        <v>0</v>
      </c>
      <c r="AQ400" s="295">
        <v>0</v>
      </c>
      <c r="AR400" s="387">
        <v>0</v>
      </c>
      <c r="AS400" s="295">
        <f t="shared" si="529"/>
        <v>0</v>
      </c>
      <c r="AT400" s="421" t="s">
        <v>1198</v>
      </c>
    </row>
    <row r="401" spans="1:46" ht="58" hidden="1" customHeight="1" outlineLevel="1" x14ac:dyDescent="0.35">
      <c r="A401" s="590">
        <v>11</v>
      </c>
      <c r="B401" s="612" t="s">
        <v>72</v>
      </c>
      <c r="C401" s="604" t="s">
        <v>72</v>
      </c>
      <c r="D401" s="63">
        <v>44287</v>
      </c>
      <c r="E401" s="432" t="s">
        <v>1341</v>
      </c>
      <c r="F401" s="480" t="s">
        <v>1228</v>
      </c>
      <c r="G401" s="71" t="s">
        <v>192</v>
      </c>
      <c r="H401" s="310" t="s">
        <v>127</v>
      </c>
      <c r="I401" s="334"/>
      <c r="J401" s="283"/>
      <c r="K401" s="294">
        <f t="shared" si="692"/>
        <v>2.6759000000000002E-2</v>
      </c>
      <c r="L401" s="20">
        <f t="shared" ref="L401:L402" si="701">-V401</f>
        <v>0</v>
      </c>
      <c r="M401" s="95">
        <f t="shared" ref="M401:M402" si="702">-W401</f>
        <v>0</v>
      </c>
      <c r="N401" s="94">
        <f t="shared" ref="N401" si="703">-X401</f>
        <v>2.7890999999999999E-2</v>
      </c>
      <c r="O401" s="94">
        <f t="shared" si="694"/>
        <v>2.7890999999999999E-2</v>
      </c>
      <c r="P401" s="94">
        <f t="shared" si="695"/>
        <v>2.6759000000000002E-2</v>
      </c>
      <c r="Q401" s="94">
        <f t="shared" si="696"/>
        <v>0</v>
      </c>
      <c r="R401" s="94">
        <f t="shared" ref="R401:R402" si="704">-AC401</f>
        <v>0</v>
      </c>
      <c r="S401" s="94">
        <f t="shared" si="698"/>
        <v>0</v>
      </c>
      <c r="T401" s="94">
        <f t="shared" ref="T401:T402" si="705">-AJ401</f>
        <v>0</v>
      </c>
      <c r="U401" s="402">
        <f t="shared" ref="U401:U402" si="706">-AQ401</f>
        <v>0</v>
      </c>
      <c r="V401" s="573">
        <v>0</v>
      </c>
      <c r="W401" s="326">
        <v>0</v>
      </c>
      <c r="X401" s="207">
        <v>-2.7890999999999999E-2</v>
      </c>
      <c r="Y401" s="132">
        <v>0</v>
      </c>
      <c r="Z401" s="132">
        <v>-2.7890999999999999E-2</v>
      </c>
      <c r="AA401" s="132">
        <v>-2.7890999999999999E-2</v>
      </c>
      <c r="AB401" s="207">
        <v>-2.6759000000000002E-2</v>
      </c>
      <c r="AC401" s="207">
        <v>0</v>
      </c>
      <c r="AD401" s="132">
        <v>0</v>
      </c>
      <c r="AE401" s="132">
        <v>0</v>
      </c>
      <c r="AF401" s="132">
        <v>0</v>
      </c>
      <c r="AG401" s="132">
        <v>0</v>
      </c>
      <c r="AH401" s="132">
        <v>0</v>
      </c>
      <c r="AI401" s="387">
        <v>0</v>
      </c>
      <c r="AJ401" s="207">
        <v>0</v>
      </c>
      <c r="AK401" s="367">
        <v>0</v>
      </c>
      <c r="AL401" s="367">
        <v>0</v>
      </c>
      <c r="AM401" s="367">
        <v>0</v>
      </c>
      <c r="AN401" s="367">
        <v>0</v>
      </c>
      <c r="AO401" s="295">
        <v>0</v>
      </c>
      <c r="AP401" s="295">
        <v>0</v>
      </c>
      <c r="AQ401" s="295">
        <v>0</v>
      </c>
      <c r="AR401" s="387">
        <v>0</v>
      </c>
      <c r="AS401" s="295">
        <f t="shared" ref="AS401:AS402" si="707">-AR401</f>
        <v>0</v>
      </c>
      <c r="AT401" s="421" t="s">
        <v>1227</v>
      </c>
    </row>
    <row r="402" spans="1:46" ht="72.650000000000006" hidden="1" customHeight="1" outlineLevel="1" x14ac:dyDescent="0.35">
      <c r="A402" s="590">
        <v>12</v>
      </c>
      <c r="B402" s="612" t="s">
        <v>72</v>
      </c>
      <c r="C402" s="604" t="s">
        <v>72</v>
      </c>
      <c r="D402" s="273">
        <v>44424</v>
      </c>
      <c r="E402" s="444" t="s">
        <v>1612</v>
      </c>
      <c r="F402" s="480" t="s">
        <v>1584</v>
      </c>
      <c r="G402" s="71" t="s">
        <v>138</v>
      </c>
      <c r="H402" s="310" t="s">
        <v>127</v>
      </c>
      <c r="I402" s="334"/>
      <c r="J402" s="283"/>
      <c r="K402" s="294">
        <f t="shared" si="692"/>
        <v>0.31141099999999999</v>
      </c>
      <c r="L402" s="20">
        <f t="shared" si="701"/>
        <v>0</v>
      </c>
      <c r="M402" s="95">
        <f t="shared" si="702"/>
        <v>0</v>
      </c>
      <c r="N402" s="94">
        <f>-X402</f>
        <v>0.4</v>
      </c>
      <c r="O402" s="94">
        <f t="shared" si="694"/>
        <v>0.4</v>
      </c>
      <c r="P402" s="94">
        <f t="shared" si="695"/>
        <v>0.31141099999999999</v>
      </c>
      <c r="Q402" s="94">
        <f t="shared" si="696"/>
        <v>0</v>
      </c>
      <c r="R402" s="94">
        <f t="shared" si="704"/>
        <v>0</v>
      </c>
      <c r="S402" s="94">
        <f t="shared" si="698"/>
        <v>0</v>
      </c>
      <c r="T402" s="94">
        <f t="shared" si="705"/>
        <v>0</v>
      </c>
      <c r="U402" s="402">
        <f t="shared" si="706"/>
        <v>0</v>
      </c>
      <c r="V402" s="573">
        <v>0</v>
      </c>
      <c r="W402" s="326">
        <v>0</v>
      </c>
      <c r="X402" s="207">
        <v>-0.4</v>
      </c>
      <c r="Y402" s="132">
        <v>0</v>
      </c>
      <c r="Z402" s="132">
        <v>-2.7890999999999999E-2</v>
      </c>
      <c r="AA402" s="132">
        <v>-2.7890999999999999E-2</v>
      </c>
      <c r="AB402" s="207">
        <f>-0.311411</f>
        <v>-0.31141099999999999</v>
      </c>
      <c r="AC402" s="207">
        <v>0</v>
      </c>
      <c r="AD402" s="132">
        <v>0</v>
      </c>
      <c r="AE402" s="132">
        <v>0</v>
      </c>
      <c r="AF402" s="132">
        <v>0</v>
      </c>
      <c r="AG402" s="132">
        <v>0</v>
      </c>
      <c r="AH402" s="132">
        <v>0</v>
      </c>
      <c r="AI402" s="387">
        <v>0</v>
      </c>
      <c r="AJ402" s="207">
        <v>0</v>
      </c>
      <c r="AK402" s="367">
        <v>0</v>
      </c>
      <c r="AL402" s="367">
        <v>0</v>
      </c>
      <c r="AM402" s="367">
        <v>0</v>
      </c>
      <c r="AN402" s="367">
        <v>0</v>
      </c>
      <c r="AO402" s="295">
        <v>0</v>
      </c>
      <c r="AP402" s="295">
        <v>0</v>
      </c>
      <c r="AQ402" s="295">
        <v>0</v>
      </c>
      <c r="AR402" s="387">
        <v>0</v>
      </c>
      <c r="AS402" s="295">
        <f t="shared" si="707"/>
        <v>0</v>
      </c>
      <c r="AT402" s="422" t="s">
        <v>1583</v>
      </c>
    </row>
    <row r="403" spans="1:46" ht="67.5" hidden="1" customHeight="1" outlineLevel="1" x14ac:dyDescent="0.35">
      <c r="A403" s="590">
        <v>13</v>
      </c>
      <c r="B403" s="612" t="s">
        <v>72</v>
      </c>
      <c r="C403" s="604" t="s">
        <v>72</v>
      </c>
      <c r="D403" s="273">
        <v>44467</v>
      </c>
      <c r="E403" s="447" t="s">
        <v>1658</v>
      </c>
      <c r="F403" s="480" t="s">
        <v>1659</v>
      </c>
      <c r="G403" s="71" t="s">
        <v>28</v>
      </c>
      <c r="H403" s="310" t="s">
        <v>127</v>
      </c>
      <c r="I403" s="334"/>
      <c r="J403" s="283"/>
      <c r="K403" s="294">
        <f t="shared" si="692"/>
        <v>4.8987999999999997E-2</v>
      </c>
      <c r="L403" s="20">
        <f t="shared" si="693"/>
        <v>0</v>
      </c>
      <c r="M403" s="95">
        <f t="shared" si="693"/>
        <v>0</v>
      </c>
      <c r="N403" s="94">
        <f t="shared" si="693"/>
        <v>4.8987999999999997E-2</v>
      </c>
      <c r="O403" s="94">
        <f t="shared" si="694"/>
        <v>4.8987999999999997E-2</v>
      </c>
      <c r="P403" s="94">
        <f t="shared" si="695"/>
        <v>4.8987999999999997E-2</v>
      </c>
      <c r="Q403" s="94">
        <f t="shared" si="696"/>
        <v>0</v>
      </c>
      <c r="R403" s="94">
        <f t="shared" si="697"/>
        <v>0</v>
      </c>
      <c r="S403" s="94">
        <f t="shared" si="698"/>
        <v>0</v>
      </c>
      <c r="T403" s="94">
        <f t="shared" si="699"/>
        <v>0</v>
      </c>
      <c r="U403" s="402">
        <f>-AQ403</f>
        <v>0</v>
      </c>
      <c r="V403" s="573">
        <v>0</v>
      </c>
      <c r="W403" s="326">
        <v>0</v>
      </c>
      <c r="X403" s="207">
        <v>-4.8987999999999997E-2</v>
      </c>
      <c r="Y403" s="132">
        <v>0</v>
      </c>
      <c r="Z403" s="132">
        <v>-2.7890999999999999E-2</v>
      </c>
      <c r="AA403" s="132">
        <v>-2.7890999999999999E-2</v>
      </c>
      <c r="AB403" s="207">
        <v>-4.8987999999999997E-2</v>
      </c>
      <c r="AC403" s="207">
        <v>0</v>
      </c>
      <c r="AD403" s="132">
        <v>0</v>
      </c>
      <c r="AE403" s="132">
        <v>0</v>
      </c>
      <c r="AF403" s="132">
        <v>0</v>
      </c>
      <c r="AG403" s="132">
        <v>0</v>
      </c>
      <c r="AH403" s="132">
        <v>0</v>
      </c>
      <c r="AI403" s="387">
        <v>0</v>
      </c>
      <c r="AJ403" s="207">
        <v>0</v>
      </c>
      <c r="AK403" s="367">
        <v>0</v>
      </c>
      <c r="AL403" s="367">
        <v>0</v>
      </c>
      <c r="AM403" s="367">
        <v>0</v>
      </c>
      <c r="AN403" s="367">
        <v>0</v>
      </c>
      <c r="AO403" s="295">
        <v>0</v>
      </c>
      <c r="AP403" s="295">
        <v>0</v>
      </c>
      <c r="AQ403" s="295">
        <v>0</v>
      </c>
      <c r="AR403" s="387">
        <v>0</v>
      </c>
      <c r="AS403" s="295">
        <f t="shared" si="529"/>
        <v>0</v>
      </c>
      <c r="AT403" s="423" t="s">
        <v>1657</v>
      </c>
    </row>
    <row r="404" spans="1:46" ht="174.65" hidden="1" customHeight="1" outlineLevel="1" x14ac:dyDescent="0.35">
      <c r="A404" s="590">
        <v>14</v>
      </c>
      <c r="B404" s="612" t="s">
        <v>537</v>
      </c>
      <c r="C404" s="596" t="s">
        <v>537</v>
      </c>
      <c r="D404" s="86" t="s">
        <v>498</v>
      </c>
      <c r="E404" s="432" t="s">
        <v>78</v>
      </c>
      <c r="F404" s="480" t="s">
        <v>79</v>
      </c>
      <c r="G404" s="71" t="s">
        <v>38</v>
      </c>
      <c r="H404" s="310" t="s">
        <v>127</v>
      </c>
      <c r="I404" s="334"/>
      <c r="J404" s="283"/>
      <c r="K404" s="294">
        <f t="shared" si="692"/>
        <v>0</v>
      </c>
      <c r="L404" s="20">
        <v>0</v>
      </c>
      <c r="M404" s="95">
        <f t="shared" si="693"/>
        <v>0</v>
      </c>
      <c r="N404" s="94">
        <v>0</v>
      </c>
      <c r="O404" s="94">
        <v>0</v>
      </c>
      <c r="P404" s="94">
        <v>0</v>
      </c>
      <c r="Q404" s="94">
        <v>0</v>
      </c>
      <c r="R404" s="94">
        <v>0</v>
      </c>
      <c r="S404" s="94">
        <v>0</v>
      </c>
      <c r="T404" s="94">
        <v>0</v>
      </c>
      <c r="U404" s="402">
        <v>0</v>
      </c>
      <c r="V404" s="573">
        <v>0</v>
      </c>
      <c r="W404" s="326">
        <v>0</v>
      </c>
      <c r="X404" s="207">
        <v>0</v>
      </c>
      <c r="Y404" s="132">
        <v>0</v>
      </c>
      <c r="Z404" s="132">
        <v>0</v>
      </c>
      <c r="AA404" s="132">
        <v>0</v>
      </c>
      <c r="AB404" s="207">
        <v>0</v>
      </c>
      <c r="AC404" s="207">
        <v>0</v>
      </c>
      <c r="AD404" s="132">
        <v>0</v>
      </c>
      <c r="AE404" s="132">
        <v>0</v>
      </c>
      <c r="AF404" s="132">
        <v>0</v>
      </c>
      <c r="AG404" s="132">
        <v>0</v>
      </c>
      <c r="AH404" s="132">
        <v>0</v>
      </c>
      <c r="AI404" s="387">
        <v>0</v>
      </c>
      <c r="AJ404" s="207">
        <v>0</v>
      </c>
      <c r="AK404" s="367">
        <v>0</v>
      </c>
      <c r="AL404" s="367">
        <v>0</v>
      </c>
      <c r="AM404" s="367">
        <v>0</v>
      </c>
      <c r="AN404" s="367">
        <v>0</v>
      </c>
      <c r="AO404" s="295">
        <v>0</v>
      </c>
      <c r="AP404" s="295">
        <v>0</v>
      </c>
      <c r="AQ404" s="295">
        <v>0</v>
      </c>
      <c r="AR404" s="387">
        <v>0</v>
      </c>
      <c r="AS404" s="295">
        <f t="shared" si="529"/>
        <v>0</v>
      </c>
      <c r="AT404" s="408" t="s">
        <v>499</v>
      </c>
    </row>
    <row r="405" spans="1:46" ht="72.650000000000006" hidden="1" customHeight="1" outlineLevel="1" x14ac:dyDescent="0.35">
      <c r="A405" s="590">
        <v>15</v>
      </c>
      <c r="B405" s="612" t="s">
        <v>133</v>
      </c>
      <c r="C405" s="607" t="s">
        <v>133</v>
      </c>
      <c r="D405" s="63">
        <v>44056</v>
      </c>
      <c r="E405" s="444" t="s">
        <v>331</v>
      </c>
      <c r="F405" s="497" t="s">
        <v>134</v>
      </c>
      <c r="G405" s="71" t="s">
        <v>27</v>
      </c>
      <c r="H405" s="310" t="s">
        <v>130</v>
      </c>
      <c r="I405" s="334"/>
      <c r="J405" s="283"/>
      <c r="K405" s="294">
        <f t="shared" si="692"/>
        <v>0.667103</v>
      </c>
      <c r="L405" s="20">
        <f t="shared" ref="L405:L413" si="708">-V405</f>
        <v>0.667103</v>
      </c>
      <c r="M405" s="95">
        <f t="shared" si="693"/>
        <v>0.667103</v>
      </c>
      <c r="N405" s="94">
        <f t="shared" si="693"/>
        <v>0</v>
      </c>
      <c r="O405" s="94">
        <f t="shared" ref="O405:O437" si="709">-X405</f>
        <v>0</v>
      </c>
      <c r="P405" s="94">
        <f t="shared" ref="P405:P437" si="710">-AB405</f>
        <v>0</v>
      </c>
      <c r="Q405" s="94">
        <f t="shared" ref="Q405:Q436" si="711">-AC405</f>
        <v>0</v>
      </c>
      <c r="R405" s="94">
        <f t="shared" ref="R405:R418" si="712">-AC405</f>
        <v>0</v>
      </c>
      <c r="S405" s="94">
        <f t="shared" ref="S405:S436" si="713">-AI405</f>
        <v>0</v>
      </c>
      <c r="T405" s="94">
        <f t="shared" ref="T405:T418" si="714">-AJ405</f>
        <v>0</v>
      </c>
      <c r="U405" s="402">
        <f t="shared" ref="U405:U418" si="715">-AQ405</f>
        <v>0</v>
      </c>
      <c r="V405" s="573">
        <v>-0.667103</v>
      </c>
      <c r="W405" s="326">
        <v>-0.667103</v>
      </c>
      <c r="X405" s="207">
        <v>0</v>
      </c>
      <c r="Y405" s="132">
        <v>0</v>
      </c>
      <c r="Z405" s="132">
        <v>0</v>
      </c>
      <c r="AA405" s="132">
        <v>0</v>
      </c>
      <c r="AB405" s="207">
        <v>0</v>
      </c>
      <c r="AC405" s="207">
        <v>0</v>
      </c>
      <c r="AD405" s="132">
        <v>0</v>
      </c>
      <c r="AE405" s="132">
        <v>0</v>
      </c>
      <c r="AF405" s="132">
        <v>0</v>
      </c>
      <c r="AG405" s="132">
        <v>0</v>
      </c>
      <c r="AH405" s="132">
        <v>0</v>
      </c>
      <c r="AI405" s="387">
        <v>0</v>
      </c>
      <c r="AJ405" s="207">
        <v>0</v>
      </c>
      <c r="AK405" s="367">
        <v>0</v>
      </c>
      <c r="AL405" s="367">
        <v>0</v>
      </c>
      <c r="AM405" s="367">
        <v>0</v>
      </c>
      <c r="AN405" s="367">
        <v>0</v>
      </c>
      <c r="AO405" s="295">
        <v>0</v>
      </c>
      <c r="AP405" s="295">
        <v>0</v>
      </c>
      <c r="AQ405" s="295">
        <v>0</v>
      </c>
      <c r="AR405" s="387">
        <v>0</v>
      </c>
      <c r="AS405" s="295">
        <f t="shared" ref="AS405:AS441" si="716">-AR405</f>
        <v>0</v>
      </c>
      <c r="AT405" s="415" t="s">
        <v>332</v>
      </c>
    </row>
    <row r="406" spans="1:46" ht="101.5" hidden="1" customHeight="1" outlineLevel="1" x14ac:dyDescent="0.35">
      <c r="A406" s="590">
        <v>16</v>
      </c>
      <c r="B406" s="612" t="s">
        <v>133</v>
      </c>
      <c r="C406" s="607" t="s">
        <v>133</v>
      </c>
      <c r="D406" s="63" t="s">
        <v>644</v>
      </c>
      <c r="E406" s="444" t="s">
        <v>416</v>
      </c>
      <c r="F406" s="497" t="s">
        <v>1553</v>
      </c>
      <c r="G406" s="71" t="s">
        <v>27</v>
      </c>
      <c r="H406" s="310" t="s">
        <v>130</v>
      </c>
      <c r="I406" s="334"/>
      <c r="J406" s="283"/>
      <c r="K406" s="294">
        <f t="shared" si="692"/>
        <v>0.70139300000000004</v>
      </c>
      <c r="L406" s="20">
        <f>-V406</f>
        <v>0.70139300000000004</v>
      </c>
      <c r="M406" s="95">
        <f>-W406</f>
        <v>0.70139300000000004</v>
      </c>
      <c r="N406" s="94">
        <f t="shared" si="693"/>
        <v>0</v>
      </c>
      <c r="O406" s="94">
        <f t="shared" si="709"/>
        <v>0</v>
      </c>
      <c r="P406" s="94">
        <f t="shared" si="710"/>
        <v>0</v>
      </c>
      <c r="Q406" s="94">
        <f t="shared" si="711"/>
        <v>0</v>
      </c>
      <c r="R406" s="94">
        <f t="shared" si="712"/>
        <v>0</v>
      </c>
      <c r="S406" s="94">
        <f t="shared" si="713"/>
        <v>0</v>
      </c>
      <c r="T406" s="94">
        <f t="shared" si="714"/>
        <v>0</v>
      </c>
      <c r="U406" s="402">
        <f t="shared" si="715"/>
        <v>0</v>
      </c>
      <c r="V406" s="573">
        <v>-0.70139300000000004</v>
      </c>
      <c r="W406" s="326">
        <v>-0.70139300000000004</v>
      </c>
      <c r="X406" s="207">
        <v>0</v>
      </c>
      <c r="Y406" s="132">
        <v>0</v>
      </c>
      <c r="Z406" s="132">
        <v>0</v>
      </c>
      <c r="AA406" s="132">
        <v>0</v>
      </c>
      <c r="AB406" s="207">
        <v>0</v>
      </c>
      <c r="AC406" s="207">
        <v>0</v>
      </c>
      <c r="AD406" s="132">
        <v>0</v>
      </c>
      <c r="AE406" s="132">
        <v>0</v>
      </c>
      <c r="AF406" s="132">
        <v>0</v>
      </c>
      <c r="AG406" s="132">
        <v>0</v>
      </c>
      <c r="AH406" s="132">
        <v>0</v>
      </c>
      <c r="AI406" s="387">
        <v>0</v>
      </c>
      <c r="AJ406" s="207">
        <v>0</v>
      </c>
      <c r="AK406" s="367">
        <v>0</v>
      </c>
      <c r="AL406" s="367">
        <v>0</v>
      </c>
      <c r="AM406" s="367">
        <v>0</v>
      </c>
      <c r="AN406" s="367">
        <v>0</v>
      </c>
      <c r="AO406" s="295">
        <v>0</v>
      </c>
      <c r="AP406" s="295">
        <v>0</v>
      </c>
      <c r="AQ406" s="295">
        <v>0</v>
      </c>
      <c r="AR406" s="387">
        <v>0</v>
      </c>
      <c r="AS406" s="295">
        <f t="shared" si="716"/>
        <v>0</v>
      </c>
      <c r="AT406" s="408" t="s">
        <v>718</v>
      </c>
    </row>
    <row r="407" spans="1:46" ht="145" hidden="1" customHeight="1" outlineLevel="1" x14ac:dyDescent="0.35">
      <c r="A407" s="590">
        <v>17</v>
      </c>
      <c r="B407" s="612" t="s">
        <v>133</v>
      </c>
      <c r="C407" s="607" t="s">
        <v>133</v>
      </c>
      <c r="D407" s="63">
        <v>44232</v>
      </c>
      <c r="E407" s="444" t="s">
        <v>716</v>
      </c>
      <c r="F407" s="497" t="s">
        <v>678</v>
      </c>
      <c r="G407" s="71" t="s">
        <v>27</v>
      </c>
      <c r="H407" s="310" t="s">
        <v>130</v>
      </c>
      <c r="I407" s="334"/>
      <c r="J407" s="283"/>
      <c r="K407" s="294">
        <f t="shared" si="692"/>
        <v>1.0628930000000001</v>
      </c>
      <c r="L407" s="20">
        <f t="shared" ref="L407:N413" si="717">-V407</f>
        <v>0</v>
      </c>
      <c r="M407" s="95">
        <f t="shared" si="717"/>
        <v>0</v>
      </c>
      <c r="N407" s="94">
        <f t="shared" si="693"/>
        <v>1.0628930000000001</v>
      </c>
      <c r="O407" s="94">
        <f t="shared" si="709"/>
        <v>1.0628930000000001</v>
      </c>
      <c r="P407" s="94">
        <f t="shared" si="710"/>
        <v>1.0628930000000001</v>
      </c>
      <c r="Q407" s="94">
        <f t="shared" si="711"/>
        <v>0</v>
      </c>
      <c r="R407" s="94">
        <f t="shared" si="712"/>
        <v>0</v>
      </c>
      <c r="S407" s="94">
        <f t="shared" si="713"/>
        <v>0</v>
      </c>
      <c r="T407" s="94">
        <f t="shared" si="714"/>
        <v>0</v>
      </c>
      <c r="U407" s="402">
        <f t="shared" si="715"/>
        <v>0</v>
      </c>
      <c r="V407" s="573">
        <v>0</v>
      </c>
      <c r="W407" s="326">
        <v>0</v>
      </c>
      <c r="X407" s="207">
        <f>-1.062893</f>
        <v>-1.0628930000000001</v>
      </c>
      <c r="Y407" s="132">
        <f>-1.062893</f>
        <v>-1.0628930000000001</v>
      </c>
      <c r="Z407" s="132">
        <v>-1.0628930000000001</v>
      </c>
      <c r="AA407" s="132">
        <v>-1.0628930000000001</v>
      </c>
      <c r="AB407" s="60">
        <v>-1.0628930000000001</v>
      </c>
      <c r="AC407" s="207">
        <v>0</v>
      </c>
      <c r="AD407" s="132">
        <v>0</v>
      </c>
      <c r="AE407" s="132">
        <v>0</v>
      </c>
      <c r="AF407" s="132">
        <v>0</v>
      </c>
      <c r="AG407" s="132">
        <v>0</v>
      </c>
      <c r="AH407" s="132">
        <v>0</v>
      </c>
      <c r="AI407" s="912">
        <v>0</v>
      </c>
      <c r="AJ407" s="207">
        <v>0</v>
      </c>
      <c r="AK407" s="367">
        <v>0</v>
      </c>
      <c r="AL407" s="367">
        <v>0</v>
      </c>
      <c r="AM407" s="367">
        <v>0</v>
      </c>
      <c r="AN407" s="367">
        <v>0</v>
      </c>
      <c r="AO407" s="295">
        <v>0</v>
      </c>
      <c r="AP407" s="295">
        <v>0</v>
      </c>
      <c r="AQ407" s="295">
        <v>0</v>
      </c>
      <c r="AR407" s="912">
        <v>0</v>
      </c>
      <c r="AS407" s="925">
        <f t="shared" ref="AS407:AS413" si="718">-AR407</f>
        <v>0</v>
      </c>
      <c r="AT407" s="408" t="s">
        <v>717</v>
      </c>
    </row>
    <row r="408" spans="1:46" ht="116.15" hidden="1" customHeight="1" outlineLevel="1" x14ac:dyDescent="0.35">
      <c r="A408" s="590">
        <v>18</v>
      </c>
      <c r="B408" s="612" t="s">
        <v>133</v>
      </c>
      <c r="C408" s="607" t="s">
        <v>133</v>
      </c>
      <c r="D408" s="63">
        <v>44260</v>
      </c>
      <c r="E408" s="444" t="s">
        <v>1187</v>
      </c>
      <c r="F408" s="497" t="s">
        <v>1186</v>
      </c>
      <c r="G408" s="71" t="s">
        <v>27</v>
      </c>
      <c r="H408" s="310" t="s">
        <v>130</v>
      </c>
      <c r="I408" s="334"/>
      <c r="J408" s="283"/>
      <c r="K408" s="294">
        <f t="shared" si="692"/>
        <v>1.1412910000000001</v>
      </c>
      <c r="L408" s="20">
        <f t="shared" si="717"/>
        <v>0</v>
      </c>
      <c r="M408" s="95">
        <f t="shared" si="717"/>
        <v>0</v>
      </c>
      <c r="N408" s="94">
        <f t="shared" si="717"/>
        <v>1.1412910000000001</v>
      </c>
      <c r="O408" s="94">
        <f t="shared" si="709"/>
        <v>1.1412910000000001</v>
      </c>
      <c r="P408" s="94">
        <f t="shared" si="710"/>
        <v>1.1412910000000001</v>
      </c>
      <c r="Q408" s="94">
        <f t="shared" si="711"/>
        <v>0</v>
      </c>
      <c r="R408" s="94">
        <f t="shared" si="712"/>
        <v>0</v>
      </c>
      <c r="S408" s="94">
        <f t="shared" si="713"/>
        <v>0</v>
      </c>
      <c r="T408" s="94">
        <f t="shared" si="714"/>
        <v>0</v>
      </c>
      <c r="U408" s="402">
        <f t="shared" si="715"/>
        <v>0</v>
      </c>
      <c r="V408" s="573">
        <v>0</v>
      </c>
      <c r="W408" s="326">
        <v>0</v>
      </c>
      <c r="X408" s="207">
        <f>-1.141291</f>
        <v>-1.1412910000000001</v>
      </c>
      <c r="Y408" s="132">
        <f>-1.141291</f>
        <v>-1.1412910000000001</v>
      </c>
      <c r="Z408" s="132">
        <v>-1.1412910000000001</v>
      </c>
      <c r="AA408" s="132">
        <v>-1.1412910000000001</v>
      </c>
      <c r="AB408" s="60">
        <v>-1.1412910000000001</v>
      </c>
      <c r="AC408" s="207">
        <v>0</v>
      </c>
      <c r="AD408" s="132">
        <v>0</v>
      </c>
      <c r="AE408" s="132">
        <v>0</v>
      </c>
      <c r="AF408" s="132">
        <v>0</v>
      </c>
      <c r="AG408" s="132">
        <v>0</v>
      </c>
      <c r="AH408" s="132">
        <v>0</v>
      </c>
      <c r="AI408" s="912">
        <v>0</v>
      </c>
      <c r="AJ408" s="207">
        <v>0</v>
      </c>
      <c r="AK408" s="367">
        <v>0</v>
      </c>
      <c r="AL408" s="367">
        <v>0</v>
      </c>
      <c r="AM408" s="367">
        <v>0</v>
      </c>
      <c r="AN408" s="367">
        <v>0</v>
      </c>
      <c r="AO408" s="295">
        <v>0</v>
      </c>
      <c r="AP408" s="295">
        <v>0</v>
      </c>
      <c r="AQ408" s="295">
        <v>0</v>
      </c>
      <c r="AR408" s="912">
        <v>0</v>
      </c>
      <c r="AS408" s="925">
        <f t="shared" si="718"/>
        <v>0</v>
      </c>
      <c r="AT408" s="408" t="s">
        <v>1185</v>
      </c>
    </row>
    <row r="409" spans="1:46" ht="116.15" hidden="1" customHeight="1" outlineLevel="1" x14ac:dyDescent="0.35">
      <c r="A409" s="590">
        <v>19</v>
      </c>
      <c r="B409" s="612" t="s">
        <v>133</v>
      </c>
      <c r="C409" s="607" t="s">
        <v>133</v>
      </c>
      <c r="D409" s="63">
        <v>44292</v>
      </c>
      <c r="E409" s="444" t="s">
        <v>1325</v>
      </c>
      <c r="F409" s="497" t="s">
        <v>1225</v>
      </c>
      <c r="G409" s="71" t="s">
        <v>27</v>
      </c>
      <c r="H409" s="310" t="s">
        <v>130</v>
      </c>
      <c r="I409" s="334"/>
      <c r="J409" s="283"/>
      <c r="K409" s="294">
        <f t="shared" si="692"/>
        <v>0.77635500000000002</v>
      </c>
      <c r="L409" s="20">
        <f t="shared" si="717"/>
        <v>0</v>
      </c>
      <c r="M409" s="95">
        <f t="shared" ref="M409:M412" si="719">-W409</f>
        <v>0</v>
      </c>
      <c r="N409" s="94">
        <f t="shared" ref="N409:N412" si="720">-X409</f>
        <v>0.77635500000000002</v>
      </c>
      <c r="O409" s="94">
        <f t="shared" si="709"/>
        <v>0.77635500000000002</v>
      </c>
      <c r="P409" s="94">
        <f t="shared" si="710"/>
        <v>0.77635500000000002</v>
      </c>
      <c r="Q409" s="94">
        <f t="shared" si="711"/>
        <v>0</v>
      </c>
      <c r="R409" s="94">
        <f t="shared" si="712"/>
        <v>0</v>
      </c>
      <c r="S409" s="94">
        <f t="shared" si="713"/>
        <v>0</v>
      </c>
      <c r="T409" s="94">
        <f t="shared" si="714"/>
        <v>0</v>
      </c>
      <c r="U409" s="402">
        <f t="shared" si="715"/>
        <v>0</v>
      </c>
      <c r="V409" s="573">
        <v>0</v>
      </c>
      <c r="W409" s="326">
        <v>0</v>
      </c>
      <c r="X409" s="207">
        <f>-0.776355</f>
        <v>-0.77635500000000002</v>
      </c>
      <c r="Y409" s="132">
        <v>0</v>
      </c>
      <c r="Z409" s="132">
        <v>-0.77635500000000002</v>
      </c>
      <c r="AA409" s="132">
        <v>-0.77635500000000002</v>
      </c>
      <c r="AB409" s="60">
        <v>-0.77635500000000002</v>
      </c>
      <c r="AC409" s="207">
        <v>0</v>
      </c>
      <c r="AD409" s="132">
        <v>0</v>
      </c>
      <c r="AE409" s="132">
        <v>0</v>
      </c>
      <c r="AF409" s="132">
        <v>0</v>
      </c>
      <c r="AG409" s="132">
        <v>0</v>
      </c>
      <c r="AH409" s="132">
        <v>0</v>
      </c>
      <c r="AI409" s="912">
        <v>0</v>
      </c>
      <c r="AJ409" s="207">
        <v>0</v>
      </c>
      <c r="AK409" s="367">
        <v>0</v>
      </c>
      <c r="AL409" s="367">
        <v>0</v>
      </c>
      <c r="AM409" s="367">
        <v>0</v>
      </c>
      <c r="AN409" s="367">
        <v>0</v>
      </c>
      <c r="AO409" s="295">
        <v>0</v>
      </c>
      <c r="AP409" s="295">
        <v>0</v>
      </c>
      <c r="AQ409" s="295">
        <v>0</v>
      </c>
      <c r="AR409" s="912">
        <v>0</v>
      </c>
      <c r="AS409" s="925">
        <f t="shared" si="718"/>
        <v>0</v>
      </c>
      <c r="AT409" s="408" t="s">
        <v>1226</v>
      </c>
    </row>
    <row r="410" spans="1:46" ht="153" hidden="1" customHeight="1" outlineLevel="1" x14ac:dyDescent="0.35">
      <c r="A410" s="590">
        <v>20</v>
      </c>
      <c r="B410" s="612" t="s">
        <v>133</v>
      </c>
      <c r="C410" s="607" t="s">
        <v>133</v>
      </c>
      <c r="D410" s="265" t="s">
        <v>1480</v>
      </c>
      <c r="E410" s="444" t="s">
        <v>1445</v>
      </c>
      <c r="F410" s="498" t="s">
        <v>1481</v>
      </c>
      <c r="G410" s="71" t="s">
        <v>27</v>
      </c>
      <c r="H410" s="310" t="s">
        <v>130</v>
      </c>
      <c r="I410" s="334"/>
      <c r="J410" s="283"/>
      <c r="K410" s="294">
        <f t="shared" si="692"/>
        <v>0.117188</v>
      </c>
      <c r="L410" s="20">
        <f t="shared" si="717"/>
        <v>0</v>
      </c>
      <c r="M410" s="95">
        <f t="shared" si="719"/>
        <v>0</v>
      </c>
      <c r="N410" s="94">
        <f>-X410</f>
        <v>0.117188</v>
      </c>
      <c r="O410" s="94">
        <f t="shared" si="709"/>
        <v>0.117188</v>
      </c>
      <c r="P410" s="94">
        <f t="shared" si="710"/>
        <v>0.117188</v>
      </c>
      <c r="Q410" s="94">
        <f t="shared" si="711"/>
        <v>0</v>
      </c>
      <c r="R410" s="94">
        <f t="shared" si="712"/>
        <v>0</v>
      </c>
      <c r="S410" s="94">
        <f t="shared" si="713"/>
        <v>0</v>
      </c>
      <c r="T410" s="94">
        <f t="shared" si="714"/>
        <v>0</v>
      </c>
      <c r="U410" s="402">
        <f t="shared" si="715"/>
        <v>0</v>
      </c>
      <c r="V410" s="573">
        <v>0</v>
      </c>
      <c r="W410" s="326">
        <v>0</v>
      </c>
      <c r="X410" s="207">
        <f>-0.105795-0.011393</f>
        <v>-0.117188</v>
      </c>
      <c r="Y410" s="132">
        <v>0</v>
      </c>
      <c r="Z410" s="132">
        <v>-0.117188</v>
      </c>
      <c r="AA410" s="132">
        <v>-0.117188</v>
      </c>
      <c r="AB410" s="60">
        <v>-0.117188</v>
      </c>
      <c r="AC410" s="207">
        <v>0</v>
      </c>
      <c r="AD410" s="132">
        <v>0</v>
      </c>
      <c r="AE410" s="132">
        <v>0</v>
      </c>
      <c r="AF410" s="132">
        <v>0</v>
      </c>
      <c r="AG410" s="132">
        <v>0</v>
      </c>
      <c r="AH410" s="132">
        <v>0</v>
      </c>
      <c r="AI410" s="912">
        <v>0</v>
      </c>
      <c r="AJ410" s="207">
        <v>0</v>
      </c>
      <c r="AK410" s="367">
        <v>0</v>
      </c>
      <c r="AL410" s="367">
        <v>0</v>
      </c>
      <c r="AM410" s="367">
        <v>0</v>
      </c>
      <c r="AN410" s="367">
        <v>0</v>
      </c>
      <c r="AO410" s="295">
        <v>0</v>
      </c>
      <c r="AP410" s="295">
        <v>0</v>
      </c>
      <c r="AQ410" s="295">
        <v>0</v>
      </c>
      <c r="AR410" s="912">
        <v>0</v>
      </c>
      <c r="AS410" s="925">
        <f t="shared" si="718"/>
        <v>0</v>
      </c>
      <c r="AT410" s="408" t="s">
        <v>1538</v>
      </c>
    </row>
    <row r="411" spans="1:46" ht="101.15" hidden="1" customHeight="1" outlineLevel="1" x14ac:dyDescent="0.35">
      <c r="A411" s="590">
        <v>21</v>
      </c>
      <c r="B411" s="612" t="s">
        <v>133</v>
      </c>
      <c r="C411" s="607" t="s">
        <v>133</v>
      </c>
      <c r="D411" s="63">
        <v>44329</v>
      </c>
      <c r="E411" s="444" t="s">
        <v>1446</v>
      </c>
      <c r="F411" s="497" t="s">
        <v>1369</v>
      </c>
      <c r="G411" s="71" t="s">
        <v>27</v>
      </c>
      <c r="H411" s="310" t="s">
        <v>130</v>
      </c>
      <c r="I411" s="334"/>
      <c r="J411" s="283"/>
      <c r="K411" s="294">
        <f t="shared" si="692"/>
        <v>0.85074099999999997</v>
      </c>
      <c r="L411" s="20">
        <f t="shared" si="717"/>
        <v>0</v>
      </c>
      <c r="M411" s="95">
        <f t="shared" si="719"/>
        <v>0</v>
      </c>
      <c r="N411" s="94">
        <f t="shared" si="720"/>
        <v>0.85074099999999997</v>
      </c>
      <c r="O411" s="94">
        <f t="shared" si="709"/>
        <v>0.85074099999999997</v>
      </c>
      <c r="P411" s="94">
        <f t="shared" si="710"/>
        <v>0.85074099999999997</v>
      </c>
      <c r="Q411" s="94">
        <f t="shared" si="711"/>
        <v>0</v>
      </c>
      <c r="R411" s="94">
        <f t="shared" si="712"/>
        <v>0</v>
      </c>
      <c r="S411" s="94">
        <f t="shared" si="713"/>
        <v>0</v>
      </c>
      <c r="T411" s="94">
        <f t="shared" si="714"/>
        <v>0</v>
      </c>
      <c r="U411" s="402">
        <f t="shared" si="715"/>
        <v>0</v>
      </c>
      <c r="V411" s="573">
        <v>0</v>
      </c>
      <c r="W411" s="326">
        <v>0</v>
      </c>
      <c r="X411" s="207">
        <v>-0.85074099999999997</v>
      </c>
      <c r="Y411" s="132">
        <v>0</v>
      </c>
      <c r="Z411" s="132">
        <v>-0.85074099999999997</v>
      </c>
      <c r="AA411" s="132">
        <v>-0.85074099999999997</v>
      </c>
      <c r="AB411" s="60">
        <v>-0.85074099999999997</v>
      </c>
      <c r="AC411" s="207">
        <v>0</v>
      </c>
      <c r="AD411" s="132">
        <v>0</v>
      </c>
      <c r="AE411" s="132">
        <v>0</v>
      </c>
      <c r="AF411" s="132">
        <v>0</v>
      </c>
      <c r="AG411" s="132">
        <v>0</v>
      </c>
      <c r="AH411" s="132">
        <v>0</v>
      </c>
      <c r="AI411" s="912">
        <v>0</v>
      </c>
      <c r="AJ411" s="207">
        <v>0</v>
      </c>
      <c r="AK411" s="367">
        <v>0</v>
      </c>
      <c r="AL411" s="367">
        <v>0</v>
      </c>
      <c r="AM411" s="367">
        <v>0</v>
      </c>
      <c r="AN411" s="367">
        <v>0</v>
      </c>
      <c r="AO411" s="295">
        <v>0</v>
      </c>
      <c r="AP411" s="295">
        <v>0</v>
      </c>
      <c r="AQ411" s="295">
        <v>0</v>
      </c>
      <c r="AR411" s="912">
        <v>0</v>
      </c>
      <c r="AS411" s="925">
        <f t="shared" si="718"/>
        <v>0</v>
      </c>
      <c r="AT411" s="408" t="s">
        <v>1368</v>
      </c>
    </row>
    <row r="412" spans="1:46" ht="139.5" hidden="1" customHeight="1" outlineLevel="1" x14ac:dyDescent="0.35">
      <c r="A412" s="590">
        <v>22</v>
      </c>
      <c r="B412" s="612" t="s">
        <v>133</v>
      </c>
      <c r="C412" s="607" t="s">
        <v>133</v>
      </c>
      <c r="D412" s="63">
        <v>44355</v>
      </c>
      <c r="E412" s="444" t="s">
        <v>1463</v>
      </c>
      <c r="F412" s="497" t="s">
        <v>1554</v>
      </c>
      <c r="G412" s="71" t="s">
        <v>27</v>
      </c>
      <c r="H412" s="310" t="s">
        <v>130</v>
      </c>
      <c r="I412" s="334"/>
      <c r="J412" s="283"/>
      <c r="K412" s="294">
        <f t="shared" si="692"/>
        <v>4.4883870000000003</v>
      </c>
      <c r="L412" s="20">
        <f t="shared" si="717"/>
        <v>0</v>
      </c>
      <c r="M412" s="95">
        <f t="shared" si="719"/>
        <v>0</v>
      </c>
      <c r="N412" s="94">
        <f t="shared" si="720"/>
        <v>4.4883870000000003</v>
      </c>
      <c r="O412" s="94">
        <f t="shared" si="709"/>
        <v>4.4883870000000003</v>
      </c>
      <c r="P412" s="94">
        <f t="shared" si="710"/>
        <v>4.4883870000000003</v>
      </c>
      <c r="Q412" s="94">
        <f t="shared" si="711"/>
        <v>0</v>
      </c>
      <c r="R412" s="94">
        <f t="shared" ref="R412" si="721">-AC412</f>
        <v>0</v>
      </c>
      <c r="S412" s="94">
        <f t="shared" si="713"/>
        <v>0</v>
      </c>
      <c r="T412" s="94">
        <f t="shared" ref="T412" si="722">-AJ412</f>
        <v>0</v>
      </c>
      <c r="U412" s="402">
        <f t="shared" ref="U412" si="723">-AQ412</f>
        <v>0</v>
      </c>
      <c r="V412" s="573">
        <v>0</v>
      </c>
      <c r="W412" s="326">
        <v>0</v>
      </c>
      <c r="X412" s="207">
        <v>-4.4883870000000003</v>
      </c>
      <c r="Y412" s="132">
        <v>0</v>
      </c>
      <c r="Z412" s="132">
        <v>-4.4883870000000003</v>
      </c>
      <c r="AA412" s="132">
        <v>-4.4883870000000003</v>
      </c>
      <c r="AB412" s="60">
        <v>-4.4883870000000003</v>
      </c>
      <c r="AC412" s="207">
        <v>0</v>
      </c>
      <c r="AD412" s="132">
        <v>0</v>
      </c>
      <c r="AE412" s="132">
        <v>0</v>
      </c>
      <c r="AF412" s="132">
        <v>0</v>
      </c>
      <c r="AG412" s="132">
        <v>0</v>
      </c>
      <c r="AH412" s="132">
        <v>0</v>
      </c>
      <c r="AI412" s="912">
        <v>0</v>
      </c>
      <c r="AJ412" s="207">
        <v>0</v>
      </c>
      <c r="AK412" s="367">
        <v>0</v>
      </c>
      <c r="AL412" s="367">
        <v>0</v>
      </c>
      <c r="AM412" s="367">
        <v>0</v>
      </c>
      <c r="AN412" s="367">
        <v>0</v>
      </c>
      <c r="AO412" s="295">
        <v>0</v>
      </c>
      <c r="AP412" s="295">
        <v>0</v>
      </c>
      <c r="AQ412" s="295">
        <v>0</v>
      </c>
      <c r="AR412" s="912">
        <v>0</v>
      </c>
      <c r="AS412" s="925">
        <f t="shared" ref="AS412" si="724">-AR412</f>
        <v>0</v>
      </c>
      <c r="AT412" s="408" t="s">
        <v>1462</v>
      </c>
    </row>
    <row r="413" spans="1:46" ht="128.5" hidden="1" customHeight="1" outlineLevel="1" x14ac:dyDescent="0.35">
      <c r="A413" s="590">
        <v>23</v>
      </c>
      <c r="B413" s="612" t="s">
        <v>133</v>
      </c>
      <c r="C413" s="607" t="s">
        <v>133</v>
      </c>
      <c r="D413" s="63">
        <v>44418</v>
      </c>
      <c r="E413" s="432" t="s">
        <v>1608</v>
      </c>
      <c r="F413" s="497" t="s">
        <v>1558</v>
      </c>
      <c r="G413" s="71" t="s">
        <v>27</v>
      </c>
      <c r="H413" s="310" t="s">
        <v>130</v>
      </c>
      <c r="I413" s="334"/>
      <c r="J413" s="283"/>
      <c r="K413" s="294">
        <f t="shared" si="692"/>
        <v>0.65043499999999999</v>
      </c>
      <c r="L413" s="20">
        <f t="shared" si="708"/>
        <v>0</v>
      </c>
      <c r="M413" s="95">
        <f t="shared" si="717"/>
        <v>0</v>
      </c>
      <c r="N413" s="94">
        <f t="shared" si="717"/>
        <v>0.65043499999999999</v>
      </c>
      <c r="O413" s="94">
        <f t="shared" si="709"/>
        <v>0.65043499999999999</v>
      </c>
      <c r="P413" s="94">
        <f t="shared" si="710"/>
        <v>0.65043499999999999</v>
      </c>
      <c r="Q413" s="94">
        <f t="shared" si="711"/>
        <v>0</v>
      </c>
      <c r="R413" s="94">
        <f t="shared" si="712"/>
        <v>0</v>
      </c>
      <c r="S413" s="94">
        <f t="shared" si="713"/>
        <v>0</v>
      </c>
      <c r="T413" s="94">
        <f t="shared" si="714"/>
        <v>0</v>
      </c>
      <c r="U413" s="402">
        <f t="shared" si="715"/>
        <v>0</v>
      </c>
      <c r="V413" s="573">
        <v>0</v>
      </c>
      <c r="W413" s="326">
        <v>0</v>
      </c>
      <c r="X413" s="207">
        <f>-0.650435</f>
        <v>-0.65043499999999999</v>
      </c>
      <c r="Y413" s="132">
        <v>0</v>
      </c>
      <c r="Z413" s="132">
        <v>0</v>
      </c>
      <c r="AA413" s="132">
        <v>0</v>
      </c>
      <c r="AB413" s="60">
        <v>-0.65043499999999999</v>
      </c>
      <c r="AC413" s="207">
        <v>0</v>
      </c>
      <c r="AD413" s="132">
        <v>0</v>
      </c>
      <c r="AE413" s="132">
        <v>0</v>
      </c>
      <c r="AF413" s="132">
        <v>0</v>
      </c>
      <c r="AG413" s="132">
        <v>0</v>
      </c>
      <c r="AH413" s="132">
        <v>0</v>
      </c>
      <c r="AI413" s="912">
        <v>0</v>
      </c>
      <c r="AJ413" s="207">
        <v>0</v>
      </c>
      <c r="AK413" s="367">
        <v>0</v>
      </c>
      <c r="AL413" s="367">
        <v>0</v>
      </c>
      <c r="AM413" s="367">
        <v>0</v>
      </c>
      <c r="AN413" s="367">
        <v>0</v>
      </c>
      <c r="AO413" s="295">
        <v>0</v>
      </c>
      <c r="AP413" s="295">
        <v>0</v>
      </c>
      <c r="AQ413" s="295">
        <v>0</v>
      </c>
      <c r="AR413" s="912">
        <v>0</v>
      </c>
      <c r="AS413" s="925">
        <f t="shared" si="718"/>
        <v>0</v>
      </c>
      <c r="AT413" s="408" t="s">
        <v>1559</v>
      </c>
    </row>
    <row r="414" spans="1:46" ht="58" hidden="1" customHeight="1" outlineLevel="1" x14ac:dyDescent="0.35">
      <c r="A414" s="590">
        <v>24</v>
      </c>
      <c r="B414" s="612" t="s">
        <v>193</v>
      </c>
      <c r="C414" s="604" t="s">
        <v>193</v>
      </c>
      <c r="D414" s="63">
        <v>43965</v>
      </c>
      <c r="E414" s="432" t="s">
        <v>279</v>
      </c>
      <c r="F414" s="480" t="s">
        <v>278</v>
      </c>
      <c r="G414" s="71" t="s">
        <v>192</v>
      </c>
      <c r="H414" s="310" t="s">
        <v>127</v>
      </c>
      <c r="I414" s="334"/>
      <c r="J414" s="283"/>
      <c r="K414" s="294">
        <f t="shared" si="692"/>
        <v>6.8476999999999996E-2</v>
      </c>
      <c r="L414" s="20">
        <f t="shared" ref="L414:N425" si="725">-V414</f>
        <v>0.2364</v>
      </c>
      <c r="M414" s="95">
        <f t="shared" si="725"/>
        <v>6.8476999999999996E-2</v>
      </c>
      <c r="N414" s="94">
        <f t="shared" si="725"/>
        <v>0</v>
      </c>
      <c r="O414" s="94">
        <f t="shared" si="709"/>
        <v>0</v>
      </c>
      <c r="P414" s="94">
        <f t="shared" si="710"/>
        <v>0</v>
      </c>
      <c r="Q414" s="94">
        <f t="shared" si="711"/>
        <v>0</v>
      </c>
      <c r="R414" s="94">
        <f t="shared" si="712"/>
        <v>0</v>
      </c>
      <c r="S414" s="94">
        <f t="shared" si="713"/>
        <v>0</v>
      </c>
      <c r="T414" s="94">
        <f t="shared" si="714"/>
        <v>0</v>
      </c>
      <c r="U414" s="402">
        <f t="shared" si="715"/>
        <v>0</v>
      </c>
      <c r="V414" s="573">
        <v>-0.2364</v>
      </c>
      <c r="W414" s="326">
        <v>-6.8476999999999996E-2</v>
      </c>
      <c r="X414" s="207">
        <v>0</v>
      </c>
      <c r="Y414" s="132">
        <v>0</v>
      </c>
      <c r="Z414" s="132">
        <v>0</v>
      </c>
      <c r="AA414" s="132">
        <v>0</v>
      </c>
      <c r="AB414" s="207">
        <v>0</v>
      </c>
      <c r="AC414" s="207">
        <v>0</v>
      </c>
      <c r="AD414" s="132">
        <v>0</v>
      </c>
      <c r="AE414" s="132">
        <v>0</v>
      </c>
      <c r="AF414" s="132">
        <v>0</v>
      </c>
      <c r="AG414" s="132">
        <v>0</v>
      </c>
      <c r="AH414" s="132">
        <v>0</v>
      </c>
      <c r="AI414" s="387">
        <v>0</v>
      </c>
      <c r="AJ414" s="207">
        <v>0</v>
      </c>
      <c r="AK414" s="367">
        <v>0</v>
      </c>
      <c r="AL414" s="367">
        <v>0</v>
      </c>
      <c r="AM414" s="367">
        <v>0</v>
      </c>
      <c r="AN414" s="367">
        <v>0</v>
      </c>
      <c r="AO414" s="295">
        <v>0</v>
      </c>
      <c r="AP414" s="295">
        <v>0</v>
      </c>
      <c r="AQ414" s="295">
        <v>0</v>
      </c>
      <c r="AR414" s="387">
        <v>0</v>
      </c>
      <c r="AS414" s="295">
        <f t="shared" si="716"/>
        <v>0</v>
      </c>
      <c r="AT414" s="408" t="s">
        <v>278</v>
      </c>
    </row>
    <row r="415" spans="1:46" ht="87" hidden="1" customHeight="1" outlineLevel="1" x14ac:dyDescent="0.35">
      <c r="A415" s="590">
        <v>25</v>
      </c>
      <c r="B415" s="612" t="s">
        <v>193</v>
      </c>
      <c r="C415" s="604" t="s">
        <v>193</v>
      </c>
      <c r="D415" s="63">
        <v>44287</v>
      </c>
      <c r="E415" s="432" t="s">
        <v>1337</v>
      </c>
      <c r="F415" s="480" t="s">
        <v>1229</v>
      </c>
      <c r="G415" s="71" t="s">
        <v>192</v>
      </c>
      <c r="H415" s="310" t="s">
        <v>127</v>
      </c>
      <c r="I415" s="334"/>
      <c r="J415" s="283"/>
      <c r="K415" s="294">
        <f t="shared" si="692"/>
        <v>0.12484099999999999</v>
      </c>
      <c r="L415" s="20">
        <f t="shared" si="725"/>
        <v>0</v>
      </c>
      <c r="M415" s="95">
        <f t="shared" si="725"/>
        <v>0</v>
      </c>
      <c r="N415" s="94">
        <f t="shared" si="725"/>
        <v>0.25390000000000001</v>
      </c>
      <c r="O415" s="94">
        <f t="shared" si="709"/>
        <v>0.25390000000000001</v>
      </c>
      <c r="P415" s="94">
        <f t="shared" si="710"/>
        <v>0.12484099999999999</v>
      </c>
      <c r="Q415" s="94">
        <f t="shared" si="711"/>
        <v>0</v>
      </c>
      <c r="R415" s="94">
        <f t="shared" si="712"/>
        <v>0</v>
      </c>
      <c r="S415" s="94">
        <f t="shared" si="713"/>
        <v>0</v>
      </c>
      <c r="T415" s="94">
        <f t="shared" si="714"/>
        <v>0</v>
      </c>
      <c r="U415" s="402">
        <f t="shared" si="715"/>
        <v>0</v>
      </c>
      <c r="V415" s="573">
        <v>0</v>
      </c>
      <c r="W415" s="326">
        <v>0</v>
      </c>
      <c r="X415" s="207">
        <v>-0.25390000000000001</v>
      </c>
      <c r="Y415" s="132">
        <v>0</v>
      </c>
      <c r="Z415" s="132">
        <v>-0.25390000000000001</v>
      </c>
      <c r="AA415" s="132">
        <v>-0.25390000000000001</v>
      </c>
      <c r="AB415" s="207">
        <v>-0.12484099999999999</v>
      </c>
      <c r="AC415" s="207">
        <v>0</v>
      </c>
      <c r="AD415" s="132">
        <v>0</v>
      </c>
      <c r="AE415" s="132">
        <v>0</v>
      </c>
      <c r="AF415" s="132">
        <v>0</v>
      </c>
      <c r="AG415" s="132">
        <v>0</v>
      </c>
      <c r="AH415" s="132">
        <v>0</v>
      </c>
      <c r="AI415" s="387">
        <v>0</v>
      </c>
      <c r="AJ415" s="207">
        <v>0</v>
      </c>
      <c r="AK415" s="367">
        <v>0</v>
      </c>
      <c r="AL415" s="367">
        <v>0</v>
      </c>
      <c r="AM415" s="367">
        <v>0</v>
      </c>
      <c r="AN415" s="367">
        <v>0</v>
      </c>
      <c r="AO415" s="295">
        <v>0</v>
      </c>
      <c r="AP415" s="295">
        <v>0</v>
      </c>
      <c r="AQ415" s="295">
        <v>0</v>
      </c>
      <c r="AR415" s="387">
        <v>0</v>
      </c>
      <c r="AS415" s="295">
        <f t="shared" si="716"/>
        <v>0</v>
      </c>
      <c r="AT415" s="408" t="s">
        <v>1230</v>
      </c>
    </row>
    <row r="416" spans="1:46" ht="58" hidden="1" customHeight="1" outlineLevel="1" x14ac:dyDescent="0.35">
      <c r="A416" s="590">
        <v>26</v>
      </c>
      <c r="B416" s="612" t="s">
        <v>609</v>
      </c>
      <c r="C416" s="604" t="s">
        <v>609</v>
      </c>
      <c r="D416" s="63">
        <v>43959</v>
      </c>
      <c r="E416" s="432" t="s">
        <v>199</v>
      </c>
      <c r="F416" s="480" t="s">
        <v>231</v>
      </c>
      <c r="G416" s="71" t="s">
        <v>192</v>
      </c>
      <c r="H416" s="310" t="s">
        <v>127</v>
      </c>
      <c r="I416" s="334"/>
      <c r="J416" s="283"/>
      <c r="K416" s="294">
        <f t="shared" si="692"/>
        <v>2.4995E-2</v>
      </c>
      <c r="L416" s="20">
        <f t="shared" si="725"/>
        <v>2.4995E-2</v>
      </c>
      <c r="M416" s="95">
        <f t="shared" si="725"/>
        <v>2.4995E-2</v>
      </c>
      <c r="N416" s="94">
        <f t="shared" si="725"/>
        <v>0</v>
      </c>
      <c r="O416" s="94">
        <f t="shared" si="709"/>
        <v>0</v>
      </c>
      <c r="P416" s="94">
        <f t="shared" si="710"/>
        <v>0</v>
      </c>
      <c r="Q416" s="94">
        <f t="shared" si="711"/>
        <v>0</v>
      </c>
      <c r="R416" s="94">
        <f t="shared" si="712"/>
        <v>0</v>
      </c>
      <c r="S416" s="94">
        <f t="shared" si="713"/>
        <v>0</v>
      </c>
      <c r="T416" s="94">
        <f t="shared" si="714"/>
        <v>0</v>
      </c>
      <c r="U416" s="402">
        <f t="shared" si="715"/>
        <v>0</v>
      </c>
      <c r="V416" s="573">
        <v>-2.4995E-2</v>
      </c>
      <c r="W416" s="326">
        <v>-2.4995E-2</v>
      </c>
      <c r="X416" s="207">
        <v>0</v>
      </c>
      <c r="Y416" s="132">
        <v>0</v>
      </c>
      <c r="Z416" s="132">
        <v>0</v>
      </c>
      <c r="AA416" s="132">
        <v>0</v>
      </c>
      <c r="AB416" s="207">
        <v>0</v>
      </c>
      <c r="AC416" s="207">
        <v>0</v>
      </c>
      <c r="AD416" s="132">
        <v>0</v>
      </c>
      <c r="AE416" s="132">
        <v>0</v>
      </c>
      <c r="AF416" s="132">
        <v>0</v>
      </c>
      <c r="AG416" s="132">
        <v>0</v>
      </c>
      <c r="AH416" s="132">
        <v>0</v>
      </c>
      <c r="AI416" s="387">
        <v>0</v>
      </c>
      <c r="AJ416" s="207">
        <v>0</v>
      </c>
      <c r="AK416" s="367">
        <v>0</v>
      </c>
      <c r="AL416" s="367">
        <v>0</v>
      </c>
      <c r="AM416" s="367">
        <v>0</v>
      </c>
      <c r="AN416" s="367">
        <v>0</v>
      </c>
      <c r="AO416" s="295">
        <v>0</v>
      </c>
      <c r="AP416" s="295">
        <v>0</v>
      </c>
      <c r="AQ416" s="295">
        <v>0</v>
      </c>
      <c r="AR416" s="387">
        <v>0</v>
      </c>
      <c r="AS416" s="295">
        <f t="shared" si="716"/>
        <v>0</v>
      </c>
      <c r="AT416" s="408" t="s">
        <v>198</v>
      </c>
    </row>
    <row r="417" spans="1:46" ht="29.15" hidden="1" customHeight="1" outlineLevel="1" x14ac:dyDescent="0.35">
      <c r="A417" s="590">
        <v>27</v>
      </c>
      <c r="B417" s="612" t="s">
        <v>609</v>
      </c>
      <c r="C417" s="604" t="s">
        <v>609</v>
      </c>
      <c r="D417" s="63">
        <v>44076</v>
      </c>
      <c r="E417" s="432" t="s">
        <v>215</v>
      </c>
      <c r="F417" s="480" t="s">
        <v>689</v>
      </c>
      <c r="G417" s="71" t="s">
        <v>28</v>
      </c>
      <c r="H417" s="310" t="s">
        <v>129</v>
      </c>
      <c r="I417" s="334"/>
      <c r="J417" s="283"/>
      <c r="K417" s="294">
        <f t="shared" si="692"/>
        <v>0.24790499999999999</v>
      </c>
      <c r="L417" s="20">
        <f t="shared" si="725"/>
        <v>0</v>
      </c>
      <c r="M417" s="95">
        <f t="shared" si="725"/>
        <v>0</v>
      </c>
      <c r="N417" s="94">
        <f t="shared" si="725"/>
        <v>0.24790499999999999</v>
      </c>
      <c r="O417" s="94">
        <f t="shared" si="709"/>
        <v>0.24790499999999999</v>
      </c>
      <c r="P417" s="94">
        <f t="shared" si="710"/>
        <v>0.24790499999999999</v>
      </c>
      <c r="Q417" s="94">
        <f t="shared" si="711"/>
        <v>0</v>
      </c>
      <c r="R417" s="94">
        <f t="shared" si="712"/>
        <v>0</v>
      </c>
      <c r="S417" s="94">
        <f t="shared" si="713"/>
        <v>0</v>
      </c>
      <c r="T417" s="94">
        <f t="shared" si="714"/>
        <v>0</v>
      </c>
      <c r="U417" s="402">
        <f t="shared" si="715"/>
        <v>0</v>
      </c>
      <c r="V417" s="573">
        <v>0</v>
      </c>
      <c r="W417" s="326">
        <v>0</v>
      </c>
      <c r="X417" s="207">
        <v>-0.24790499999999999</v>
      </c>
      <c r="Y417" s="132">
        <v>-0.24790499999999999</v>
      </c>
      <c r="Z417" s="132">
        <v>-0.24790499999999999</v>
      </c>
      <c r="AA417" s="132">
        <v>-0.24790499999999999</v>
      </c>
      <c r="AB417" s="207">
        <v>-0.24790499999999999</v>
      </c>
      <c r="AC417" s="207">
        <v>0</v>
      </c>
      <c r="AD417" s="132">
        <v>0</v>
      </c>
      <c r="AE417" s="132">
        <v>0</v>
      </c>
      <c r="AF417" s="132">
        <v>0</v>
      </c>
      <c r="AG417" s="132">
        <v>0</v>
      </c>
      <c r="AH417" s="132">
        <v>0</v>
      </c>
      <c r="AI417" s="387">
        <v>0</v>
      </c>
      <c r="AJ417" s="207">
        <v>0</v>
      </c>
      <c r="AK417" s="367">
        <v>0</v>
      </c>
      <c r="AL417" s="367">
        <v>0</v>
      </c>
      <c r="AM417" s="367">
        <v>0</v>
      </c>
      <c r="AN417" s="367">
        <v>0</v>
      </c>
      <c r="AO417" s="295">
        <v>0</v>
      </c>
      <c r="AP417" s="295">
        <v>0</v>
      </c>
      <c r="AQ417" s="295">
        <v>0</v>
      </c>
      <c r="AR417" s="387">
        <v>0</v>
      </c>
      <c r="AS417" s="295">
        <f t="shared" si="716"/>
        <v>0</v>
      </c>
      <c r="AT417" s="408" t="s">
        <v>688</v>
      </c>
    </row>
    <row r="418" spans="1:46" ht="58" hidden="1" customHeight="1" outlineLevel="1" x14ac:dyDescent="0.35">
      <c r="A418" s="590">
        <v>28</v>
      </c>
      <c r="B418" s="612" t="s">
        <v>609</v>
      </c>
      <c r="C418" s="604" t="s">
        <v>609</v>
      </c>
      <c r="D418" s="63" t="s">
        <v>374</v>
      </c>
      <c r="E418" s="432" t="s">
        <v>375</v>
      </c>
      <c r="F418" s="480" t="s">
        <v>373</v>
      </c>
      <c r="G418" s="71" t="s">
        <v>365</v>
      </c>
      <c r="H418" s="310" t="s">
        <v>129</v>
      </c>
      <c r="I418" s="334"/>
      <c r="J418" s="283"/>
      <c r="K418" s="294">
        <f t="shared" si="692"/>
        <v>0.20968600000000001</v>
      </c>
      <c r="L418" s="20">
        <f t="shared" si="725"/>
        <v>0.21099999999999999</v>
      </c>
      <c r="M418" s="95">
        <f>-W418</f>
        <v>0.20968600000000001</v>
      </c>
      <c r="N418" s="94">
        <f t="shared" si="725"/>
        <v>0</v>
      </c>
      <c r="O418" s="94">
        <f t="shared" si="709"/>
        <v>0</v>
      </c>
      <c r="P418" s="94">
        <f t="shared" si="710"/>
        <v>0</v>
      </c>
      <c r="Q418" s="94">
        <f t="shared" si="711"/>
        <v>0</v>
      </c>
      <c r="R418" s="94">
        <f t="shared" si="712"/>
        <v>0</v>
      </c>
      <c r="S418" s="94">
        <f t="shared" si="713"/>
        <v>0</v>
      </c>
      <c r="T418" s="94">
        <f t="shared" si="714"/>
        <v>0</v>
      </c>
      <c r="U418" s="402">
        <f t="shared" si="715"/>
        <v>0</v>
      </c>
      <c r="V418" s="573">
        <f>-0.211</f>
        <v>-0.21099999999999999</v>
      </c>
      <c r="W418" s="326">
        <v>-0.20968600000000001</v>
      </c>
      <c r="X418" s="207">
        <v>0</v>
      </c>
      <c r="Y418" s="132">
        <v>0</v>
      </c>
      <c r="Z418" s="132">
        <v>0</v>
      </c>
      <c r="AA418" s="132">
        <v>0</v>
      </c>
      <c r="AB418" s="207">
        <v>0</v>
      </c>
      <c r="AC418" s="207">
        <v>0</v>
      </c>
      <c r="AD418" s="132">
        <v>0</v>
      </c>
      <c r="AE418" s="132">
        <v>0</v>
      </c>
      <c r="AF418" s="132">
        <v>0</v>
      </c>
      <c r="AG418" s="132">
        <v>0</v>
      </c>
      <c r="AH418" s="132">
        <v>0</v>
      </c>
      <c r="AI418" s="387">
        <v>0</v>
      </c>
      <c r="AJ418" s="207">
        <v>0</v>
      </c>
      <c r="AK418" s="367">
        <v>0</v>
      </c>
      <c r="AL418" s="367">
        <v>0</v>
      </c>
      <c r="AM418" s="367">
        <v>0</v>
      </c>
      <c r="AN418" s="367">
        <v>0</v>
      </c>
      <c r="AO418" s="295">
        <v>0</v>
      </c>
      <c r="AP418" s="295">
        <v>0</v>
      </c>
      <c r="AQ418" s="295">
        <v>0</v>
      </c>
      <c r="AR418" s="387">
        <v>0</v>
      </c>
      <c r="AS418" s="295">
        <f t="shared" si="716"/>
        <v>0</v>
      </c>
      <c r="AT418" s="408" t="s">
        <v>373</v>
      </c>
    </row>
    <row r="419" spans="1:46" ht="87" hidden="1" customHeight="1" outlineLevel="1" x14ac:dyDescent="0.35">
      <c r="A419" s="590">
        <v>29</v>
      </c>
      <c r="B419" s="612" t="s">
        <v>609</v>
      </c>
      <c r="C419" s="604" t="s">
        <v>609</v>
      </c>
      <c r="D419" s="63" t="s">
        <v>374</v>
      </c>
      <c r="E419" s="432" t="s">
        <v>377</v>
      </c>
      <c r="F419" s="480" t="s">
        <v>376</v>
      </c>
      <c r="G419" s="71" t="s">
        <v>216</v>
      </c>
      <c r="H419" s="310" t="s">
        <v>129</v>
      </c>
      <c r="I419" s="334"/>
      <c r="J419" s="283"/>
      <c r="K419" s="294">
        <f t="shared" si="692"/>
        <v>0.34697</v>
      </c>
      <c r="L419" s="20">
        <f t="shared" si="725"/>
        <v>0.34697</v>
      </c>
      <c r="M419" s="95">
        <f t="shared" si="725"/>
        <v>0.34697</v>
      </c>
      <c r="N419" s="94">
        <f t="shared" si="725"/>
        <v>0</v>
      </c>
      <c r="O419" s="94">
        <f t="shared" si="709"/>
        <v>0</v>
      </c>
      <c r="P419" s="94">
        <f t="shared" si="710"/>
        <v>0</v>
      </c>
      <c r="Q419" s="94">
        <f t="shared" si="711"/>
        <v>0</v>
      </c>
      <c r="R419" s="94">
        <f t="shared" ref="R419:R442" si="726">-AC419</f>
        <v>0</v>
      </c>
      <c r="S419" s="94">
        <f t="shared" si="713"/>
        <v>0</v>
      </c>
      <c r="T419" s="94">
        <f t="shared" ref="T419:T458" si="727">-AJ419</f>
        <v>0</v>
      </c>
      <c r="U419" s="402">
        <f t="shared" ref="U419:U458" si="728">-AQ419</f>
        <v>0</v>
      </c>
      <c r="V419" s="573">
        <f>-0.34697</f>
        <v>-0.34697</v>
      </c>
      <c r="W419" s="326">
        <f>-0.08697-0.26</f>
        <v>-0.34697</v>
      </c>
      <c r="X419" s="207">
        <v>0</v>
      </c>
      <c r="Y419" s="132">
        <v>0</v>
      </c>
      <c r="Z419" s="132">
        <v>0</v>
      </c>
      <c r="AA419" s="132">
        <v>0</v>
      </c>
      <c r="AB419" s="207">
        <v>0</v>
      </c>
      <c r="AC419" s="207">
        <v>0</v>
      </c>
      <c r="AD419" s="132">
        <v>0</v>
      </c>
      <c r="AE419" s="132">
        <v>0</v>
      </c>
      <c r="AF419" s="132">
        <v>0</v>
      </c>
      <c r="AG419" s="132">
        <v>0</v>
      </c>
      <c r="AH419" s="132">
        <v>0</v>
      </c>
      <c r="AI419" s="387">
        <v>0</v>
      </c>
      <c r="AJ419" s="207">
        <v>0</v>
      </c>
      <c r="AK419" s="367">
        <v>0</v>
      </c>
      <c r="AL419" s="367">
        <v>0</v>
      </c>
      <c r="AM419" s="367">
        <v>0</v>
      </c>
      <c r="AN419" s="367">
        <v>0</v>
      </c>
      <c r="AO419" s="295">
        <v>0</v>
      </c>
      <c r="AP419" s="295">
        <v>0</v>
      </c>
      <c r="AQ419" s="295">
        <v>0</v>
      </c>
      <c r="AR419" s="387">
        <v>0</v>
      </c>
      <c r="AS419" s="295">
        <f t="shared" si="716"/>
        <v>0</v>
      </c>
      <c r="AT419" s="408" t="s">
        <v>652</v>
      </c>
    </row>
    <row r="420" spans="1:46" ht="43.5" hidden="1" customHeight="1" outlineLevel="1" x14ac:dyDescent="0.35">
      <c r="A420" s="590">
        <v>30</v>
      </c>
      <c r="B420" s="612" t="s">
        <v>609</v>
      </c>
      <c r="C420" s="604" t="s">
        <v>609</v>
      </c>
      <c r="D420" s="63" t="s">
        <v>418</v>
      </c>
      <c r="E420" s="432" t="s">
        <v>419</v>
      </c>
      <c r="F420" s="480" t="s">
        <v>417</v>
      </c>
      <c r="G420" s="71" t="s">
        <v>23</v>
      </c>
      <c r="H420" s="310" t="s">
        <v>127</v>
      </c>
      <c r="I420" s="334"/>
      <c r="J420" s="283"/>
      <c r="K420" s="294">
        <f t="shared" si="692"/>
        <v>3.1359999999999999E-2</v>
      </c>
      <c r="L420" s="20">
        <f t="shared" si="725"/>
        <v>3.1359999999999999E-2</v>
      </c>
      <c r="M420" s="95">
        <f t="shared" si="725"/>
        <v>3.1359999999999999E-2</v>
      </c>
      <c r="N420" s="94">
        <f t="shared" si="725"/>
        <v>0</v>
      </c>
      <c r="O420" s="94">
        <f t="shared" si="709"/>
        <v>0</v>
      </c>
      <c r="P420" s="94">
        <f t="shared" si="710"/>
        <v>0</v>
      </c>
      <c r="Q420" s="94">
        <f t="shared" si="711"/>
        <v>0</v>
      </c>
      <c r="R420" s="94">
        <f t="shared" si="726"/>
        <v>0</v>
      </c>
      <c r="S420" s="94">
        <f t="shared" si="713"/>
        <v>0</v>
      </c>
      <c r="T420" s="94">
        <f t="shared" si="727"/>
        <v>0</v>
      </c>
      <c r="U420" s="402">
        <f t="shared" si="728"/>
        <v>0</v>
      </c>
      <c r="V420" s="573">
        <v>-3.1359999999999999E-2</v>
      </c>
      <c r="W420" s="326">
        <v>-3.1359999999999999E-2</v>
      </c>
      <c r="X420" s="207">
        <v>0</v>
      </c>
      <c r="Y420" s="132">
        <v>0</v>
      </c>
      <c r="Z420" s="132">
        <v>0</v>
      </c>
      <c r="AA420" s="132">
        <v>0</v>
      </c>
      <c r="AB420" s="207">
        <v>0</v>
      </c>
      <c r="AC420" s="207">
        <v>0</v>
      </c>
      <c r="AD420" s="132">
        <v>0</v>
      </c>
      <c r="AE420" s="132">
        <v>0</v>
      </c>
      <c r="AF420" s="132">
        <v>0</v>
      </c>
      <c r="AG420" s="132">
        <v>0</v>
      </c>
      <c r="AH420" s="132">
        <v>0</v>
      </c>
      <c r="AI420" s="387">
        <v>0</v>
      </c>
      <c r="AJ420" s="207">
        <v>0</v>
      </c>
      <c r="AK420" s="367">
        <v>0</v>
      </c>
      <c r="AL420" s="367">
        <v>0</v>
      </c>
      <c r="AM420" s="367">
        <v>0</v>
      </c>
      <c r="AN420" s="367">
        <v>0</v>
      </c>
      <c r="AO420" s="295">
        <v>0</v>
      </c>
      <c r="AP420" s="295">
        <v>0</v>
      </c>
      <c r="AQ420" s="295">
        <v>0</v>
      </c>
      <c r="AR420" s="387">
        <v>0</v>
      </c>
      <c r="AS420" s="295">
        <f t="shared" si="716"/>
        <v>0</v>
      </c>
      <c r="AT420" s="408" t="s">
        <v>641</v>
      </c>
    </row>
    <row r="421" spans="1:46" ht="43.5" hidden="1" customHeight="1" outlineLevel="1" x14ac:dyDescent="0.35">
      <c r="A421" s="590">
        <v>31</v>
      </c>
      <c r="B421" s="612" t="s">
        <v>609</v>
      </c>
      <c r="C421" s="604" t="s">
        <v>609</v>
      </c>
      <c r="D421" s="63" t="s">
        <v>418</v>
      </c>
      <c r="E421" s="432" t="s">
        <v>435</v>
      </c>
      <c r="F421" s="480" t="s">
        <v>437</v>
      </c>
      <c r="G421" s="71" t="s">
        <v>7</v>
      </c>
      <c r="H421" s="310" t="s">
        <v>129</v>
      </c>
      <c r="I421" s="334"/>
      <c r="J421" s="283"/>
      <c r="K421" s="294">
        <f t="shared" si="692"/>
        <v>9.4603999999999994E-2</v>
      </c>
      <c r="L421" s="20">
        <f t="shared" si="725"/>
        <v>9.4603999999999994E-2</v>
      </c>
      <c r="M421" s="95">
        <f t="shared" si="725"/>
        <v>9.4603999999999994E-2</v>
      </c>
      <c r="N421" s="94">
        <f t="shared" si="725"/>
        <v>0</v>
      </c>
      <c r="O421" s="94">
        <f t="shared" si="709"/>
        <v>0</v>
      </c>
      <c r="P421" s="94">
        <f t="shared" si="710"/>
        <v>0</v>
      </c>
      <c r="Q421" s="94">
        <f t="shared" si="711"/>
        <v>0</v>
      </c>
      <c r="R421" s="94">
        <f t="shared" si="726"/>
        <v>0</v>
      </c>
      <c r="S421" s="94">
        <f t="shared" si="713"/>
        <v>0</v>
      </c>
      <c r="T421" s="94">
        <f t="shared" si="727"/>
        <v>0</v>
      </c>
      <c r="U421" s="402">
        <f t="shared" si="728"/>
        <v>0</v>
      </c>
      <c r="V421" s="573">
        <v>-9.4603999999999994E-2</v>
      </c>
      <c r="W421" s="326">
        <v>-9.4603999999999994E-2</v>
      </c>
      <c r="X421" s="207">
        <v>0</v>
      </c>
      <c r="Y421" s="132">
        <v>0</v>
      </c>
      <c r="Z421" s="132">
        <v>0</v>
      </c>
      <c r="AA421" s="132">
        <v>0</v>
      </c>
      <c r="AB421" s="207">
        <v>0</v>
      </c>
      <c r="AC421" s="207">
        <v>0</v>
      </c>
      <c r="AD421" s="132">
        <v>0</v>
      </c>
      <c r="AE421" s="132">
        <v>0</v>
      </c>
      <c r="AF421" s="132">
        <v>0</v>
      </c>
      <c r="AG421" s="132">
        <v>0</v>
      </c>
      <c r="AH421" s="132">
        <v>0</v>
      </c>
      <c r="AI421" s="387">
        <v>0</v>
      </c>
      <c r="AJ421" s="207">
        <v>0</v>
      </c>
      <c r="AK421" s="367">
        <v>0</v>
      </c>
      <c r="AL421" s="367">
        <v>0</v>
      </c>
      <c r="AM421" s="367">
        <v>0</v>
      </c>
      <c r="AN421" s="367">
        <v>0</v>
      </c>
      <c r="AO421" s="295">
        <v>0</v>
      </c>
      <c r="AP421" s="295">
        <v>0</v>
      </c>
      <c r="AQ421" s="295">
        <v>0</v>
      </c>
      <c r="AR421" s="387">
        <v>0</v>
      </c>
      <c r="AS421" s="295">
        <f t="shared" si="716"/>
        <v>0</v>
      </c>
      <c r="AT421" s="408" t="s">
        <v>436</v>
      </c>
    </row>
    <row r="422" spans="1:46" ht="43.5" hidden="1" customHeight="1" outlineLevel="1" x14ac:dyDescent="0.35">
      <c r="A422" s="590">
        <v>32</v>
      </c>
      <c r="B422" s="612" t="s">
        <v>609</v>
      </c>
      <c r="C422" s="604" t="s">
        <v>609</v>
      </c>
      <c r="D422" s="63" t="s">
        <v>516</v>
      </c>
      <c r="E422" s="432" t="s">
        <v>645</v>
      </c>
      <c r="F422" s="480" t="s">
        <v>517</v>
      </c>
      <c r="G422" s="71" t="s">
        <v>27</v>
      </c>
      <c r="H422" s="310" t="s">
        <v>129</v>
      </c>
      <c r="I422" s="334"/>
      <c r="J422" s="283"/>
      <c r="K422" s="294">
        <f t="shared" si="692"/>
        <v>3.5999999999999997E-2</v>
      </c>
      <c r="L422" s="20">
        <f t="shared" si="725"/>
        <v>3.5999999999999997E-2</v>
      </c>
      <c r="M422" s="95">
        <f t="shared" si="725"/>
        <v>3.5999999999999997E-2</v>
      </c>
      <c r="N422" s="94">
        <f t="shared" si="725"/>
        <v>0</v>
      </c>
      <c r="O422" s="94">
        <f t="shared" si="709"/>
        <v>0</v>
      </c>
      <c r="P422" s="94">
        <f t="shared" si="710"/>
        <v>0</v>
      </c>
      <c r="Q422" s="94">
        <f t="shared" si="711"/>
        <v>0</v>
      </c>
      <c r="R422" s="94">
        <f t="shared" si="726"/>
        <v>0</v>
      </c>
      <c r="S422" s="94">
        <f t="shared" si="713"/>
        <v>0</v>
      </c>
      <c r="T422" s="94">
        <f t="shared" si="727"/>
        <v>0</v>
      </c>
      <c r="U422" s="402">
        <f t="shared" si="728"/>
        <v>0</v>
      </c>
      <c r="V422" s="573">
        <v>-3.5999999999999997E-2</v>
      </c>
      <c r="W422" s="326">
        <v>-3.5999999999999997E-2</v>
      </c>
      <c r="X422" s="207">
        <v>0</v>
      </c>
      <c r="Y422" s="132">
        <v>-0.03</v>
      </c>
      <c r="Z422" s="132">
        <v>0</v>
      </c>
      <c r="AA422" s="132">
        <v>0</v>
      </c>
      <c r="AB422" s="207">
        <v>0</v>
      </c>
      <c r="AC422" s="207">
        <v>0</v>
      </c>
      <c r="AD422" s="132">
        <v>0</v>
      </c>
      <c r="AE422" s="132">
        <v>0</v>
      </c>
      <c r="AF422" s="132">
        <v>0</v>
      </c>
      <c r="AG422" s="132">
        <v>0</v>
      </c>
      <c r="AH422" s="132">
        <v>0</v>
      </c>
      <c r="AI422" s="387">
        <v>0</v>
      </c>
      <c r="AJ422" s="207">
        <v>0</v>
      </c>
      <c r="AK422" s="367">
        <v>0</v>
      </c>
      <c r="AL422" s="367">
        <v>0</v>
      </c>
      <c r="AM422" s="367">
        <v>0</v>
      </c>
      <c r="AN422" s="367">
        <v>0</v>
      </c>
      <c r="AO422" s="295">
        <v>0</v>
      </c>
      <c r="AP422" s="295">
        <v>0</v>
      </c>
      <c r="AQ422" s="295">
        <v>0</v>
      </c>
      <c r="AR422" s="387">
        <v>0</v>
      </c>
      <c r="AS422" s="295">
        <f t="shared" si="716"/>
        <v>0</v>
      </c>
      <c r="AT422" s="411" t="s">
        <v>515</v>
      </c>
    </row>
    <row r="423" spans="1:46" ht="58" hidden="1" customHeight="1" outlineLevel="1" x14ac:dyDescent="0.35">
      <c r="A423" s="590">
        <v>33</v>
      </c>
      <c r="B423" s="612" t="s">
        <v>609</v>
      </c>
      <c r="C423" s="604" t="s">
        <v>609</v>
      </c>
      <c r="D423" s="63">
        <v>44239</v>
      </c>
      <c r="E423" s="432" t="s">
        <v>1193</v>
      </c>
      <c r="F423" s="480" t="s">
        <v>710</v>
      </c>
      <c r="G423" s="71" t="s">
        <v>708</v>
      </c>
      <c r="H423" s="310" t="s">
        <v>129</v>
      </c>
      <c r="I423" s="334"/>
      <c r="J423" s="283"/>
      <c r="K423" s="294">
        <f t="shared" ref="K423:K464" si="729">M423+P423+U423+R423+T423</f>
        <v>8.7096999999999994E-2</v>
      </c>
      <c r="L423" s="20">
        <f t="shared" si="725"/>
        <v>0</v>
      </c>
      <c r="M423" s="95">
        <f t="shared" si="725"/>
        <v>0</v>
      </c>
      <c r="N423" s="94">
        <f t="shared" si="725"/>
        <v>0.12763099999999999</v>
      </c>
      <c r="O423" s="94">
        <f t="shared" si="709"/>
        <v>0.12763099999999999</v>
      </c>
      <c r="P423" s="94">
        <f t="shared" si="710"/>
        <v>8.7096999999999994E-2</v>
      </c>
      <c r="Q423" s="94">
        <f t="shared" si="711"/>
        <v>0</v>
      </c>
      <c r="R423" s="94">
        <f t="shared" si="726"/>
        <v>0</v>
      </c>
      <c r="S423" s="94">
        <f t="shared" si="713"/>
        <v>0</v>
      </c>
      <c r="T423" s="94">
        <f t="shared" si="727"/>
        <v>0</v>
      </c>
      <c r="U423" s="402">
        <f t="shared" si="728"/>
        <v>0</v>
      </c>
      <c r="V423" s="573">
        <v>0</v>
      </c>
      <c r="W423" s="326">
        <v>0</v>
      </c>
      <c r="X423" s="207">
        <v>-0.12763099999999999</v>
      </c>
      <c r="Y423" s="132">
        <v>-0.12763099999999999</v>
      </c>
      <c r="Z423" s="132">
        <v>-0.12763099999999999</v>
      </c>
      <c r="AA423" s="132">
        <v>-0.12763099999999999</v>
      </c>
      <c r="AB423" s="207">
        <v>-8.7096999999999994E-2</v>
      </c>
      <c r="AC423" s="207">
        <v>0</v>
      </c>
      <c r="AD423" s="132">
        <v>0</v>
      </c>
      <c r="AE423" s="132">
        <v>0</v>
      </c>
      <c r="AF423" s="132">
        <v>0</v>
      </c>
      <c r="AG423" s="132">
        <v>0</v>
      </c>
      <c r="AH423" s="132">
        <v>0</v>
      </c>
      <c r="AI423" s="917">
        <v>0</v>
      </c>
      <c r="AJ423" s="207">
        <v>0</v>
      </c>
      <c r="AK423" s="367">
        <v>0</v>
      </c>
      <c r="AL423" s="367">
        <v>0</v>
      </c>
      <c r="AM423" s="367">
        <v>0</v>
      </c>
      <c r="AN423" s="367">
        <v>0</v>
      </c>
      <c r="AO423" s="295">
        <v>0</v>
      </c>
      <c r="AP423" s="295">
        <v>0</v>
      </c>
      <c r="AQ423" s="295">
        <v>0</v>
      </c>
      <c r="AR423" s="917">
        <v>0</v>
      </c>
      <c r="AS423" s="295">
        <f t="shared" si="716"/>
        <v>0</v>
      </c>
      <c r="AT423" s="411" t="s">
        <v>709</v>
      </c>
    </row>
    <row r="424" spans="1:46" ht="58" hidden="1" customHeight="1" outlineLevel="1" x14ac:dyDescent="0.35">
      <c r="A424" s="590">
        <v>34</v>
      </c>
      <c r="B424" s="612" t="s">
        <v>609</v>
      </c>
      <c r="C424" s="604" t="s">
        <v>609</v>
      </c>
      <c r="D424" s="63">
        <v>44250</v>
      </c>
      <c r="E424" s="432" t="s">
        <v>1192</v>
      </c>
      <c r="F424" s="480" t="s">
        <v>1100</v>
      </c>
      <c r="G424" s="71" t="s">
        <v>27</v>
      </c>
      <c r="H424" s="310" t="s">
        <v>129</v>
      </c>
      <c r="I424" s="334"/>
      <c r="J424" s="283"/>
      <c r="K424" s="294">
        <f t="shared" si="729"/>
        <v>0.81964999999999999</v>
      </c>
      <c r="L424" s="20">
        <f>-V424</f>
        <v>0</v>
      </c>
      <c r="M424" s="95">
        <f>-W424</f>
        <v>0</v>
      </c>
      <c r="N424" s="94">
        <f t="shared" si="725"/>
        <v>0.81964999999999999</v>
      </c>
      <c r="O424" s="94">
        <f t="shared" si="709"/>
        <v>0.81964999999999999</v>
      </c>
      <c r="P424" s="94">
        <f t="shared" si="710"/>
        <v>0.81964999999999999</v>
      </c>
      <c r="Q424" s="94">
        <f t="shared" si="711"/>
        <v>0</v>
      </c>
      <c r="R424" s="94">
        <f t="shared" si="726"/>
        <v>0</v>
      </c>
      <c r="S424" s="94">
        <f t="shared" si="713"/>
        <v>0</v>
      </c>
      <c r="T424" s="94">
        <f t="shared" si="727"/>
        <v>0</v>
      </c>
      <c r="U424" s="402">
        <f t="shared" si="728"/>
        <v>0</v>
      </c>
      <c r="V424" s="573">
        <v>0</v>
      </c>
      <c r="W424" s="326">
        <v>0</v>
      </c>
      <c r="X424" s="207">
        <v>-0.81964999999999999</v>
      </c>
      <c r="Y424" s="132">
        <v>-0.81964999999999999</v>
      </c>
      <c r="Z424" s="132">
        <v>-0.81964999999999999</v>
      </c>
      <c r="AA424" s="132">
        <v>-0.81964999999999999</v>
      </c>
      <c r="AB424" s="207">
        <v>-0.81964999999999999</v>
      </c>
      <c r="AC424" s="207">
        <v>0</v>
      </c>
      <c r="AD424" s="132">
        <v>0</v>
      </c>
      <c r="AE424" s="132">
        <v>0</v>
      </c>
      <c r="AF424" s="132">
        <v>0</v>
      </c>
      <c r="AG424" s="132">
        <v>0</v>
      </c>
      <c r="AH424" s="132">
        <v>0</v>
      </c>
      <c r="AI424" s="387">
        <v>0</v>
      </c>
      <c r="AJ424" s="207">
        <v>0</v>
      </c>
      <c r="AK424" s="367">
        <v>0</v>
      </c>
      <c r="AL424" s="367">
        <v>0</v>
      </c>
      <c r="AM424" s="367">
        <v>0</v>
      </c>
      <c r="AN424" s="367">
        <v>0</v>
      </c>
      <c r="AO424" s="295">
        <v>0</v>
      </c>
      <c r="AP424" s="295">
        <v>0</v>
      </c>
      <c r="AQ424" s="295">
        <v>0</v>
      </c>
      <c r="AR424" s="387">
        <v>0</v>
      </c>
      <c r="AS424" s="295">
        <f t="shared" si="716"/>
        <v>0</v>
      </c>
      <c r="AT424" s="411" t="s">
        <v>1101</v>
      </c>
    </row>
    <row r="425" spans="1:46" ht="72.650000000000006" hidden="1" customHeight="1" outlineLevel="1" x14ac:dyDescent="0.35">
      <c r="A425" s="590">
        <v>35</v>
      </c>
      <c r="B425" s="612" t="s">
        <v>609</v>
      </c>
      <c r="C425" s="604" t="s">
        <v>609</v>
      </c>
      <c r="D425" s="64">
        <v>44260</v>
      </c>
      <c r="E425" s="432" t="s">
        <v>1189</v>
      </c>
      <c r="F425" s="482" t="s">
        <v>1169</v>
      </c>
      <c r="G425" s="73" t="s">
        <v>38</v>
      </c>
      <c r="H425" s="312" t="s">
        <v>129</v>
      </c>
      <c r="I425" s="333"/>
      <c r="J425" s="283"/>
      <c r="K425" s="294">
        <f t="shared" si="729"/>
        <v>4.9792000000000003E-2</v>
      </c>
      <c r="L425" s="180">
        <f t="shared" ref="L425:N458" si="730">-V425</f>
        <v>0</v>
      </c>
      <c r="M425" s="80">
        <f t="shared" si="730"/>
        <v>0</v>
      </c>
      <c r="N425" s="80">
        <f t="shared" si="725"/>
        <v>4.9792000000000003E-2</v>
      </c>
      <c r="O425" s="80">
        <f t="shared" si="709"/>
        <v>4.9792000000000003E-2</v>
      </c>
      <c r="P425" s="80">
        <f t="shared" si="710"/>
        <v>4.9792000000000003E-2</v>
      </c>
      <c r="Q425" s="80">
        <f t="shared" si="711"/>
        <v>0</v>
      </c>
      <c r="R425" s="80">
        <f t="shared" si="726"/>
        <v>0</v>
      </c>
      <c r="S425" s="80">
        <f t="shared" si="713"/>
        <v>0</v>
      </c>
      <c r="T425" s="80">
        <f t="shared" si="727"/>
        <v>0</v>
      </c>
      <c r="U425" s="401">
        <f t="shared" si="728"/>
        <v>0</v>
      </c>
      <c r="V425" s="893">
        <v>0</v>
      </c>
      <c r="W425" s="387">
        <v>0</v>
      </c>
      <c r="X425" s="207">
        <v>-4.9792000000000003E-2</v>
      </c>
      <c r="Y425" s="132">
        <v>-4.9792000000000003E-2</v>
      </c>
      <c r="Z425" s="132">
        <v>-4.9792000000000003E-2</v>
      </c>
      <c r="AA425" s="132">
        <v>-4.9792000000000003E-2</v>
      </c>
      <c r="AB425" s="207">
        <v>-4.9792000000000003E-2</v>
      </c>
      <c r="AC425" s="207">
        <v>0</v>
      </c>
      <c r="AD425" s="132">
        <v>0</v>
      </c>
      <c r="AE425" s="132">
        <v>0</v>
      </c>
      <c r="AF425" s="132">
        <v>0</v>
      </c>
      <c r="AG425" s="132">
        <v>0</v>
      </c>
      <c r="AH425" s="132">
        <v>0</v>
      </c>
      <c r="AI425" s="387">
        <v>0</v>
      </c>
      <c r="AJ425" s="207">
        <v>0</v>
      </c>
      <c r="AK425" s="367">
        <v>0</v>
      </c>
      <c r="AL425" s="367">
        <v>0</v>
      </c>
      <c r="AM425" s="367">
        <v>0</v>
      </c>
      <c r="AN425" s="367">
        <v>0</v>
      </c>
      <c r="AO425" s="295">
        <v>0</v>
      </c>
      <c r="AP425" s="295">
        <v>0</v>
      </c>
      <c r="AQ425" s="295">
        <v>0</v>
      </c>
      <c r="AR425" s="387">
        <v>0</v>
      </c>
      <c r="AS425" s="295">
        <f>-AR425</f>
        <v>0</v>
      </c>
      <c r="AT425" s="408" t="s">
        <v>1170</v>
      </c>
    </row>
    <row r="426" spans="1:46" ht="72.650000000000006" hidden="1" customHeight="1" outlineLevel="1" x14ac:dyDescent="0.35">
      <c r="A426" s="590">
        <v>36</v>
      </c>
      <c r="B426" s="612" t="s">
        <v>609</v>
      </c>
      <c r="C426" s="604" t="s">
        <v>609</v>
      </c>
      <c r="D426" s="64">
        <v>44314</v>
      </c>
      <c r="E426" s="432" t="s">
        <v>1458</v>
      </c>
      <c r="F426" s="482" t="s">
        <v>1353</v>
      </c>
      <c r="G426" s="73" t="s">
        <v>38</v>
      </c>
      <c r="H426" s="312" t="s">
        <v>129</v>
      </c>
      <c r="I426" s="333"/>
      <c r="J426" s="283"/>
      <c r="K426" s="294">
        <f t="shared" si="729"/>
        <v>0.39</v>
      </c>
      <c r="L426" s="180">
        <f t="shared" ref="L426:L431" si="731">-V426</f>
        <v>0</v>
      </c>
      <c r="M426" s="80">
        <f t="shared" ref="M426:M431" si="732">-W426</f>
        <v>0</v>
      </c>
      <c r="N426" s="80">
        <f t="shared" ref="N426:N431" si="733">-X426</f>
        <v>0.39</v>
      </c>
      <c r="O426" s="80">
        <f t="shared" si="709"/>
        <v>0.39</v>
      </c>
      <c r="P426" s="80">
        <f t="shared" si="710"/>
        <v>0.39</v>
      </c>
      <c r="Q426" s="80">
        <f t="shared" si="711"/>
        <v>0</v>
      </c>
      <c r="R426" s="80">
        <f t="shared" si="726"/>
        <v>0</v>
      </c>
      <c r="S426" s="80">
        <f t="shared" si="713"/>
        <v>0</v>
      </c>
      <c r="T426" s="80">
        <f t="shared" si="727"/>
        <v>0</v>
      </c>
      <c r="U426" s="401">
        <f t="shared" si="728"/>
        <v>0</v>
      </c>
      <c r="V426" s="893">
        <v>0</v>
      </c>
      <c r="W426" s="387">
        <v>0</v>
      </c>
      <c r="X426" s="207">
        <v>-0.39</v>
      </c>
      <c r="Y426" s="132">
        <v>0</v>
      </c>
      <c r="Z426" s="132">
        <v>-0.39</v>
      </c>
      <c r="AA426" s="132">
        <v>-0.39</v>
      </c>
      <c r="AB426" s="207">
        <v>-0.39</v>
      </c>
      <c r="AC426" s="207">
        <v>0</v>
      </c>
      <c r="AD426" s="132">
        <v>0</v>
      </c>
      <c r="AE426" s="132">
        <v>0</v>
      </c>
      <c r="AF426" s="132">
        <v>0</v>
      </c>
      <c r="AG426" s="132">
        <v>0</v>
      </c>
      <c r="AH426" s="132">
        <v>0</v>
      </c>
      <c r="AI426" s="387">
        <v>0</v>
      </c>
      <c r="AJ426" s="207">
        <v>0</v>
      </c>
      <c r="AK426" s="367">
        <v>0</v>
      </c>
      <c r="AL426" s="367">
        <v>0</v>
      </c>
      <c r="AM426" s="367">
        <v>0</v>
      </c>
      <c r="AN426" s="367">
        <v>0</v>
      </c>
      <c r="AO426" s="295">
        <v>0</v>
      </c>
      <c r="AP426" s="295">
        <v>0</v>
      </c>
      <c r="AQ426" s="295">
        <v>0</v>
      </c>
      <c r="AR426" s="387">
        <v>0</v>
      </c>
      <c r="AS426" s="295">
        <f>-AR426</f>
        <v>0</v>
      </c>
      <c r="AT426" s="408" t="s">
        <v>1354</v>
      </c>
    </row>
    <row r="427" spans="1:46" ht="43.5" hidden="1" customHeight="1" outlineLevel="1" x14ac:dyDescent="0.35">
      <c r="A427" s="590">
        <v>37</v>
      </c>
      <c r="B427" s="612" t="s">
        <v>609</v>
      </c>
      <c r="C427" s="604" t="s">
        <v>609</v>
      </c>
      <c r="D427" s="64">
        <v>44355</v>
      </c>
      <c r="E427" s="432" t="s">
        <v>1464</v>
      </c>
      <c r="F427" s="482" t="s">
        <v>1460</v>
      </c>
      <c r="G427" s="71" t="s">
        <v>27</v>
      </c>
      <c r="H427" s="312" t="s">
        <v>129</v>
      </c>
      <c r="I427" s="333"/>
      <c r="J427" s="283"/>
      <c r="K427" s="294">
        <f t="shared" si="729"/>
        <v>0.03</v>
      </c>
      <c r="L427" s="180">
        <f t="shared" si="731"/>
        <v>0</v>
      </c>
      <c r="M427" s="80">
        <f t="shared" si="732"/>
        <v>0</v>
      </c>
      <c r="N427" s="80">
        <f t="shared" si="733"/>
        <v>0.03</v>
      </c>
      <c r="O427" s="80">
        <f t="shared" si="709"/>
        <v>0.03</v>
      </c>
      <c r="P427" s="80">
        <f t="shared" si="710"/>
        <v>0.03</v>
      </c>
      <c r="Q427" s="80">
        <f t="shared" si="711"/>
        <v>0</v>
      </c>
      <c r="R427" s="80">
        <f t="shared" si="726"/>
        <v>0</v>
      </c>
      <c r="S427" s="80">
        <f t="shared" si="713"/>
        <v>0</v>
      </c>
      <c r="T427" s="80">
        <f t="shared" si="727"/>
        <v>0</v>
      </c>
      <c r="U427" s="401">
        <f t="shared" si="728"/>
        <v>0</v>
      </c>
      <c r="V427" s="893">
        <v>0</v>
      </c>
      <c r="W427" s="387">
        <v>0</v>
      </c>
      <c r="X427" s="207">
        <v>-0.03</v>
      </c>
      <c r="Y427" s="132">
        <v>0</v>
      </c>
      <c r="Z427" s="132">
        <v>-0.03</v>
      </c>
      <c r="AA427" s="132">
        <v>-0.03</v>
      </c>
      <c r="AB427" s="207">
        <v>-0.03</v>
      </c>
      <c r="AC427" s="207">
        <v>0</v>
      </c>
      <c r="AD427" s="132">
        <v>0</v>
      </c>
      <c r="AE427" s="132">
        <v>0</v>
      </c>
      <c r="AF427" s="132">
        <v>0</v>
      </c>
      <c r="AG427" s="132">
        <v>0</v>
      </c>
      <c r="AH427" s="132">
        <v>0</v>
      </c>
      <c r="AI427" s="387">
        <v>0</v>
      </c>
      <c r="AJ427" s="207">
        <v>0</v>
      </c>
      <c r="AK427" s="367">
        <v>0</v>
      </c>
      <c r="AL427" s="367">
        <v>0</v>
      </c>
      <c r="AM427" s="367">
        <v>0</v>
      </c>
      <c r="AN427" s="367">
        <v>0</v>
      </c>
      <c r="AO427" s="295">
        <v>0</v>
      </c>
      <c r="AP427" s="295">
        <v>0</v>
      </c>
      <c r="AQ427" s="295">
        <v>0</v>
      </c>
      <c r="AR427" s="387">
        <v>0</v>
      </c>
      <c r="AS427" s="295">
        <f>-AR427</f>
        <v>0</v>
      </c>
      <c r="AT427" s="408" t="s">
        <v>1461</v>
      </c>
    </row>
    <row r="428" spans="1:46" ht="43.5" hidden="1" customHeight="1" outlineLevel="1" x14ac:dyDescent="0.35">
      <c r="A428" s="590">
        <v>38</v>
      </c>
      <c r="B428" s="612" t="s">
        <v>609</v>
      </c>
      <c r="C428" s="604" t="s">
        <v>609</v>
      </c>
      <c r="D428" s="63">
        <v>44362</v>
      </c>
      <c r="E428" s="432" t="s">
        <v>1640</v>
      </c>
      <c r="F428" s="480" t="s">
        <v>1473</v>
      </c>
      <c r="G428" s="71" t="s">
        <v>27</v>
      </c>
      <c r="H428" s="310" t="s">
        <v>129</v>
      </c>
      <c r="I428" s="334"/>
      <c r="J428" s="283"/>
      <c r="K428" s="294">
        <f t="shared" si="729"/>
        <v>0.36420999999999998</v>
      </c>
      <c r="L428" s="20">
        <f t="shared" ref="L428:L429" si="734">-V428</f>
        <v>0</v>
      </c>
      <c r="M428" s="95">
        <f t="shared" ref="M428:M429" si="735">-W428</f>
        <v>0</v>
      </c>
      <c r="N428" s="94">
        <f t="shared" ref="N428:N429" si="736">-X428</f>
        <v>0.36420999999999998</v>
      </c>
      <c r="O428" s="94">
        <f t="shared" si="709"/>
        <v>0.36420999999999998</v>
      </c>
      <c r="P428" s="94">
        <f t="shared" si="710"/>
        <v>0.36420999999999998</v>
      </c>
      <c r="Q428" s="94">
        <f t="shared" si="711"/>
        <v>0</v>
      </c>
      <c r="R428" s="94">
        <f t="shared" si="726"/>
        <v>0</v>
      </c>
      <c r="S428" s="94">
        <f t="shared" si="713"/>
        <v>0</v>
      </c>
      <c r="T428" s="94">
        <f t="shared" si="727"/>
        <v>0</v>
      </c>
      <c r="U428" s="402">
        <f t="shared" si="728"/>
        <v>0</v>
      </c>
      <c r="V428" s="573">
        <v>0</v>
      </c>
      <c r="W428" s="326">
        <v>0</v>
      </c>
      <c r="X428" s="207">
        <v>-0.36420999999999998</v>
      </c>
      <c r="Y428" s="132">
        <v>0</v>
      </c>
      <c r="Z428" s="132">
        <v>-0.36420999999999998</v>
      </c>
      <c r="AA428" s="132">
        <v>-0.36420999999999998</v>
      </c>
      <c r="AB428" s="207">
        <v>-0.36420999999999998</v>
      </c>
      <c r="AC428" s="207">
        <v>0</v>
      </c>
      <c r="AD428" s="132">
        <v>0</v>
      </c>
      <c r="AE428" s="132">
        <v>0</v>
      </c>
      <c r="AF428" s="132">
        <v>0</v>
      </c>
      <c r="AG428" s="132">
        <v>0</v>
      </c>
      <c r="AH428" s="132">
        <v>0</v>
      </c>
      <c r="AI428" s="387">
        <v>0</v>
      </c>
      <c r="AJ428" s="207">
        <v>0</v>
      </c>
      <c r="AK428" s="367">
        <v>0</v>
      </c>
      <c r="AL428" s="367">
        <v>0</v>
      </c>
      <c r="AM428" s="367">
        <v>0</v>
      </c>
      <c r="AN428" s="367">
        <v>0</v>
      </c>
      <c r="AO428" s="295">
        <v>0</v>
      </c>
      <c r="AP428" s="295">
        <v>0</v>
      </c>
      <c r="AQ428" s="295">
        <v>0</v>
      </c>
      <c r="AR428" s="387">
        <v>0</v>
      </c>
      <c r="AS428" s="295">
        <f t="shared" ref="AS428:AS429" si="737">-AR428</f>
        <v>0</v>
      </c>
      <c r="AT428" s="408" t="s">
        <v>1474</v>
      </c>
    </row>
    <row r="429" spans="1:46" ht="101.5" hidden="1" customHeight="1" outlineLevel="1" x14ac:dyDescent="0.35">
      <c r="A429" s="590">
        <v>39</v>
      </c>
      <c r="B429" s="612" t="s">
        <v>609</v>
      </c>
      <c r="C429" s="604" t="s">
        <v>609</v>
      </c>
      <c r="D429" s="63">
        <v>44361</v>
      </c>
      <c r="E429" s="432" t="s">
        <v>1556</v>
      </c>
      <c r="F429" s="480" t="s">
        <v>417</v>
      </c>
      <c r="G429" s="71" t="s">
        <v>23</v>
      </c>
      <c r="H429" s="310" t="s">
        <v>1807</v>
      </c>
      <c r="I429" s="334"/>
      <c r="J429" s="283"/>
      <c r="K429" s="294">
        <f t="shared" si="729"/>
        <v>4.5837999999999997E-2</v>
      </c>
      <c r="L429" s="20">
        <f t="shared" si="734"/>
        <v>0</v>
      </c>
      <c r="M429" s="95">
        <f t="shared" si="735"/>
        <v>0</v>
      </c>
      <c r="N429" s="94">
        <f t="shared" si="736"/>
        <v>4.5837999999999997E-2</v>
      </c>
      <c r="O429" s="94">
        <f t="shared" si="709"/>
        <v>4.5837999999999997E-2</v>
      </c>
      <c r="P429" s="94">
        <f t="shared" si="710"/>
        <v>4.5837999999999997E-2</v>
      </c>
      <c r="Q429" s="94">
        <f t="shared" si="711"/>
        <v>0</v>
      </c>
      <c r="R429" s="94">
        <f t="shared" ref="R429" si="738">-AC429</f>
        <v>0</v>
      </c>
      <c r="S429" s="94">
        <f t="shared" si="713"/>
        <v>0</v>
      </c>
      <c r="T429" s="94">
        <f t="shared" ref="T429" si="739">-AJ429</f>
        <v>0</v>
      </c>
      <c r="U429" s="402">
        <f t="shared" ref="U429" si="740">-AQ429</f>
        <v>0</v>
      </c>
      <c r="V429" s="573">
        <v>0</v>
      </c>
      <c r="W429" s="326">
        <v>0</v>
      </c>
      <c r="X429" s="207">
        <v>-4.5837999999999997E-2</v>
      </c>
      <c r="Y429" s="132">
        <v>0</v>
      </c>
      <c r="Z429" s="132">
        <v>-4.5837999999999997E-2</v>
      </c>
      <c r="AA429" s="132">
        <v>-4.5837999999999997E-2</v>
      </c>
      <c r="AB429" s="207">
        <v>-4.5837999999999997E-2</v>
      </c>
      <c r="AC429" s="207">
        <v>0</v>
      </c>
      <c r="AD429" s="132">
        <v>0</v>
      </c>
      <c r="AE429" s="132">
        <v>0</v>
      </c>
      <c r="AF429" s="132">
        <v>0</v>
      </c>
      <c r="AG429" s="132">
        <v>0</v>
      </c>
      <c r="AH429" s="132">
        <v>0</v>
      </c>
      <c r="AI429" s="387">
        <v>0</v>
      </c>
      <c r="AJ429" s="207">
        <v>0</v>
      </c>
      <c r="AK429" s="367">
        <v>0</v>
      </c>
      <c r="AL429" s="367">
        <v>0</v>
      </c>
      <c r="AM429" s="367">
        <v>0</v>
      </c>
      <c r="AN429" s="367">
        <v>0</v>
      </c>
      <c r="AO429" s="295">
        <v>0</v>
      </c>
      <c r="AP429" s="295">
        <v>0</v>
      </c>
      <c r="AQ429" s="295">
        <v>0</v>
      </c>
      <c r="AR429" s="387">
        <v>0</v>
      </c>
      <c r="AS429" s="295">
        <f t="shared" si="737"/>
        <v>0</v>
      </c>
      <c r="AT429" s="408" t="s">
        <v>1470</v>
      </c>
    </row>
    <row r="430" spans="1:46" ht="86.15" hidden="1" customHeight="1" outlineLevel="1" x14ac:dyDescent="0.35">
      <c r="A430" s="590">
        <v>40</v>
      </c>
      <c r="B430" s="612" t="s">
        <v>609</v>
      </c>
      <c r="C430" s="604" t="s">
        <v>609</v>
      </c>
      <c r="D430" s="561">
        <v>44530</v>
      </c>
      <c r="E430" s="432" t="s">
        <v>1877</v>
      </c>
      <c r="F430" s="480" t="s">
        <v>417</v>
      </c>
      <c r="G430" s="71" t="s">
        <v>23</v>
      </c>
      <c r="H430" s="310" t="s">
        <v>1807</v>
      </c>
      <c r="I430" s="334"/>
      <c r="J430" s="283"/>
      <c r="K430" s="294">
        <f t="shared" si="729"/>
        <v>0.116532</v>
      </c>
      <c r="L430" s="20">
        <f t="shared" si="731"/>
        <v>0</v>
      </c>
      <c r="M430" s="95">
        <f t="shared" si="732"/>
        <v>0</v>
      </c>
      <c r="N430" s="94">
        <f t="shared" si="733"/>
        <v>0.116532</v>
      </c>
      <c r="O430" s="94">
        <f t="shared" si="709"/>
        <v>0.116532</v>
      </c>
      <c r="P430" s="94">
        <f t="shared" si="710"/>
        <v>0.116532</v>
      </c>
      <c r="Q430" s="94">
        <f t="shared" si="711"/>
        <v>0</v>
      </c>
      <c r="R430" s="94">
        <f t="shared" si="726"/>
        <v>0</v>
      </c>
      <c r="S430" s="94">
        <f t="shared" si="713"/>
        <v>0</v>
      </c>
      <c r="T430" s="94">
        <f t="shared" si="727"/>
        <v>0</v>
      </c>
      <c r="U430" s="402">
        <f t="shared" si="728"/>
        <v>0</v>
      </c>
      <c r="V430" s="573">
        <v>0</v>
      </c>
      <c r="W430" s="326">
        <v>0</v>
      </c>
      <c r="X430" s="207">
        <f>-0.116532</f>
        <v>-0.116532</v>
      </c>
      <c r="Y430" s="132">
        <v>0</v>
      </c>
      <c r="Z430" s="132">
        <v>-4.5837999999999997E-2</v>
      </c>
      <c r="AA430" s="132">
        <v>-4.5837999999999997E-2</v>
      </c>
      <c r="AB430" s="207">
        <v>-0.116532</v>
      </c>
      <c r="AC430" s="207">
        <v>0</v>
      </c>
      <c r="AD430" s="132">
        <v>0</v>
      </c>
      <c r="AE430" s="132">
        <v>0</v>
      </c>
      <c r="AF430" s="132">
        <v>0</v>
      </c>
      <c r="AG430" s="132">
        <v>0</v>
      </c>
      <c r="AH430" s="132">
        <v>0</v>
      </c>
      <c r="AI430" s="387">
        <v>0</v>
      </c>
      <c r="AJ430" s="207">
        <v>0</v>
      </c>
      <c r="AK430" s="367">
        <v>0</v>
      </c>
      <c r="AL430" s="367">
        <v>0</v>
      </c>
      <c r="AM430" s="367">
        <v>0</v>
      </c>
      <c r="AN430" s="367">
        <v>0</v>
      </c>
      <c r="AO430" s="295">
        <v>0</v>
      </c>
      <c r="AP430" s="295">
        <v>0</v>
      </c>
      <c r="AQ430" s="295">
        <v>0</v>
      </c>
      <c r="AR430" s="387">
        <v>0</v>
      </c>
      <c r="AS430" s="295">
        <f t="shared" ref="AS430:AS431" si="741">-AR430</f>
        <v>0</v>
      </c>
      <c r="AT430" s="408" t="s">
        <v>1808</v>
      </c>
    </row>
    <row r="431" spans="1:46" ht="87" hidden="1" customHeight="1" outlineLevel="1" x14ac:dyDescent="0.35">
      <c r="A431" s="590">
        <v>39</v>
      </c>
      <c r="B431" s="612" t="s">
        <v>609</v>
      </c>
      <c r="C431" s="604" t="s">
        <v>609</v>
      </c>
      <c r="D431" s="63">
        <v>44684</v>
      </c>
      <c r="E431" s="432" t="s">
        <v>2089</v>
      </c>
      <c r="F431" s="480" t="s">
        <v>417</v>
      </c>
      <c r="G431" s="71" t="s">
        <v>23</v>
      </c>
      <c r="H431" s="310" t="s">
        <v>1807</v>
      </c>
      <c r="I431" s="334"/>
      <c r="J431" s="283"/>
      <c r="K431" s="294">
        <f t="shared" ref="K431" si="742">M431+P431+U431+R431+T431</f>
        <v>9.9542000000000005E-2</v>
      </c>
      <c r="L431" s="20">
        <f t="shared" si="731"/>
        <v>0</v>
      </c>
      <c r="M431" s="95">
        <f t="shared" si="732"/>
        <v>0</v>
      </c>
      <c r="N431" s="94">
        <f t="shared" si="733"/>
        <v>0</v>
      </c>
      <c r="O431" s="94">
        <f t="shared" ref="O431" si="743">-X431</f>
        <v>0</v>
      </c>
      <c r="P431" s="94">
        <f t="shared" ref="P431" si="744">-AB431</f>
        <v>0</v>
      </c>
      <c r="Q431" s="94">
        <f t="shared" si="711"/>
        <v>9.9542000000000005E-2</v>
      </c>
      <c r="R431" s="94">
        <f t="shared" si="726"/>
        <v>9.9542000000000005E-2</v>
      </c>
      <c r="S431" s="94">
        <f t="shared" si="713"/>
        <v>9.9542000000000005E-2</v>
      </c>
      <c r="T431" s="94">
        <f t="shared" si="727"/>
        <v>0</v>
      </c>
      <c r="U431" s="402">
        <f t="shared" si="728"/>
        <v>0</v>
      </c>
      <c r="V431" s="573">
        <v>0</v>
      </c>
      <c r="W431" s="326">
        <v>0</v>
      </c>
      <c r="X431" s="207">
        <v>0</v>
      </c>
      <c r="Y431" s="132">
        <v>0</v>
      </c>
      <c r="Z431" s="132">
        <v>-4.5837999999999997E-2</v>
      </c>
      <c r="AA431" s="132">
        <v>-4.5837999999999997E-2</v>
      </c>
      <c r="AB431" s="207">
        <v>0</v>
      </c>
      <c r="AC431" s="207">
        <v>-9.9542000000000005E-2</v>
      </c>
      <c r="AD431" s="132">
        <v>0</v>
      </c>
      <c r="AE431" s="132">
        <v>0</v>
      </c>
      <c r="AF431" s="132">
        <v>0</v>
      </c>
      <c r="AG431" s="927">
        <v>-9.9542000000000005E-2</v>
      </c>
      <c r="AH431" s="927">
        <v>-9.9542000000000005E-2</v>
      </c>
      <c r="AI431" s="623">
        <f>-0.099542</f>
        <v>-9.9542000000000005E-2</v>
      </c>
      <c r="AJ431" s="207">
        <v>0</v>
      </c>
      <c r="AK431" s="367">
        <v>0</v>
      </c>
      <c r="AL431" s="367">
        <v>0</v>
      </c>
      <c r="AM431" s="367">
        <v>0</v>
      </c>
      <c r="AN431" s="367">
        <v>0</v>
      </c>
      <c r="AO431" s="295">
        <v>0</v>
      </c>
      <c r="AP431" s="295">
        <v>0</v>
      </c>
      <c r="AQ431" s="295">
        <v>0</v>
      </c>
      <c r="AR431" s="623">
        <v>0</v>
      </c>
      <c r="AS431" s="295">
        <f t="shared" si="741"/>
        <v>0</v>
      </c>
      <c r="AT431" s="408" t="s">
        <v>2088</v>
      </c>
    </row>
    <row r="432" spans="1:46" ht="101.5" hidden="1" customHeight="1" outlineLevel="1" x14ac:dyDescent="0.35">
      <c r="A432" s="590">
        <v>41</v>
      </c>
      <c r="B432" s="612" t="s">
        <v>194</v>
      </c>
      <c r="C432" s="596" t="s">
        <v>194</v>
      </c>
      <c r="D432" s="63">
        <v>43965</v>
      </c>
      <c r="E432" s="432" t="s">
        <v>195</v>
      </c>
      <c r="F432" s="480" t="s">
        <v>232</v>
      </c>
      <c r="G432" s="71" t="s">
        <v>192</v>
      </c>
      <c r="H432" s="310" t="s">
        <v>130</v>
      </c>
      <c r="I432" s="334"/>
      <c r="J432" s="283"/>
      <c r="K432" s="294">
        <f t="shared" si="729"/>
        <v>8.0036999999999997E-2</v>
      </c>
      <c r="L432" s="20">
        <f t="shared" si="730"/>
        <v>8.0037999999999998E-2</v>
      </c>
      <c r="M432" s="95">
        <f t="shared" si="730"/>
        <v>8.0036999999999997E-2</v>
      </c>
      <c r="N432" s="94">
        <f t="shared" si="730"/>
        <v>0</v>
      </c>
      <c r="O432" s="94">
        <f t="shared" si="709"/>
        <v>0</v>
      </c>
      <c r="P432" s="94">
        <f t="shared" si="710"/>
        <v>0</v>
      </c>
      <c r="Q432" s="94">
        <f t="shared" si="711"/>
        <v>0</v>
      </c>
      <c r="R432" s="94">
        <f t="shared" si="726"/>
        <v>0</v>
      </c>
      <c r="S432" s="94">
        <f t="shared" si="713"/>
        <v>0</v>
      </c>
      <c r="T432" s="94">
        <f t="shared" si="727"/>
        <v>0</v>
      </c>
      <c r="U432" s="402">
        <f t="shared" si="728"/>
        <v>0</v>
      </c>
      <c r="V432" s="573">
        <v>-8.0037999999999998E-2</v>
      </c>
      <c r="W432" s="326">
        <v>-8.0036999999999997E-2</v>
      </c>
      <c r="X432" s="207">
        <v>0</v>
      </c>
      <c r="Y432" s="132">
        <v>0</v>
      </c>
      <c r="Z432" s="132">
        <v>0</v>
      </c>
      <c r="AA432" s="132">
        <v>0</v>
      </c>
      <c r="AB432" s="207">
        <v>0</v>
      </c>
      <c r="AC432" s="207">
        <v>0</v>
      </c>
      <c r="AD432" s="132">
        <v>0</v>
      </c>
      <c r="AE432" s="132">
        <v>0</v>
      </c>
      <c r="AF432" s="132">
        <v>0</v>
      </c>
      <c r="AG432" s="132">
        <v>0</v>
      </c>
      <c r="AH432" s="132">
        <v>0</v>
      </c>
      <c r="AI432" s="387">
        <v>0</v>
      </c>
      <c r="AJ432" s="207">
        <v>0</v>
      </c>
      <c r="AK432" s="367">
        <v>0</v>
      </c>
      <c r="AL432" s="367">
        <v>0</v>
      </c>
      <c r="AM432" s="367">
        <v>0</v>
      </c>
      <c r="AN432" s="367">
        <v>0</v>
      </c>
      <c r="AO432" s="295">
        <v>0</v>
      </c>
      <c r="AP432" s="295">
        <v>0</v>
      </c>
      <c r="AQ432" s="295">
        <v>0</v>
      </c>
      <c r="AR432" s="387">
        <v>0</v>
      </c>
      <c r="AS432" s="295">
        <f t="shared" si="716"/>
        <v>0</v>
      </c>
      <c r="AT432" s="417" t="s">
        <v>407</v>
      </c>
    </row>
    <row r="433" spans="1:46" ht="72.650000000000006" hidden="1" customHeight="1" outlineLevel="1" x14ac:dyDescent="0.35">
      <c r="A433" s="590">
        <v>42</v>
      </c>
      <c r="B433" s="612" t="s">
        <v>218</v>
      </c>
      <c r="C433" s="596" t="s">
        <v>218</v>
      </c>
      <c r="D433" s="63" t="s">
        <v>600</v>
      </c>
      <c r="E433" s="432" t="s">
        <v>599</v>
      </c>
      <c r="F433" s="480" t="s">
        <v>601</v>
      </c>
      <c r="G433" s="242" t="s">
        <v>219</v>
      </c>
      <c r="H433" s="310" t="s">
        <v>129</v>
      </c>
      <c r="I433" s="334"/>
      <c r="J433" s="283"/>
      <c r="K433" s="294">
        <f t="shared" si="729"/>
        <v>0</v>
      </c>
      <c r="L433" s="20">
        <f t="shared" si="730"/>
        <v>0.14499999999999999</v>
      </c>
      <c r="M433" s="95">
        <f t="shared" si="730"/>
        <v>0</v>
      </c>
      <c r="N433" s="94">
        <f t="shared" si="730"/>
        <v>0.245</v>
      </c>
      <c r="O433" s="94">
        <f t="shared" si="709"/>
        <v>0.245</v>
      </c>
      <c r="P433" s="94">
        <f t="shared" si="710"/>
        <v>0</v>
      </c>
      <c r="Q433" s="94">
        <f t="shared" si="711"/>
        <v>0</v>
      </c>
      <c r="R433" s="94">
        <f t="shared" si="726"/>
        <v>0</v>
      </c>
      <c r="S433" s="94">
        <f t="shared" si="713"/>
        <v>0</v>
      </c>
      <c r="T433" s="94">
        <f t="shared" si="727"/>
        <v>0</v>
      </c>
      <c r="U433" s="402">
        <f t="shared" si="728"/>
        <v>0</v>
      </c>
      <c r="V433" s="893">
        <v>-0.14499999999999999</v>
      </c>
      <c r="W433" s="387">
        <v>0</v>
      </c>
      <c r="X433" s="207">
        <v>-0.245</v>
      </c>
      <c r="Y433" s="132">
        <v>-0.245</v>
      </c>
      <c r="Z433" s="132">
        <v>-0.245</v>
      </c>
      <c r="AA433" s="132">
        <v>-0.245</v>
      </c>
      <c r="AB433" s="207">
        <v>0</v>
      </c>
      <c r="AC433" s="207">
        <v>0</v>
      </c>
      <c r="AD433" s="132">
        <v>0</v>
      </c>
      <c r="AE433" s="132">
        <v>0</v>
      </c>
      <c r="AF433" s="132">
        <v>0</v>
      </c>
      <c r="AG433" s="132">
        <v>0</v>
      </c>
      <c r="AH433" s="132">
        <v>0</v>
      </c>
      <c r="AI433" s="387">
        <v>0</v>
      </c>
      <c r="AJ433" s="207">
        <v>0</v>
      </c>
      <c r="AK433" s="367">
        <v>0</v>
      </c>
      <c r="AL433" s="367">
        <v>0</v>
      </c>
      <c r="AM433" s="367">
        <v>0</v>
      </c>
      <c r="AN433" s="367">
        <v>0</v>
      </c>
      <c r="AO433" s="295">
        <v>0</v>
      </c>
      <c r="AP433" s="295">
        <v>0</v>
      </c>
      <c r="AQ433" s="295">
        <v>0</v>
      </c>
      <c r="AR433" s="387">
        <v>0</v>
      </c>
      <c r="AS433" s="295">
        <f t="shared" si="716"/>
        <v>0</v>
      </c>
      <c r="AT433" s="408" t="s">
        <v>602</v>
      </c>
    </row>
    <row r="434" spans="1:46" ht="58" hidden="1" customHeight="1" outlineLevel="1" x14ac:dyDescent="0.35">
      <c r="A434" s="590">
        <v>43</v>
      </c>
      <c r="B434" s="612" t="s">
        <v>224</v>
      </c>
      <c r="C434" s="604" t="s">
        <v>224</v>
      </c>
      <c r="D434" s="63" t="s">
        <v>598</v>
      </c>
      <c r="E434" s="432" t="s">
        <v>215</v>
      </c>
      <c r="F434" s="480" t="s">
        <v>604</v>
      </c>
      <c r="G434" s="242" t="s">
        <v>280</v>
      </c>
      <c r="H434" s="310" t="s">
        <v>127</v>
      </c>
      <c r="I434" s="334"/>
      <c r="J434" s="283"/>
      <c r="K434" s="294">
        <f t="shared" si="729"/>
        <v>0</v>
      </c>
      <c r="L434" s="20">
        <f t="shared" ref="L434" si="745">-V434</f>
        <v>0</v>
      </c>
      <c r="M434" s="95">
        <f t="shared" ref="M434" si="746">-W434</f>
        <v>0</v>
      </c>
      <c r="N434" s="94">
        <f>-X434</f>
        <v>4.588000000000001</v>
      </c>
      <c r="O434" s="94">
        <f t="shared" si="709"/>
        <v>4.588000000000001</v>
      </c>
      <c r="P434" s="94">
        <f t="shared" si="710"/>
        <v>0</v>
      </c>
      <c r="Q434" s="94">
        <f t="shared" si="711"/>
        <v>0</v>
      </c>
      <c r="R434" s="94">
        <f t="shared" si="726"/>
        <v>0</v>
      </c>
      <c r="S434" s="94">
        <f t="shared" si="713"/>
        <v>0</v>
      </c>
      <c r="T434" s="94">
        <f t="shared" si="727"/>
        <v>0</v>
      </c>
      <c r="U434" s="402">
        <f t="shared" si="728"/>
        <v>0</v>
      </c>
      <c r="V434" s="573">
        <v>0</v>
      </c>
      <c r="W434" s="326">
        <v>0</v>
      </c>
      <c r="X434" s="207">
        <f>-15+0.372+2.04+8</f>
        <v>-4.588000000000001</v>
      </c>
      <c r="Y434" s="132">
        <v>-15</v>
      </c>
      <c r="Z434" s="132">
        <f>-14.628+2.04</f>
        <v>-12.588000000000001</v>
      </c>
      <c r="AA434" s="132">
        <f>-14.628+2.04</f>
        <v>-12.588000000000001</v>
      </c>
      <c r="AB434" s="207">
        <v>0</v>
      </c>
      <c r="AC434" s="207">
        <v>0</v>
      </c>
      <c r="AD434" s="132">
        <v>0</v>
      </c>
      <c r="AE434" s="132">
        <v>0</v>
      </c>
      <c r="AF434" s="132">
        <v>0</v>
      </c>
      <c r="AG434" s="132">
        <v>0</v>
      </c>
      <c r="AH434" s="132">
        <v>0</v>
      </c>
      <c r="AI434" s="387">
        <v>0</v>
      </c>
      <c r="AJ434" s="207">
        <v>0</v>
      </c>
      <c r="AK434" s="367">
        <v>0</v>
      </c>
      <c r="AL434" s="367">
        <v>0</v>
      </c>
      <c r="AM434" s="367">
        <v>0</v>
      </c>
      <c r="AN434" s="367">
        <v>0</v>
      </c>
      <c r="AO434" s="295">
        <v>0</v>
      </c>
      <c r="AP434" s="295">
        <v>0</v>
      </c>
      <c r="AQ434" s="295">
        <v>0</v>
      </c>
      <c r="AR434" s="387">
        <v>0</v>
      </c>
      <c r="AS434" s="295">
        <f t="shared" ref="AS434" si="747">-AR434</f>
        <v>0</v>
      </c>
      <c r="AT434" s="408" t="s">
        <v>605</v>
      </c>
    </row>
    <row r="435" spans="1:46" ht="145.5" hidden="1" customHeight="1" outlineLevel="1" x14ac:dyDescent="0.35">
      <c r="A435" s="590">
        <v>44</v>
      </c>
      <c r="B435" s="612" t="s">
        <v>224</v>
      </c>
      <c r="C435" s="604" t="s">
        <v>224</v>
      </c>
      <c r="D435" s="63">
        <v>44446</v>
      </c>
      <c r="E435" s="432" t="s">
        <v>1642</v>
      </c>
      <c r="F435" s="480" t="s">
        <v>1604</v>
      </c>
      <c r="G435" s="242" t="s">
        <v>25</v>
      </c>
      <c r="H435" s="310" t="s">
        <v>127</v>
      </c>
      <c r="I435" s="334"/>
      <c r="J435" s="283"/>
      <c r="K435" s="294">
        <f t="shared" si="729"/>
        <v>1.251376</v>
      </c>
      <c r="L435" s="20">
        <f t="shared" ref="L435:L436" si="748">-V435</f>
        <v>0</v>
      </c>
      <c r="M435" s="95">
        <f t="shared" ref="M435:M436" si="749">-W435</f>
        <v>0</v>
      </c>
      <c r="N435" s="94">
        <f t="shared" ref="N435:N436" si="750">-X435</f>
        <v>2.04</v>
      </c>
      <c r="O435" s="94">
        <f t="shared" si="709"/>
        <v>2.04</v>
      </c>
      <c r="P435" s="94">
        <f t="shared" si="710"/>
        <v>1.251376</v>
      </c>
      <c r="Q435" s="94">
        <f t="shared" si="711"/>
        <v>0</v>
      </c>
      <c r="R435" s="94">
        <f t="shared" ref="R435:R436" si="751">-AC435</f>
        <v>0</v>
      </c>
      <c r="S435" s="94">
        <f t="shared" si="713"/>
        <v>0</v>
      </c>
      <c r="T435" s="94">
        <f t="shared" ref="T435:T436" si="752">-AJ435</f>
        <v>0</v>
      </c>
      <c r="U435" s="402">
        <f t="shared" ref="U435:U436" si="753">-AQ435</f>
        <v>0</v>
      </c>
      <c r="V435" s="573">
        <v>0</v>
      </c>
      <c r="W435" s="326">
        <v>0</v>
      </c>
      <c r="X435" s="207">
        <f>-2.04</f>
        <v>-2.04</v>
      </c>
      <c r="Y435" s="132">
        <v>0</v>
      </c>
      <c r="Z435" s="132">
        <f>-2.04</f>
        <v>-2.04</v>
      </c>
      <c r="AA435" s="132">
        <f>-2.04</f>
        <v>-2.04</v>
      </c>
      <c r="AB435" s="207">
        <f>-1.251376</f>
        <v>-1.251376</v>
      </c>
      <c r="AC435" s="207">
        <v>0</v>
      </c>
      <c r="AD435" s="132">
        <v>0</v>
      </c>
      <c r="AE435" s="132">
        <v>0</v>
      </c>
      <c r="AF435" s="132">
        <v>0</v>
      </c>
      <c r="AG435" s="132">
        <v>0</v>
      </c>
      <c r="AH435" s="132">
        <v>0</v>
      </c>
      <c r="AI435" s="387">
        <v>0</v>
      </c>
      <c r="AJ435" s="207">
        <v>0</v>
      </c>
      <c r="AK435" s="367">
        <v>0</v>
      </c>
      <c r="AL435" s="367">
        <v>0</v>
      </c>
      <c r="AM435" s="367">
        <v>0</v>
      </c>
      <c r="AN435" s="367">
        <v>0</v>
      </c>
      <c r="AO435" s="295">
        <v>0</v>
      </c>
      <c r="AP435" s="295">
        <v>0</v>
      </c>
      <c r="AQ435" s="295">
        <v>0</v>
      </c>
      <c r="AR435" s="387">
        <v>0</v>
      </c>
      <c r="AS435" s="295">
        <f t="shared" ref="AS435:AS436" si="754">-AR435</f>
        <v>0</v>
      </c>
      <c r="AT435" s="408" t="s">
        <v>1605</v>
      </c>
    </row>
    <row r="436" spans="1:46" ht="145.5" hidden="1" customHeight="1" outlineLevel="1" x14ac:dyDescent="0.35">
      <c r="A436" s="590">
        <v>45</v>
      </c>
      <c r="B436" s="612" t="s">
        <v>224</v>
      </c>
      <c r="C436" s="604" t="s">
        <v>224</v>
      </c>
      <c r="D436" s="63">
        <v>44343</v>
      </c>
      <c r="E436" s="432" t="s">
        <v>1457</v>
      </c>
      <c r="F436" s="480" t="s">
        <v>1427</v>
      </c>
      <c r="G436" s="242" t="s">
        <v>25</v>
      </c>
      <c r="H436" s="310" t="s">
        <v>127</v>
      </c>
      <c r="I436" s="334"/>
      <c r="J436" s="283"/>
      <c r="K436" s="294">
        <f t="shared" si="729"/>
        <v>0.29191</v>
      </c>
      <c r="L436" s="20">
        <f t="shared" si="748"/>
        <v>0</v>
      </c>
      <c r="M436" s="95">
        <f t="shared" si="749"/>
        <v>0</v>
      </c>
      <c r="N436" s="94">
        <f t="shared" si="750"/>
        <v>0.372</v>
      </c>
      <c r="O436" s="94">
        <f t="shared" si="709"/>
        <v>0.372</v>
      </c>
      <c r="P436" s="94">
        <f t="shared" si="710"/>
        <v>0.29191</v>
      </c>
      <c r="Q436" s="94">
        <f t="shared" si="711"/>
        <v>0</v>
      </c>
      <c r="R436" s="94">
        <f t="shared" si="751"/>
        <v>0</v>
      </c>
      <c r="S436" s="94">
        <f t="shared" si="713"/>
        <v>0</v>
      </c>
      <c r="T436" s="94">
        <f t="shared" si="752"/>
        <v>0</v>
      </c>
      <c r="U436" s="402">
        <f t="shared" si="753"/>
        <v>0</v>
      </c>
      <c r="V436" s="573">
        <v>0</v>
      </c>
      <c r="W436" s="326">
        <v>0</v>
      </c>
      <c r="X436" s="207">
        <v>-0.372</v>
      </c>
      <c r="Y436" s="132">
        <v>0</v>
      </c>
      <c r="Z436" s="132">
        <v>-0.372</v>
      </c>
      <c r="AA436" s="132">
        <v>-0.372</v>
      </c>
      <c r="AB436" s="207">
        <f>-0.29191</f>
        <v>-0.29191</v>
      </c>
      <c r="AC436" s="207">
        <v>0</v>
      </c>
      <c r="AD436" s="132">
        <v>0</v>
      </c>
      <c r="AE436" s="132">
        <v>0</v>
      </c>
      <c r="AF436" s="132">
        <v>0</v>
      </c>
      <c r="AG436" s="132">
        <v>0</v>
      </c>
      <c r="AH436" s="132">
        <v>0</v>
      </c>
      <c r="AI436" s="387">
        <v>0</v>
      </c>
      <c r="AJ436" s="207">
        <v>0</v>
      </c>
      <c r="AK436" s="367">
        <v>0</v>
      </c>
      <c r="AL436" s="367">
        <v>0</v>
      </c>
      <c r="AM436" s="367">
        <v>0</v>
      </c>
      <c r="AN436" s="367">
        <v>0</v>
      </c>
      <c r="AO436" s="295">
        <v>0</v>
      </c>
      <c r="AP436" s="295">
        <v>0</v>
      </c>
      <c r="AQ436" s="295">
        <v>0</v>
      </c>
      <c r="AR436" s="387">
        <v>0</v>
      </c>
      <c r="AS436" s="295">
        <f t="shared" si="754"/>
        <v>0</v>
      </c>
      <c r="AT436" s="408" t="s">
        <v>1428</v>
      </c>
    </row>
    <row r="437" spans="1:46" ht="80.5" hidden="1" customHeight="1" outlineLevel="1" x14ac:dyDescent="0.35">
      <c r="A437" s="590">
        <v>46</v>
      </c>
      <c r="B437" s="612" t="s">
        <v>224</v>
      </c>
      <c r="C437" s="604" t="s">
        <v>224</v>
      </c>
      <c r="D437" s="556">
        <v>44509</v>
      </c>
      <c r="E437" s="432" t="s">
        <v>1811</v>
      </c>
      <c r="F437" s="480" t="s">
        <v>1812</v>
      </c>
      <c r="G437" s="242" t="s">
        <v>216</v>
      </c>
      <c r="H437" s="310" t="s">
        <v>127</v>
      </c>
      <c r="I437" s="334"/>
      <c r="J437" s="283"/>
      <c r="K437" s="294">
        <f t="shared" si="729"/>
        <v>0</v>
      </c>
      <c r="L437" s="20">
        <f t="shared" si="730"/>
        <v>0</v>
      </c>
      <c r="M437" s="95">
        <f t="shared" si="730"/>
        <v>0</v>
      </c>
      <c r="N437" s="94">
        <f t="shared" si="730"/>
        <v>8</v>
      </c>
      <c r="O437" s="94">
        <f t="shared" si="709"/>
        <v>8</v>
      </c>
      <c r="P437" s="94">
        <f t="shared" si="710"/>
        <v>0</v>
      </c>
      <c r="Q437" s="94">
        <f t="shared" ref="Q437:Q468" si="755">-AC437</f>
        <v>0</v>
      </c>
      <c r="R437" s="94">
        <f t="shared" si="726"/>
        <v>0</v>
      </c>
      <c r="S437" s="94">
        <f t="shared" ref="S437:S468" si="756">-AI437</f>
        <v>0</v>
      </c>
      <c r="T437" s="94">
        <f t="shared" si="727"/>
        <v>0</v>
      </c>
      <c r="U437" s="402">
        <f t="shared" si="728"/>
        <v>0</v>
      </c>
      <c r="V437" s="573">
        <v>0</v>
      </c>
      <c r="W437" s="326">
        <v>0</v>
      </c>
      <c r="X437" s="207">
        <f>-8</f>
        <v>-8</v>
      </c>
      <c r="Y437" s="132">
        <v>0</v>
      </c>
      <c r="Z437" s="132">
        <v>-0.372</v>
      </c>
      <c r="AA437" s="132">
        <f>0</f>
        <v>0</v>
      </c>
      <c r="AB437" s="207">
        <f>0</f>
        <v>0</v>
      </c>
      <c r="AC437" s="207">
        <v>0</v>
      </c>
      <c r="AD437" s="132">
        <v>0</v>
      </c>
      <c r="AE437" s="132">
        <v>0</v>
      </c>
      <c r="AF437" s="132">
        <v>0</v>
      </c>
      <c r="AG437" s="132">
        <v>0</v>
      </c>
      <c r="AH437" s="132">
        <v>0</v>
      </c>
      <c r="AI437" s="387">
        <f>0</f>
        <v>0</v>
      </c>
      <c r="AJ437" s="207">
        <v>0</v>
      </c>
      <c r="AK437" s="367">
        <v>0</v>
      </c>
      <c r="AL437" s="367">
        <v>0</v>
      </c>
      <c r="AM437" s="367">
        <v>0</v>
      </c>
      <c r="AN437" s="367">
        <v>0</v>
      </c>
      <c r="AO437" s="295">
        <v>0</v>
      </c>
      <c r="AP437" s="295">
        <v>0</v>
      </c>
      <c r="AQ437" s="295">
        <v>0</v>
      </c>
      <c r="AR437" s="387">
        <f>0</f>
        <v>0</v>
      </c>
      <c r="AS437" s="295">
        <f t="shared" si="716"/>
        <v>0</v>
      </c>
      <c r="AT437" s="408" t="s">
        <v>1809</v>
      </c>
    </row>
    <row r="438" spans="1:46" ht="43.5" hidden="1" customHeight="1" outlineLevel="1" x14ac:dyDescent="0.35">
      <c r="A438" s="590">
        <v>47</v>
      </c>
      <c r="B438" s="612" t="s">
        <v>242</v>
      </c>
      <c r="C438" s="604" t="s">
        <v>242</v>
      </c>
      <c r="D438" s="63" t="s">
        <v>598</v>
      </c>
      <c r="E438" s="432" t="s">
        <v>215</v>
      </c>
      <c r="F438" s="480" t="s">
        <v>351</v>
      </c>
      <c r="G438" s="242" t="s">
        <v>225</v>
      </c>
      <c r="H438" s="310" t="s">
        <v>129</v>
      </c>
      <c r="I438" s="334"/>
      <c r="J438" s="283"/>
      <c r="K438" s="294">
        <f t="shared" si="729"/>
        <v>8.0087000000000005E-2</v>
      </c>
      <c r="L438" s="20">
        <f t="shared" si="730"/>
        <v>8.0087000000000005E-2</v>
      </c>
      <c r="M438" s="95">
        <f t="shared" si="730"/>
        <v>8.0087000000000005E-2</v>
      </c>
      <c r="N438" s="94">
        <f t="shared" si="730"/>
        <v>1.419913</v>
      </c>
      <c r="O438" s="94">
        <f t="shared" ref="O438:O478" si="757">-X438</f>
        <v>1.419913</v>
      </c>
      <c r="P438" s="94">
        <f t="shared" ref="P438:P478" si="758">-AB438</f>
        <v>0</v>
      </c>
      <c r="Q438" s="94">
        <f t="shared" si="755"/>
        <v>0</v>
      </c>
      <c r="R438" s="94">
        <f t="shared" si="726"/>
        <v>0</v>
      </c>
      <c r="S438" s="94">
        <f t="shared" si="756"/>
        <v>0</v>
      </c>
      <c r="T438" s="94">
        <f t="shared" si="727"/>
        <v>0</v>
      </c>
      <c r="U438" s="402">
        <f t="shared" si="728"/>
        <v>0</v>
      </c>
      <c r="V438" s="573">
        <v>-8.0087000000000005E-2</v>
      </c>
      <c r="W438" s="326">
        <v>-8.0087000000000005E-2</v>
      </c>
      <c r="X438" s="207">
        <v>-1.419913</v>
      </c>
      <c r="Y438" s="132">
        <v>-1.419913</v>
      </c>
      <c r="Z438" s="132">
        <v>-1.419913</v>
      </c>
      <c r="AA438" s="132">
        <v>-1.419913</v>
      </c>
      <c r="AB438" s="207">
        <v>0</v>
      </c>
      <c r="AC438" s="207">
        <v>0</v>
      </c>
      <c r="AD438" s="132">
        <v>0</v>
      </c>
      <c r="AE438" s="132">
        <v>0</v>
      </c>
      <c r="AF438" s="132">
        <v>0</v>
      </c>
      <c r="AG438" s="132">
        <v>0</v>
      </c>
      <c r="AH438" s="132">
        <v>0</v>
      </c>
      <c r="AI438" s="387">
        <v>0</v>
      </c>
      <c r="AJ438" s="207">
        <v>0</v>
      </c>
      <c r="AK438" s="367">
        <v>0</v>
      </c>
      <c r="AL438" s="367">
        <v>0</v>
      </c>
      <c r="AM438" s="367">
        <v>0</v>
      </c>
      <c r="AN438" s="367">
        <v>0</v>
      </c>
      <c r="AO438" s="295">
        <v>0</v>
      </c>
      <c r="AP438" s="295">
        <v>0</v>
      </c>
      <c r="AQ438" s="295">
        <v>0</v>
      </c>
      <c r="AR438" s="387">
        <v>0</v>
      </c>
      <c r="AS438" s="295">
        <f t="shared" si="716"/>
        <v>0</v>
      </c>
      <c r="AT438" s="408" t="s">
        <v>646</v>
      </c>
    </row>
    <row r="439" spans="1:46" ht="58" hidden="1" customHeight="1" outlineLevel="1" x14ac:dyDescent="0.35">
      <c r="A439" s="590">
        <v>48</v>
      </c>
      <c r="B439" s="612" t="s">
        <v>242</v>
      </c>
      <c r="C439" s="604" t="s">
        <v>242</v>
      </c>
      <c r="D439" s="63" t="s">
        <v>598</v>
      </c>
      <c r="E439" s="432" t="s">
        <v>215</v>
      </c>
      <c r="F439" s="480" t="s">
        <v>226</v>
      </c>
      <c r="G439" s="242" t="s">
        <v>225</v>
      </c>
      <c r="H439" s="310" t="s">
        <v>129</v>
      </c>
      <c r="I439" s="334"/>
      <c r="J439" s="283"/>
      <c r="K439" s="294">
        <f t="shared" si="729"/>
        <v>0</v>
      </c>
      <c r="L439" s="20">
        <f t="shared" si="730"/>
        <v>0</v>
      </c>
      <c r="M439" s="95">
        <f t="shared" si="730"/>
        <v>0</v>
      </c>
      <c r="N439" s="94">
        <f t="shared" si="730"/>
        <v>6</v>
      </c>
      <c r="O439" s="94">
        <f t="shared" si="757"/>
        <v>6</v>
      </c>
      <c r="P439" s="94">
        <f t="shared" si="758"/>
        <v>0</v>
      </c>
      <c r="Q439" s="94">
        <f t="shared" si="755"/>
        <v>0</v>
      </c>
      <c r="R439" s="94">
        <f t="shared" si="726"/>
        <v>0</v>
      </c>
      <c r="S439" s="94">
        <f t="shared" si="756"/>
        <v>0</v>
      </c>
      <c r="T439" s="94">
        <f t="shared" si="727"/>
        <v>0</v>
      </c>
      <c r="U439" s="402">
        <f t="shared" si="728"/>
        <v>0</v>
      </c>
      <c r="V439" s="573">
        <v>0</v>
      </c>
      <c r="W439" s="326">
        <v>0</v>
      </c>
      <c r="X439" s="207">
        <v>-6</v>
      </c>
      <c r="Y439" s="132">
        <v>-6</v>
      </c>
      <c r="Z439" s="132">
        <v>-6</v>
      </c>
      <c r="AA439" s="132">
        <v>-6</v>
      </c>
      <c r="AB439" s="207">
        <v>0</v>
      </c>
      <c r="AC439" s="207">
        <v>0</v>
      </c>
      <c r="AD439" s="132">
        <v>0</v>
      </c>
      <c r="AE439" s="132">
        <v>0</v>
      </c>
      <c r="AF439" s="132">
        <v>0</v>
      </c>
      <c r="AG439" s="132">
        <v>0</v>
      </c>
      <c r="AH439" s="132">
        <v>0</v>
      </c>
      <c r="AI439" s="387">
        <v>0</v>
      </c>
      <c r="AJ439" s="207">
        <v>0</v>
      </c>
      <c r="AK439" s="367">
        <v>0</v>
      </c>
      <c r="AL439" s="367">
        <v>0</v>
      </c>
      <c r="AM439" s="367">
        <v>0</v>
      </c>
      <c r="AN439" s="367">
        <v>0</v>
      </c>
      <c r="AO439" s="295">
        <v>0</v>
      </c>
      <c r="AP439" s="295">
        <v>0</v>
      </c>
      <c r="AQ439" s="295">
        <v>0</v>
      </c>
      <c r="AR439" s="387">
        <v>0</v>
      </c>
      <c r="AS439" s="295">
        <f t="shared" si="716"/>
        <v>0</v>
      </c>
      <c r="AT439" s="408" t="s">
        <v>606</v>
      </c>
    </row>
    <row r="440" spans="1:46" ht="58" hidden="1" customHeight="1" outlineLevel="1" x14ac:dyDescent="0.35">
      <c r="A440" s="590">
        <v>49</v>
      </c>
      <c r="B440" s="612" t="s">
        <v>242</v>
      </c>
      <c r="C440" s="604" t="s">
        <v>242</v>
      </c>
      <c r="D440" s="63">
        <v>44103</v>
      </c>
      <c r="E440" s="432" t="s">
        <v>381</v>
      </c>
      <c r="F440" s="480" t="s">
        <v>380</v>
      </c>
      <c r="G440" s="242" t="s">
        <v>225</v>
      </c>
      <c r="H440" s="310" t="s">
        <v>129</v>
      </c>
      <c r="I440" s="334"/>
      <c r="J440" s="283"/>
      <c r="K440" s="294">
        <f t="shared" si="729"/>
        <v>0.245197</v>
      </c>
      <c r="L440" s="20">
        <f t="shared" si="730"/>
        <v>0.245391</v>
      </c>
      <c r="M440" s="95">
        <f t="shared" si="730"/>
        <v>0.245197</v>
      </c>
      <c r="N440" s="94">
        <f t="shared" si="730"/>
        <v>0</v>
      </c>
      <c r="O440" s="94">
        <f t="shared" si="757"/>
        <v>0</v>
      </c>
      <c r="P440" s="94">
        <f t="shared" si="758"/>
        <v>0</v>
      </c>
      <c r="Q440" s="94">
        <f t="shared" si="755"/>
        <v>0</v>
      </c>
      <c r="R440" s="94">
        <f t="shared" si="726"/>
        <v>0</v>
      </c>
      <c r="S440" s="94">
        <f t="shared" si="756"/>
        <v>0</v>
      </c>
      <c r="T440" s="94">
        <f t="shared" si="727"/>
        <v>0</v>
      </c>
      <c r="U440" s="402">
        <f t="shared" si="728"/>
        <v>0</v>
      </c>
      <c r="V440" s="573">
        <v>-0.245391</v>
      </c>
      <c r="W440" s="326">
        <v>-0.245197</v>
      </c>
      <c r="X440" s="207">
        <v>0</v>
      </c>
      <c r="Y440" s="132">
        <v>0</v>
      </c>
      <c r="Z440" s="132">
        <v>0</v>
      </c>
      <c r="AA440" s="132">
        <v>0</v>
      </c>
      <c r="AB440" s="207">
        <v>0</v>
      </c>
      <c r="AC440" s="207">
        <v>0</v>
      </c>
      <c r="AD440" s="132">
        <v>0</v>
      </c>
      <c r="AE440" s="132">
        <v>0</v>
      </c>
      <c r="AF440" s="132">
        <v>0</v>
      </c>
      <c r="AG440" s="132">
        <v>0</v>
      </c>
      <c r="AH440" s="132">
        <v>0</v>
      </c>
      <c r="AI440" s="387">
        <v>0</v>
      </c>
      <c r="AJ440" s="207">
        <v>0</v>
      </c>
      <c r="AK440" s="367">
        <v>0</v>
      </c>
      <c r="AL440" s="367">
        <v>0</v>
      </c>
      <c r="AM440" s="367">
        <v>0</v>
      </c>
      <c r="AN440" s="367">
        <v>0</v>
      </c>
      <c r="AO440" s="295">
        <v>0</v>
      </c>
      <c r="AP440" s="295">
        <v>0</v>
      </c>
      <c r="AQ440" s="295">
        <v>0</v>
      </c>
      <c r="AR440" s="387">
        <v>0</v>
      </c>
      <c r="AS440" s="295">
        <f t="shared" si="716"/>
        <v>0</v>
      </c>
      <c r="AT440" s="408" t="s">
        <v>378</v>
      </c>
    </row>
    <row r="441" spans="1:46" ht="58" hidden="1" customHeight="1" outlineLevel="1" x14ac:dyDescent="0.35">
      <c r="A441" s="590">
        <v>50</v>
      </c>
      <c r="B441" s="612" t="s">
        <v>242</v>
      </c>
      <c r="C441" s="604" t="s">
        <v>242</v>
      </c>
      <c r="D441" s="63">
        <v>44125</v>
      </c>
      <c r="E441" s="432" t="s">
        <v>382</v>
      </c>
      <c r="F441" s="480" t="s">
        <v>390</v>
      </c>
      <c r="G441" s="242" t="s">
        <v>225</v>
      </c>
      <c r="H441" s="310" t="s">
        <v>130</v>
      </c>
      <c r="I441" s="334"/>
      <c r="J441" s="283"/>
      <c r="K441" s="294">
        <f t="shared" si="729"/>
        <v>6.3292000000000001E-2</v>
      </c>
      <c r="L441" s="20">
        <f t="shared" si="730"/>
        <v>6.6123000000000001E-2</v>
      </c>
      <c r="M441" s="95">
        <f t="shared" si="730"/>
        <v>6.3292000000000001E-2</v>
      </c>
      <c r="N441" s="94">
        <f t="shared" si="730"/>
        <v>0</v>
      </c>
      <c r="O441" s="94">
        <f t="shared" si="757"/>
        <v>0</v>
      </c>
      <c r="P441" s="94">
        <f t="shared" si="758"/>
        <v>0</v>
      </c>
      <c r="Q441" s="94">
        <f t="shared" si="755"/>
        <v>0</v>
      </c>
      <c r="R441" s="94">
        <f t="shared" si="726"/>
        <v>0</v>
      </c>
      <c r="S441" s="94">
        <f t="shared" si="756"/>
        <v>0</v>
      </c>
      <c r="T441" s="94">
        <f t="shared" si="727"/>
        <v>0</v>
      </c>
      <c r="U441" s="402">
        <f t="shared" si="728"/>
        <v>0</v>
      </c>
      <c r="V441" s="573">
        <v>-6.6123000000000001E-2</v>
      </c>
      <c r="W441" s="326">
        <v>-6.3292000000000001E-2</v>
      </c>
      <c r="X441" s="207">
        <v>0</v>
      </c>
      <c r="Y441" s="132">
        <v>0</v>
      </c>
      <c r="Z441" s="132">
        <v>0</v>
      </c>
      <c r="AA441" s="132">
        <v>0</v>
      </c>
      <c r="AB441" s="207">
        <v>0</v>
      </c>
      <c r="AC441" s="207">
        <v>0</v>
      </c>
      <c r="AD441" s="132">
        <v>0</v>
      </c>
      <c r="AE441" s="132">
        <v>0</v>
      </c>
      <c r="AF441" s="132">
        <v>0</v>
      </c>
      <c r="AG441" s="132">
        <v>0</v>
      </c>
      <c r="AH441" s="132">
        <v>0</v>
      </c>
      <c r="AI441" s="387">
        <v>0</v>
      </c>
      <c r="AJ441" s="207">
        <v>0</v>
      </c>
      <c r="AK441" s="367">
        <v>0</v>
      </c>
      <c r="AL441" s="367">
        <v>0</v>
      </c>
      <c r="AM441" s="367">
        <v>0</v>
      </c>
      <c r="AN441" s="367">
        <v>0</v>
      </c>
      <c r="AO441" s="295">
        <v>0</v>
      </c>
      <c r="AP441" s="295">
        <v>0</v>
      </c>
      <c r="AQ441" s="295">
        <v>0</v>
      </c>
      <c r="AR441" s="387">
        <v>0</v>
      </c>
      <c r="AS441" s="295">
        <f t="shared" si="716"/>
        <v>0</v>
      </c>
      <c r="AT441" s="408" t="s">
        <v>379</v>
      </c>
    </row>
    <row r="442" spans="1:46" ht="43.5" hidden="1" customHeight="1" outlineLevel="1" x14ac:dyDescent="0.35">
      <c r="A442" s="590">
        <v>51</v>
      </c>
      <c r="B442" s="612" t="s">
        <v>242</v>
      </c>
      <c r="C442" s="604" t="s">
        <v>242</v>
      </c>
      <c r="D442" s="63">
        <v>44307</v>
      </c>
      <c r="E442" s="432" t="s">
        <v>1447</v>
      </c>
      <c r="F442" s="480" t="s">
        <v>1321</v>
      </c>
      <c r="G442" s="242" t="s">
        <v>225</v>
      </c>
      <c r="H442" s="310" t="s">
        <v>129</v>
      </c>
      <c r="I442" s="334"/>
      <c r="J442" s="283"/>
      <c r="K442" s="294">
        <f t="shared" si="729"/>
        <v>0.29818</v>
      </c>
      <c r="L442" s="20">
        <f t="shared" ref="L442:L457" si="759">-V442</f>
        <v>6.6123000000000001E-2</v>
      </c>
      <c r="M442" s="95">
        <f t="shared" ref="M442:M457" si="760">-W442</f>
        <v>0</v>
      </c>
      <c r="N442" s="94">
        <f t="shared" ref="N442" si="761">-X442</f>
        <v>0.29818</v>
      </c>
      <c r="O442" s="94">
        <f t="shared" si="757"/>
        <v>0.29818</v>
      </c>
      <c r="P442" s="94">
        <f t="shared" si="758"/>
        <v>0.29818</v>
      </c>
      <c r="Q442" s="94">
        <f t="shared" si="755"/>
        <v>0</v>
      </c>
      <c r="R442" s="94">
        <f t="shared" si="726"/>
        <v>0</v>
      </c>
      <c r="S442" s="94">
        <f t="shared" si="756"/>
        <v>0</v>
      </c>
      <c r="T442" s="94">
        <f t="shared" si="727"/>
        <v>0</v>
      </c>
      <c r="U442" s="402">
        <f t="shared" si="728"/>
        <v>0</v>
      </c>
      <c r="V442" s="573">
        <v>-6.6123000000000001E-2</v>
      </c>
      <c r="W442" s="326">
        <v>0</v>
      </c>
      <c r="X442" s="207">
        <v>-0.29818</v>
      </c>
      <c r="Y442" s="132">
        <v>0</v>
      </c>
      <c r="Z442" s="132">
        <v>-0.29818</v>
      </c>
      <c r="AA442" s="132">
        <v>-0.29818</v>
      </c>
      <c r="AB442" s="207">
        <v>-0.29818</v>
      </c>
      <c r="AC442" s="207">
        <v>0</v>
      </c>
      <c r="AD442" s="132">
        <v>0</v>
      </c>
      <c r="AE442" s="132">
        <v>0</v>
      </c>
      <c r="AF442" s="132">
        <v>0</v>
      </c>
      <c r="AG442" s="132">
        <v>0</v>
      </c>
      <c r="AH442" s="132">
        <v>0</v>
      </c>
      <c r="AI442" s="387">
        <v>0</v>
      </c>
      <c r="AJ442" s="207">
        <v>0</v>
      </c>
      <c r="AK442" s="367">
        <v>0</v>
      </c>
      <c r="AL442" s="367">
        <v>0</v>
      </c>
      <c r="AM442" s="367">
        <v>0</v>
      </c>
      <c r="AN442" s="367">
        <v>0</v>
      </c>
      <c r="AO442" s="295">
        <v>0</v>
      </c>
      <c r="AP442" s="295">
        <v>0</v>
      </c>
      <c r="AQ442" s="295">
        <v>0</v>
      </c>
      <c r="AR442" s="387">
        <v>0</v>
      </c>
      <c r="AS442" s="295">
        <f t="shared" ref="AS442:AS449" si="762">-AR442</f>
        <v>0</v>
      </c>
      <c r="AT442" s="408" t="s">
        <v>1320</v>
      </c>
    </row>
    <row r="443" spans="1:46" ht="91" hidden="1" customHeight="1" outlineLevel="1" x14ac:dyDescent="0.35">
      <c r="A443" s="590">
        <v>52</v>
      </c>
      <c r="B443" s="612" t="s">
        <v>242</v>
      </c>
      <c r="C443" s="604" t="s">
        <v>242</v>
      </c>
      <c r="D443" s="63">
        <v>44384</v>
      </c>
      <c r="E443" s="432" t="s">
        <v>1506</v>
      </c>
      <c r="F443" s="480" t="s">
        <v>1609</v>
      </c>
      <c r="G443" s="242" t="s">
        <v>225</v>
      </c>
      <c r="H443" s="310" t="s">
        <v>130</v>
      </c>
      <c r="I443" s="334"/>
      <c r="J443" s="283"/>
      <c r="K443" s="294">
        <f t="shared" si="729"/>
        <v>0.76085400000000003</v>
      </c>
      <c r="L443" s="20">
        <f t="shared" si="759"/>
        <v>6.6123000000000001E-2</v>
      </c>
      <c r="M443" s="95">
        <f t="shared" si="760"/>
        <v>0</v>
      </c>
      <c r="N443" s="94">
        <f t="shared" ref="N443:N458" si="763">-X443</f>
        <v>0.76085400000000003</v>
      </c>
      <c r="O443" s="94">
        <f t="shared" si="757"/>
        <v>0.76085400000000003</v>
      </c>
      <c r="P443" s="94">
        <f t="shared" si="758"/>
        <v>0.76085400000000003</v>
      </c>
      <c r="Q443" s="94">
        <f t="shared" si="755"/>
        <v>0</v>
      </c>
      <c r="R443" s="94">
        <f t="shared" ref="R443:R449" si="764">-AC443</f>
        <v>0</v>
      </c>
      <c r="S443" s="94">
        <f t="shared" si="756"/>
        <v>0</v>
      </c>
      <c r="T443" s="94">
        <f t="shared" ref="T443:T450" si="765">-AJ443</f>
        <v>0</v>
      </c>
      <c r="U443" s="402">
        <f t="shared" ref="U443:U457" si="766">-AQ443</f>
        <v>0</v>
      </c>
      <c r="V443" s="573">
        <v>-6.6123000000000001E-2</v>
      </c>
      <c r="W443" s="326">
        <v>0</v>
      </c>
      <c r="X443" s="207">
        <f>-0.760854</f>
        <v>-0.76085400000000003</v>
      </c>
      <c r="Y443" s="132">
        <v>0</v>
      </c>
      <c r="Z443" s="132">
        <v>-0.76085400000000003</v>
      </c>
      <c r="AA443" s="132">
        <v>-0.76085400000000003</v>
      </c>
      <c r="AB443" s="207">
        <v>-0.76085400000000003</v>
      </c>
      <c r="AC443" s="207">
        <v>0</v>
      </c>
      <c r="AD443" s="132">
        <v>0</v>
      </c>
      <c r="AE443" s="132">
        <v>0</v>
      </c>
      <c r="AF443" s="132">
        <v>0</v>
      </c>
      <c r="AG443" s="132">
        <v>0</v>
      </c>
      <c r="AH443" s="132">
        <v>0</v>
      </c>
      <c r="AI443" s="387">
        <v>0</v>
      </c>
      <c r="AJ443" s="207">
        <v>0</v>
      </c>
      <c r="AK443" s="367">
        <v>0</v>
      </c>
      <c r="AL443" s="367">
        <v>0</v>
      </c>
      <c r="AM443" s="367">
        <v>0</v>
      </c>
      <c r="AN443" s="367">
        <v>0</v>
      </c>
      <c r="AO443" s="295">
        <v>0</v>
      </c>
      <c r="AP443" s="295">
        <v>0</v>
      </c>
      <c r="AQ443" s="295">
        <v>0</v>
      </c>
      <c r="AR443" s="387">
        <v>0</v>
      </c>
      <c r="AS443" s="295">
        <f t="shared" si="762"/>
        <v>0</v>
      </c>
      <c r="AT443" s="408" t="s">
        <v>1507</v>
      </c>
    </row>
    <row r="444" spans="1:46" ht="91" hidden="1" customHeight="1" outlineLevel="1" x14ac:dyDescent="0.35">
      <c r="A444" s="590">
        <v>53</v>
      </c>
      <c r="B444" s="612" t="s">
        <v>242</v>
      </c>
      <c r="C444" s="604" t="s">
        <v>242</v>
      </c>
      <c r="D444" s="266">
        <v>44446</v>
      </c>
      <c r="E444" s="432" t="s">
        <v>1772</v>
      </c>
      <c r="F444" s="480" t="s">
        <v>1609</v>
      </c>
      <c r="G444" s="242" t="s">
        <v>225</v>
      </c>
      <c r="H444" s="310" t="s">
        <v>130</v>
      </c>
      <c r="I444" s="334"/>
      <c r="J444" s="283"/>
      <c r="K444" s="294">
        <f t="shared" si="729"/>
        <v>0.61986799999999997</v>
      </c>
      <c r="L444" s="20">
        <f t="shared" si="759"/>
        <v>6.6123000000000001E-2</v>
      </c>
      <c r="M444" s="95">
        <f t="shared" si="760"/>
        <v>0</v>
      </c>
      <c r="N444" s="94">
        <f t="shared" si="763"/>
        <v>0.61986799999999997</v>
      </c>
      <c r="O444" s="94">
        <f t="shared" si="757"/>
        <v>0.61986799999999997</v>
      </c>
      <c r="P444" s="94">
        <f t="shared" si="758"/>
        <v>0.61986799999999997</v>
      </c>
      <c r="Q444" s="94">
        <f t="shared" si="755"/>
        <v>0</v>
      </c>
      <c r="R444" s="94">
        <f t="shared" si="764"/>
        <v>0</v>
      </c>
      <c r="S444" s="94">
        <f t="shared" si="756"/>
        <v>0</v>
      </c>
      <c r="T444" s="94">
        <f t="shared" si="765"/>
        <v>0</v>
      </c>
      <c r="U444" s="402">
        <f t="shared" si="766"/>
        <v>0</v>
      </c>
      <c r="V444" s="573">
        <v>-6.6123000000000001E-2</v>
      </c>
      <c r="W444" s="326">
        <v>0</v>
      </c>
      <c r="X444" s="207">
        <f>-0.619868</f>
        <v>-0.61986799999999997</v>
      </c>
      <c r="Y444" s="132">
        <v>0</v>
      </c>
      <c r="Z444" s="132">
        <f>0</f>
        <v>0</v>
      </c>
      <c r="AA444" s="132">
        <f>0</f>
        <v>0</v>
      </c>
      <c r="AB444" s="207">
        <v>-0.61986799999999997</v>
      </c>
      <c r="AC444" s="207">
        <v>0</v>
      </c>
      <c r="AD444" s="132">
        <v>0</v>
      </c>
      <c r="AE444" s="132">
        <v>0</v>
      </c>
      <c r="AF444" s="132">
        <v>0</v>
      </c>
      <c r="AG444" s="132">
        <v>0</v>
      </c>
      <c r="AH444" s="132">
        <v>0</v>
      </c>
      <c r="AI444" s="387">
        <v>0</v>
      </c>
      <c r="AJ444" s="207">
        <v>0</v>
      </c>
      <c r="AK444" s="367">
        <v>0</v>
      </c>
      <c r="AL444" s="367">
        <v>0</v>
      </c>
      <c r="AM444" s="367">
        <v>0</v>
      </c>
      <c r="AN444" s="367">
        <v>0</v>
      </c>
      <c r="AO444" s="295">
        <v>0</v>
      </c>
      <c r="AP444" s="295">
        <v>0</v>
      </c>
      <c r="AQ444" s="295">
        <v>0</v>
      </c>
      <c r="AR444" s="387">
        <v>0</v>
      </c>
      <c r="AS444" s="295">
        <f t="shared" si="762"/>
        <v>0</v>
      </c>
      <c r="AT444" s="408" t="s">
        <v>1607</v>
      </c>
    </row>
    <row r="445" spans="1:46" ht="91" hidden="1" customHeight="1" outlineLevel="1" x14ac:dyDescent="0.35">
      <c r="A445" s="590">
        <v>54</v>
      </c>
      <c r="B445" s="612" t="s">
        <v>242</v>
      </c>
      <c r="C445" s="604" t="s">
        <v>242</v>
      </c>
      <c r="D445" s="266">
        <v>44489</v>
      </c>
      <c r="E445" s="432" t="s">
        <v>1773</v>
      </c>
      <c r="F445" s="480" t="s">
        <v>1609</v>
      </c>
      <c r="G445" s="242" t="s">
        <v>225</v>
      </c>
      <c r="H445" s="310" t="s">
        <v>130</v>
      </c>
      <c r="I445" s="334"/>
      <c r="J445" s="283"/>
      <c r="K445" s="294">
        <f t="shared" si="729"/>
        <v>0.50909099999999996</v>
      </c>
      <c r="L445" s="20">
        <f t="shared" si="759"/>
        <v>6.6123000000000001E-2</v>
      </c>
      <c r="M445" s="95">
        <f t="shared" si="760"/>
        <v>0</v>
      </c>
      <c r="N445" s="94">
        <f t="shared" si="763"/>
        <v>1.690868</v>
      </c>
      <c r="O445" s="94">
        <f t="shared" si="757"/>
        <v>1.690868</v>
      </c>
      <c r="P445" s="94">
        <f t="shared" si="758"/>
        <v>0.50909099999999996</v>
      </c>
      <c r="Q445" s="94">
        <f t="shared" si="755"/>
        <v>0</v>
      </c>
      <c r="R445" s="94">
        <f t="shared" si="764"/>
        <v>0</v>
      </c>
      <c r="S445" s="94">
        <f t="shared" si="756"/>
        <v>0</v>
      </c>
      <c r="T445" s="94">
        <f t="shared" si="765"/>
        <v>0</v>
      </c>
      <c r="U445" s="402">
        <f t="shared" si="766"/>
        <v>0</v>
      </c>
      <c r="V445" s="573">
        <v>-6.6123000000000001E-2</v>
      </c>
      <c r="W445" s="326">
        <v>0</v>
      </c>
      <c r="X445" s="207">
        <f>-1.690868</f>
        <v>-1.690868</v>
      </c>
      <c r="Y445" s="132">
        <v>0</v>
      </c>
      <c r="Z445" s="132">
        <f>0</f>
        <v>0</v>
      </c>
      <c r="AA445" s="132">
        <f>0</f>
        <v>0</v>
      </c>
      <c r="AB445" s="207">
        <v>-0.50909099999999996</v>
      </c>
      <c r="AC445" s="207">
        <v>0</v>
      </c>
      <c r="AD445" s="132">
        <v>0</v>
      </c>
      <c r="AE445" s="132">
        <v>0</v>
      </c>
      <c r="AF445" s="132">
        <v>0</v>
      </c>
      <c r="AG445" s="132">
        <v>0</v>
      </c>
      <c r="AH445" s="132">
        <v>0</v>
      </c>
      <c r="AI445" s="387">
        <v>0</v>
      </c>
      <c r="AJ445" s="207">
        <v>0</v>
      </c>
      <c r="AK445" s="367">
        <v>0</v>
      </c>
      <c r="AL445" s="367">
        <v>0</v>
      </c>
      <c r="AM445" s="367">
        <v>0</v>
      </c>
      <c r="AN445" s="367">
        <v>0</v>
      </c>
      <c r="AO445" s="295">
        <v>0</v>
      </c>
      <c r="AP445" s="295">
        <v>0</v>
      </c>
      <c r="AQ445" s="295">
        <v>0</v>
      </c>
      <c r="AR445" s="387">
        <v>0</v>
      </c>
      <c r="AS445" s="295">
        <f t="shared" si="762"/>
        <v>0</v>
      </c>
      <c r="AT445" s="408" t="s">
        <v>1670</v>
      </c>
    </row>
    <row r="446" spans="1:46" ht="91" hidden="1" customHeight="1" outlineLevel="1" x14ac:dyDescent="0.35">
      <c r="A446" s="590">
        <v>55</v>
      </c>
      <c r="B446" s="612" t="s">
        <v>242</v>
      </c>
      <c r="C446" s="604" t="s">
        <v>242</v>
      </c>
      <c r="D446" s="266">
        <v>44508</v>
      </c>
      <c r="E446" s="432" t="s">
        <v>1774</v>
      </c>
      <c r="F446" s="480" t="s">
        <v>1609</v>
      </c>
      <c r="G446" s="242" t="s">
        <v>225</v>
      </c>
      <c r="H446" s="310" t="s">
        <v>130</v>
      </c>
      <c r="I446" s="334"/>
      <c r="J446" s="283"/>
      <c r="K446" s="294">
        <f t="shared" si="729"/>
        <v>0.50938899999999998</v>
      </c>
      <c r="L446" s="20">
        <f t="shared" si="759"/>
        <v>6.6123000000000001E-2</v>
      </c>
      <c r="M446" s="95">
        <f t="shared" si="760"/>
        <v>0</v>
      </c>
      <c r="N446" s="94">
        <f t="shared" si="763"/>
        <v>0.97964600000000002</v>
      </c>
      <c r="O446" s="94">
        <f t="shared" si="757"/>
        <v>0.97964600000000002</v>
      </c>
      <c r="P446" s="94">
        <f t="shared" si="758"/>
        <v>0.50938899999999998</v>
      </c>
      <c r="Q446" s="94">
        <f t="shared" si="755"/>
        <v>0</v>
      </c>
      <c r="R446" s="94">
        <f t="shared" si="764"/>
        <v>0</v>
      </c>
      <c r="S446" s="94">
        <f t="shared" si="756"/>
        <v>0</v>
      </c>
      <c r="T446" s="94">
        <f t="shared" si="765"/>
        <v>0</v>
      </c>
      <c r="U446" s="402">
        <f t="shared" si="766"/>
        <v>0</v>
      </c>
      <c r="V446" s="573">
        <v>-6.6123000000000001E-2</v>
      </c>
      <c r="W446" s="326">
        <v>0</v>
      </c>
      <c r="X446" s="207">
        <f>-0.979646</f>
        <v>-0.97964600000000002</v>
      </c>
      <c r="Y446" s="132">
        <v>-1</v>
      </c>
      <c r="Z446" s="132">
        <f>0</f>
        <v>0</v>
      </c>
      <c r="AA446" s="132">
        <f>0</f>
        <v>0</v>
      </c>
      <c r="AB446" s="207">
        <v>-0.50938899999999998</v>
      </c>
      <c r="AC446" s="207">
        <v>0</v>
      </c>
      <c r="AD446" s="132">
        <v>0</v>
      </c>
      <c r="AE446" s="132">
        <v>0</v>
      </c>
      <c r="AF446" s="132">
        <v>0</v>
      </c>
      <c r="AG446" s="132">
        <v>0</v>
      </c>
      <c r="AH446" s="132">
        <v>0</v>
      </c>
      <c r="AI446" s="387">
        <v>0</v>
      </c>
      <c r="AJ446" s="207">
        <v>0</v>
      </c>
      <c r="AK446" s="367">
        <v>0</v>
      </c>
      <c r="AL446" s="367">
        <v>0</v>
      </c>
      <c r="AM446" s="367">
        <v>0</v>
      </c>
      <c r="AN446" s="367">
        <v>0</v>
      </c>
      <c r="AO446" s="295">
        <v>0</v>
      </c>
      <c r="AP446" s="295">
        <v>0</v>
      </c>
      <c r="AQ446" s="295">
        <v>0</v>
      </c>
      <c r="AR446" s="387">
        <v>0</v>
      </c>
      <c r="AS446" s="295">
        <f t="shared" si="762"/>
        <v>0</v>
      </c>
      <c r="AT446" s="412" t="s">
        <v>1771</v>
      </c>
    </row>
    <row r="447" spans="1:46" ht="91" hidden="1" customHeight="1" outlineLevel="1" x14ac:dyDescent="0.35">
      <c r="A447" s="590">
        <v>56</v>
      </c>
      <c r="B447" s="612" t="s">
        <v>242</v>
      </c>
      <c r="C447" s="604" t="s">
        <v>242</v>
      </c>
      <c r="D447" s="275">
        <v>44531</v>
      </c>
      <c r="E447" s="432" t="s">
        <v>1847</v>
      </c>
      <c r="F447" s="480" t="s">
        <v>1609</v>
      </c>
      <c r="G447" s="242" t="s">
        <v>225</v>
      </c>
      <c r="H447" s="310" t="s">
        <v>130</v>
      </c>
      <c r="I447" s="334"/>
      <c r="J447" s="283"/>
      <c r="K447" s="294">
        <f t="shared" si="729"/>
        <v>0.89748099999999997</v>
      </c>
      <c r="L447" s="20">
        <f t="shared" si="759"/>
        <v>6.6123000000000001E-2</v>
      </c>
      <c r="M447" s="95">
        <f t="shared" si="760"/>
        <v>0</v>
      </c>
      <c r="N447" s="94">
        <f t="shared" si="763"/>
        <v>0.89748099999999997</v>
      </c>
      <c r="O447" s="94">
        <f t="shared" si="757"/>
        <v>0.89748099999999997</v>
      </c>
      <c r="P447" s="94">
        <f t="shared" si="758"/>
        <v>0.89748099999999997</v>
      </c>
      <c r="Q447" s="94">
        <f t="shared" si="755"/>
        <v>0</v>
      </c>
      <c r="R447" s="94">
        <f t="shared" si="764"/>
        <v>0</v>
      </c>
      <c r="S447" s="94">
        <f t="shared" si="756"/>
        <v>0</v>
      </c>
      <c r="T447" s="94">
        <f t="shared" si="765"/>
        <v>0</v>
      </c>
      <c r="U447" s="402">
        <f t="shared" si="766"/>
        <v>0</v>
      </c>
      <c r="V447" s="573">
        <v>-6.6123000000000001E-2</v>
      </c>
      <c r="W447" s="326">
        <v>0</v>
      </c>
      <c r="X447" s="207">
        <f>-0.897481</f>
        <v>-0.89748099999999997</v>
      </c>
      <c r="Y447" s="132">
        <v>-1</v>
      </c>
      <c r="Z447" s="132">
        <f>0</f>
        <v>0</v>
      </c>
      <c r="AA447" s="132">
        <f>0</f>
        <v>0</v>
      </c>
      <c r="AB447" s="207">
        <v>-0.89748099999999997</v>
      </c>
      <c r="AC447" s="207">
        <v>0</v>
      </c>
      <c r="AD447" s="132">
        <v>0</v>
      </c>
      <c r="AE447" s="132">
        <v>0</v>
      </c>
      <c r="AF447" s="132">
        <v>0</v>
      </c>
      <c r="AG447" s="132">
        <v>0</v>
      </c>
      <c r="AH447" s="132">
        <v>0</v>
      </c>
      <c r="AI447" s="387">
        <v>0</v>
      </c>
      <c r="AJ447" s="207">
        <v>0</v>
      </c>
      <c r="AK447" s="367">
        <v>0</v>
      </c>
      <c r="AL447" s="367">
        <v>0</v>
      </c>
      <c r="AM447" s="367">
        <v>0</v>
      </c>
      <c r="AN447" s="367">
        <v>0</v>
      </c>
      <c r="AO447" s="295">
        <v>0</v>
      </c>
      <c r="AP447" s="295">
        <v>0</v>
      </c>
      <c r="AQ447" s="295">
        <v>0</v>
      </c>
      <c r="AR447" s="387">
        <v>0</v>
      </c>
      <c r="AS447" s="295">
        <f t="shared" si="762"/>
        <v>0</v>
      </c>
      <c r="AT447" s="412" t="s">
        <v>1810</v>
      </c>
    </row>
    <row r="448" spans="1:46" ht="91" hidden="1" customHeight="1" outlineLevel="1" x14ac:dyDescent="0.35">
      <c r="A448" s="590">
        <v>57</v>
      </c>
      <c r="B448" s="612" t="s">
        <v>242</v>
      </c>
      <c r="C448" s="604" t="s">
        <v>242</v>
      </c>
      <c r="D448" s="560">
        <v>44531</v>
      </c>
      <c r="E448" s="432" t="s">
        <v>1848</v>
      </c>
      <c r="F448" s="480" t="s">
        <v>1806</v>
      </c>
      <c r="G448" s="242" t="s">
        <v>225</v>
      </c>
      <c r="H448" s="310" t="s">
        <v>130</v>
      </c>
      <c r="I448" s="334"/>
      <c r="J448" s="283"/>
      <c r="K448" s="294">
        <f t="shared" si="729"/>
        <v>7.8077999999999995E-2</v>
      </c>
      <c r="L448" s="20">
        <f t="shared" si="759"/>
        <v>6.6123000000000001E-2</v>
      </c>
      <c r="M448" s="95">
        <f t="shared" si="760"/>
        <v>0</v>
      </c>
      <c r="N448" s="94">
        <f t="shared" ref="N448:N457" si="767">-X448</f>
        <v>0.160694</v>
      </c>
      <c r="O448" s="94">
        <f t="shared" si="757"/>
        <v>0.160694</v>
      </c>
      <c r="P448" s="94">
        <f t="shared" si="758"/>
        <v>7.8077999999999995E-2</v>
      </c>
      <c r="Q448" s="94">
        <f t="shared" si="755"/>
        <v>0</v>
      </c>
      <c r="R448" s="94">
        <f t="shared" si="764"/>
        <v>0</v>
      </c>
      <c r="S448" s="94">
        <f t="shared" si="756"/>
        <v>0</v>
      </c>
      <c r="T448" s="94">
        <f t="shared" si="765"/>
        <v>0</v>
      </c>
      <c r="U448" s="402">
        <f t="shared" si="766"/>
        <v>0</v>
      </c>
      <c r="V448" s="573">
        <v>-6.6123000000000001E-2</v>
      </c>
      <c r="W448" s="326">
        <v>0</v>
      </c>
      <c r="X448" s="207">
        <f>-0.160694</f>
        <v>-0.160694</v>
      </c>
      <c r="Y448" s="132">
        <v>0</v>
      </c>
      <c r="Z448" s="132">
        <f>0</f>
        <v>0</v>
      </c>
      <c r="AA448" s="132">
        <f>0</f>
        <v>0</v>
      </c>
      <c r="AB448" s="207">
        <v>-7.8077999999999995E-2</v>
      </c>
      <c r="AC448" s="207">
        <v>0</v>
      </c>
      <c r="AD448" s="132">
        <v>0</v>
      </c>
      <c r="AE448" s="132">
        <v>0</v>
      </c>
      <c r="AF448" s="132">
        <v>0</v>
      </c>
      <c r="AG448" s="132">
        <v>0</v>
      </c>
      <c r="AH448" s="132">
        <v>0</v>
      </c>
      <c r="AI448" s="387">
        <v>0</v>
      </c>
      <c r="AJ448" s="207">
        <v>0</v>
      </c>
      <c r="AK448" s="367">
        <v>0</v>
      </c>
      <c r="AL448" s="367">
        <v>0</v>
      </c>
      <c r="AM448" s="367">
        <v>0</v>
      </c>
      <c r="AN448" s="367">
        <v>0</v>
      </c>
      <c r="AO448" s="295">
        <v>0</v>
      </c>
      <c r="AP448" s="295">
        <v>0</v>
      </c>
      <c r="AQ448" s="295">
        <v>0</v>
      </c>
      <c r="AR448" s="387">
        <v>0</v>
      </c>
      <c r="AS448" s="295">
        <f t="shared" si="762"/>
        <v>0</v>
      </c>
      <c r="AT448" s="412" t="s">
        <v>1860</v>
      </c>
    </row>
    <row r="449" spans="1:46" ht="91" hidden="1" customHeight="1" outlineLevel="1" x14ac:dyDescent="0.35">
      <c r="A449" s="590">
        <v>58</v>
      </c>
      <c r="B449" s="612" t="s">
        <v>242</v>
      </c>
      <c r="C449" s="604" t="s">
        <v>242</v>
      </c>
      <c r="D449" s="560">
        <v>44537</v>
      </c>
      <c r="E449" s="432" t="s">
        <v>1859</v>
      </c>
      <c r="F449" s="480" t="s">
        <v>1609</v>
      </c>
      <c r="G449" s="242" t="s">
        <v>225</v>
      </c>
      <c r="H449" s="310" t="s">
        <v>130</v>
      </c>
      <c r="I449" s="334"/>
      <c r="J449" s="283"/>
      <c r="K449" s="294">
        <f>M449+P449+U449+R449+T449</f>
        <v>0.22767399999999999</v>
      </c>
      <c r="L449" s="20">
        <f t="shared" si="759"/>
        <v>6.6123000000000001E-2</v>
      </c>
      <c r="M449" s="95">
        <f t="shared" si="760"/>
        <v>0</v>
      </c>
      <c r="N449" s="94">
        <f t="shared" si="767"/>
        <v>0.22767399999999999</v>
      </c>
      <c r="O449" s="94">
        <f t="shared" ref="O449:O457" si="768">-X449</f>
        <v>0.22767399999999999</v>
      </c>
      <c r="P449" s="94">
        <f>-AB449</f>
        <v>0.22767399999999999</v>
      </c>
      <c r="Q449" s="94">
        <f t="shared" si="755"/>
        <v>0</v>
      </c>
      <c r="R449" s="94">
        <f t="shared" si="764"/>
        <v>0</v>
      </c>
      <c r="S449" s="94">
        <f t="shared" si="756"/>
        <v>0</v>
      </c>
      <c r="T449" s="94">
        <f t="shared" si="765"/>
        <v>0</v>
      </c>
      <c r="U449" s="402">
        <f t="shared" si="766"/>
        <v>0</v>
      </c>
      <c r="V449" s="573">
        <v>-6.6123000000000001E-2</v>
      </c>
      <c r="W449" s="326">
        <v>0</v>
      </c>
      <c r="X449" s="207">
        <f t="shared" ref="X449:X458" si="769">-0.227674</f>
        <v>-0.22767399999999999</v>
      </c>
      <c r="Y449" s="132">
        <v>0</v>
      </c>
      <c r="Z449" s="132">
        <f>0</f>
        <v>0</v>
      </c>
      <c r="AA449" s="132">
        <f>0</f>
        <v>0</v>
      </c>
      <c r="AB449" s="207">
        <v>-0.22767399999999999</v>
      </c>
      <c r="AC449" s="207">
        <v>0</v>
      </c>
      <c r="AD449" s="132">
        <v>0</v>
      </c>
      <c r="AE449" s="132">
        <v>0</v>
      </c>
      <c r="AF449" s="132">
        <v>0</v>
      </c>
      <c r="AG449" s="132">
        <v>0</v>
      </c>
      <c r="AH449" s="132">
        <v>0</v>
      </c>
      <c r="AI449" s="387">
        <v>0</v>
      </c>
      <c r="AJ449" s="207">
        <v>0</v>
      </c>
      <c r="AK449" s="367">
        <v>0</v>
      </c>
      <c r="AL449" s="367">
        <v>0</v>
      </c>
      <c r="AM449" s="367">
        <v>0</v>
      </c>
      <c r="AN449" s="367">
        <v>0</v>
      </c>
      <c r="AO449" s="295">
        <v>0</v>
      </c>
      <c r="AP449" s="295">
        <v>0</v>
      </c>
      <c r="AQ449" s="295">
        <v>0</v>
      </c>
      <c r="AR449" s="387">
        <v>0</v>
      </c>
      <c r="AS449" s="295">
        <f t="shared" si="762"/>
        <v>0</v>
      </c>
      <c r="AT449" s="412" t="s">
        <v>1861</v>
      </c>
    </row>
    <row r="450" spans="1:46" ht="177" hidden="1" customHeight="1" outlineLevel="1" x14ac:dyDescent="0.35">
      <c r="A450" s="590">
        <v>59</v>
      </c>
      <c r="B450" s="612" t="s">
        <v>242</v>
      </c>
      <c r="C450" s="604" t="s">
        <v>242</v>
      </c>
      <c r="D450" s="579">
        <v>44572</v>
      </c>
      <c r="E450" s="432" t="s">
        <v>1935</v>
      </c>
      <c r="F450" s="480" t="s">
        <v>1609</v>
      </c>
      <c r="G450" s="242" t="s">
        <v>225</v>
      </c>
      <c r="H450" s="310" t="s">
        <v>130</v>
      </c>
      <c r="I450" s="334"/>
      <c r="J450" s="283"/>
      <c r="K450" s="294">
        <f t="shared" ref="K450:K457" si="770">M450+P450+U450+R450+T450</f>
        <v>0.33899899999999999</v>
      </c>
      <c r="L450" s="20">
        <f t="shared" si="759"/>
        <v>6.6123000000000001E-2</v>
      </c>
      <c r="M450" s="95">
        <f t="shared" si="760"/>
        <v>0</v>
      </c>
      <c r="N450" s="94">
        <f t="shared" si="767"/>
        <v>0.22767399999999999</v>
      </c>
      <c r="O450" s="94">
        <f t="shared" si="768"/>
        <v>0.22767399999999999</v>
      </c>
      <c r="P450" s="94">
        <f t="shared" ref="P450:P457" si="771">-AB450</f>
        <v>0</v>
      </c>
      <c r="Q450" s="928">
        <f t="shared" si="755"/>
        <v>0.33899899999999999</v>
      </c>
      <c r="R450" s="928">
        <f t="shared" ref="R450:R458" si="772">-AC450</f>
        <v>0.33899899999999999</v>
      </c>
      <c r="S450" s="928">
        <f t="shared" si="756"/>
        <v>0.33899899999999999</v>
      </c>
      <c r="T450" s="928">
        <f t="shared" si="765"/>
        <v>0</v>
      </c>
      <c r="U450" s="929">
        <f t="shared" si="766"/>
        <v>0</v>
      </c>
      <c r="V450" s="930">
        <v>-6.6123000000000001E-2</v>
      </c>
      <c r="W450" s="931">
        <v>0</v>
      </c>
      <c r="X450" s="898">
        <f t="shared" si="769"/>
        <v>-0.22767399999999999</v>
      </c>
      <c r="Y450" s="932">
        <v>0</v>
      </c>
      <c r="Z450" s="932">
        <f>0</f>
        <v>0</v>
      </c>
      <c r="AA450" s="932">
        <f>0</f>
        <v>0</v>
      </c>
      <c r="AB450" s="898">
        <v>0</v>
      </c>
      <c r="AC450" s="898">
        <v>-0.33899899999999999</v>
      </c>
      <c r="AD450" s="932">
        <v>0</v>
      </c>
      <c r="AE450" s="132">
        <v>0</v>
      </c>
      <c r="AF450" s="132">
        <v>-0.33899899999999999</v>
      </c>
      <c r="AG450" s="132">
        <v>-0.33899899999999999</v>
      </c>
      <c r="AH450" s="132">
        <v>-0.33899899999999999</v>
      </c>
      <c r="AI450" s="899">
        <v>-0.33899899999999999</v>
      </c>
      <c r="AJ450" s="207">
        <v>0</v>
      </c>
      <c r="AK450" s="367">
        <v>0</v>
      </c>
      <c r="AL450" s="367">
        <v>0</v>
      </c>
      <c r="AM450" s="367">
        <v>0</v>
      </c>
      <c r="AN450" s="367">
        <v>0</v>
      </c>
      <c r="AO450" s="295">
        <v>0</v>
      </c>
      <c r="AP450" s="295">
        <v>0</v>
      </c>
      <c r="AQ450" s="295">
        <v>0</v>
      </c>
      <c r="AR450" s="899">
        <v>0</v>
      </c>
      <c r="AS450" s="295">
        <f>-AR450</f>
        <v>0</v>
      </c>
      <c r="AT450" s="412" t="s">
        <v>1941</v>
      </c>
    </row>
    <row r="451" spans="1:46" ht="177" hidden="1" customHeight="1" outlineLevel="1" x14ac:dyDescent="0.35">
      <c r="A451" s="590">
        <v>60</v>
      </c>
      <c r="B451" s="612" t="s">
        <v>242</v>
      </c>
      <c r="C451" s="604" t="s">
        <v>242</v>
      </c>
      <c r="D451" s="579">
        <v>44572</v>
      </c>
      <c r="E451" s="432" t="s">
        <v>1943</v>
      </c>
      <c r="F451" s="480" t="s">
        <v>1609</v>
      </c>
      <c r="G451" s="242" t="s">
        <v>225</v>
      </c>
      <c r="H451" s="310" t="s">
        <v>130</v>
      </c>
      <c r="I451" s="334"/>
      <c r="J451" s="283"/>
      <c r="K451" s="294">
        <f t="shared" si="770"/>
        <v>0.83808000000000005</v>
      </c>
      <c r="L451" s="20">
        <f t="shared" si="759"/>
        <v>6.6123000000000001E-2</v>
      </c>
      <c r="M451" s="95">
        <f t="shared" si="760"/>
        <v>0</v>
      </c>
      <c r="N451" s="94">
        <f t="shared" si="767"/>
        <v>0.22767399999999999</v>
      </c>
      <c r="O451" s="94">
        <f t="shared" si="768"/>
        <v>0.22767399999999999</v>
      </c>
      <c r="P451" s="94">
        <f t="shared" si="771"/>
        <v>0</v>
      </c>
      <c r="Q451" s="928">
        <f t="shared" si="755"/>
        <v>0.83808000000000005</v>
      </c>
      <c r="R451" s="928">
        <f t="shared" si="772"/>
        <v>0.83808000000000005</v>
      </c>
      <c r="S451" s="928">
        <f t="shared" si="756"/>
        <v>2.2465000000000002</v>
      </c>
      <c r="T451" s="928">
        <f>-AJ451</f>
        <v>0</v>
      </c>
      <c r="U451" s="929">
        <f t="shared" si="766"/>
        <v>0</v>
      </c>
      <c r="V451" s="930">
        <v>-6.6123000000000001E-2</v>
      </c>
      <c r="W451" s="931">
        <v>0</v>
      </c>
      <c r="X451" s="898">
        <f t="shared" si="769"/>
        <v>-0.22767399999999999</v>
      </c>
      <c r="Y451" s="932">
        <v>0</v>
      </c>
      <c r="Z451" s="932">
        <f>0</f>
        <v>0</v>
      </c>
      <c r="AA451" s="932">
        <f>0</f>
        <v>0</v>
      </c>
      <c r="AB451" s="898">
        <v>0</v>
      </c>
      <c r="AC451" s="898">
        <v>-0.83808000000000005</v>
      </c>
      <c r="AD451" s="932">
        <v>0</v>
      </c>
      <c r="AE451" s="132">
        <v>0</v>
      </c>
      <c r="AF451" s="132">
        <v>-0.83808000000000005</v>
      </c>
      <c r="AG451" s="132">
        <v>-0.83808000000000005</v>
      </c>
      <c r="AH451" s="132">
        <v>-0.83808000000000005</v>
      </c>
      <c r="AI451" s="899">
        <v>-2.2465000000000002</v>
      </c>
      <c r="AJ451" s="207">
        <v>0</v>
      </c>
      <c r="AK451" s="367">
        <v>0</v>
      </c>
      <c r="AL451" s="367">
        <v>0</v>
      </c>
      <c r="AM451" s="367">
        <v>0</v>
      </c>
      <c r="AN451" s="367">
        <v>0</v>
      </c>
      <c r="AO451" s="295">
        <v>0</v>
      </c>
      <c r="AP451" s="295">
        <v>0</v>
      </c>
      <c r="AQ451" s="295">
        <v>0</v>
      </c>
      <c r="AR451" s="899">
        <v>0</v>
      </c>
      <c r="AS451" s="295">
        <f t="shared" ref="AS451" si="773">-AR451</f>
        <v>0</v>
      </c>
      <c r="AT451" s="412" t="s">
        <v>1942</v>
      </c>
    </row>
    <row r="452" spans="1:46" ht="113.15" hidden="1" customHeight="1" outlineLevel="1" x14ac:dyDescent="0.35">
      <c r="A452" s="590">
        <v>61</v>
      </c>
      <c r="B452" s="612" t="s">
        <v>242</v>
      </c>
      <c r="C452" s="604" t="s">
        <v>242</v>
      </c>
      <c r="D452" s="579">
        <v>44593</v>
      </c>
      <c r="E452" s="432" t="s">
        <v>1956</v>
      </c>
      <c r="F452" s="480" t="s">
        <v>1609</v>
      </c>
      <c r="G452" s="242" t="s">
        <v>225</v>
      </c>
      <c r="H452" s="310" t="s">
        <v>130</v>
      </c>
      <c r="I452" s="334"/>
      <c r="J452" s="283"/>
      <c r="K452" s="294">
        <f t="shared" si="770"/>
        <v>2.7255479999999999</v>
      </c>
      <c r="L452" s="20">
        <f t="shared" si="759"/>
        <v>6.6123000000000001E-2</v>
      </c>
      <c r="M452" s="95">
        <f t="shared" si="760"/>
        <v>0</v>
      </c>
      <c r="N452" s="94">
        <f t="shared" si="767"/>
        <v>0.22767399999999999</v>
      </c>
      <c r="O452" s="94">
        <f t="shared" si="768"/>
        <v>0.22767399999999999</v>
      </c>
      <c r="P452" s="94">
        <f t="shared" si="771"/>
        <v>0</v>
      </c>
      <c r="Q452" s="928">
        <f t="shared" si="755"/>
        <v>2.7255479999999999</v>
      </c>
      <c r="R452" s="928">
        <f t="shared" si="772"/>
        <v>2.7255479999999999</v>
      </c>
      <c r="S452" s="928">
        <f t="shared" si="756"/>
        <v>2.9414820000000002</v>
      </c>
      <c r="T452" s="928">
        <f t="shared" ref="T452:T457" si="774">-AJ452</f>
        <v>0</v>
      </c>
      <c r="U452" s="929">
        <f t="shared" si="766"/>
        <v>0</v>
      </c>
      <c r="V452" s="930">
        <v>-6.6123000000000001E-2</v>
      </c>
      <c r="W452" s="931">
        <v>0</v>
      </c>
      <c r="X452" s="898">
        <f t="shared" si="769"/>
        <v>-0.22767399999999999</v>
      </c>
      <c r="Y452" s="932">
        <v>0</v>
      </c>
      <c r="Z452" s="932">
        <f>0</f>
        <v>0</v>
      </c>
      <c r="AA452" s="932">
        <f>0</f>
        <v>0</v>
      </c>
      <c r="AB452" s="898">
        <v>0</v>
      </c>
      <c r="AC452" s="898">
        <v>-2.7255479999999999</v>
      </c>
      <c r="AD452" s="932">
        <v>0</v>
      </c>
      <c r="AE452" s="132">
        <v>0</v>
      </c>
      <c r="AF452" s="132">
        <v>-2.725584</v>
      </c>
      <c r="AG452" s="132">
        <v>-2.725584</v>
      </c>
      <c r="AH452" s="132">
        <v>-2.725584</v>
      </c>
      <c r="AI452" s="899">
        <v>-2.9414820000000002</v>
      </c>
      <c r="AJ452" s="207">
        <v>0</v>
      </c>
      <c r="AK452" s="367">
        <v>0</v>
      </c>
      <c r="AL452" s="367">
        <v>0</v>
      </c>
      <c r="AM452" s="367">
        <v>0</v>
      </c>
      <c r="AN452" s="367">
        <v>0</v>
      </c>
      <c r="AO452" s="295">
        <v>0</v>
      </c>
      <c r="AP452" s="295">
        <v>0</v>
      </c>
      <c r="AQ452" s="295">
        <v>0</v>
      </c>
      <c r="AR452" s="899">
        <v>0</v>
      </c>
      <c r="AS452" s="295">
        <f t="shared" ref="AS452:AS458" si="775">-AR452</f>
        <v>0</v>
      </c>
      <c r="AT452" s="412" t="s">
        <v>1957</v>
      </c>
    </row>
    <row r="453" spans="1:46" ht="113.15" hidden="1" customHeight="1" outlineLevel="1" x14ac:dyDescent="0.35">
      <c r="A453" s="590">
        <v>62</v>
      </c>
      <c r="B453" s="612" t="s">
        <v>242</v>
      </c>
      <c r="C453" s="604" t="s">
        <v>242</v>
      </c>
      <c r="D453" s="579">
        <v>44614</v>
      </c>
      <c r="E453" s="432" t="s">
        <v>1998</v>
      </c>
      <c r="F453" s="480" t="s">
        <v>1609</v>
      </c>
      <c r="G453" s="242" t="s">
        <v>225</v>
      </c>
      <c r="H453" s="310" t="s">
        <v>130</v>
      </c>
      <c r="I453" s="334"/>
      <c r="J453" s="283"/>
      <c r="K453" s="294">
        <f t="shared" si="770"/>
        <v>0.33241300000000001</v>
      </c>
      <c r="L453" s="20">
        <f t="shared" si="759"/>
        <v>6.6123000000000001E-2</v>
      </c>
      <c r="M453" s="95">
        <f t="shared" si="760"/>
        <v>0</v>
      </c>
      <c r="N453" s="94">
        <f t="shared" si="767"/>
        <v>0.22767399999999999</v>
      </c>
      <c r="O453" s="94">
        <f t="shared" si="768"/>
        <v>0.22767399999999999</v>
      </c>
      <c r="P453" s="94">
        <f t="shared" si="771"/>
        <v>0</v>
      </c>
      <c r="Q453" s="928">
        <f t="shared" si="755"/>
        <v>0.33241300000000001</v>
      </c>
      <c r="R453" s="928">
        <f t="shared" si="772"/>
        <v>0.33241300000000001</v>
      </c>
      <c r="S453" s="928">
        <f t="shared" si="756"/>
        <v>0.33241300000000001</v>
      </c>
      <c r="T453" s="928">
        <f t="shared" si="774"/>
        <v>0</v>
      </c>
      <c r="U453" s="929">
        <f t="shared" si="766"/>
        <v>0</v>
      </c>
      <c r="V453" s="930">
        <v>-6.6123000000000001E-2</v>
      </c>
      <c r="W453" s="931">
        <v>0</v>
      </c>
      <c r="X453" s="898">
        <f t="shared" si="769"/>
        <v>-0.22767399999999999</v>
      </c>
      <c r="Y453" s="932">
        <v>0</v>
      </c>
      <c r="Z453" s="932">
        <f>0</f>
        <v>0</v>
      </c>
      <c r="AA453" s="932">
        <f>0</f>
        <v>0</v>
      </c>
      <c r="AB453" s="898">
        <v>0</v>
      </c>
      <c r="AC453" s="898">
        <v>-0.33241300000000001</v>
      </c>
      <c r="AD453" s="932">
        <v>0</v>
      </c>
      <c r="AE453" s="132">
        <v>0</v>
      </c>
      <c r="AF453" s="132">
        <v>-0.33241300000000001</v>
      </c>
      <c r="AG453" s="132">
        <v>-0.33241300000000001</v>
      </c>
      <c r="AH453" s="132">
        <v>-0.33241300000000001</v>
      </c>
      <c r="AI453" s="899">
        <v>-0.33241300000000001</v>
      </c>
      <c r="AJ453" s="207">
        <v>0</v>
      </c>
      <c r="AK453" s="367">
        <v>0</v>
      </c>
      <c r="AL453" s="367">
        <v>0</v>
      </c>
      <c r="AM453" s="367">
        <v>0</v>
      </c>
      <c r="AN453" s="367">
        <v>0</v>
      </c>
      <c r="AO453" s="295">
        <v>0</v>
      </c>
      <c r="AP453" s="295">
        <v>0</v>
      </c>
      <c r="AQ453" s="295">
        <v>0</v>
      </c>
      <c r="AR453" s="899">
        <v>0</v>
      </c>
      <c r="AS453" s="295">
        <f t="shared" si="775"/>
        <v>0</v>
      </c>
      <c r="AT453" s="412" t="s">
        <v>1999</v>
      </c>
    </row>
    <row r="454" spans="1:46" ht="113.15" hidden="1" customHeight="1" outlineLevel="1" x14ac:dyDescent="0.35">
      <c r="A454" s="590">
        <v>63</v>
      </c>
      <c r="B454" s="612" t="s">
        <v>242</v>
      </c>
      <c r="C454" s="604" t="s">
        <v>242</v>
      </c>
      <c r="D454" s="579">
        <v>44628</v>
      </c>
      <c r="E454" s="432" t="s">
        <v>2025</v>
      </c>
      <c r="F454" s="480" t="s">
        <v>1609</v>
      </c>
      <c r="G454" s="242" t="s">
        <v>225</v>
      </c>
      <c r="H454" s="310" t="s">
        <v>130</v>
      </c>
      <c r="I454" s="334"/>
      <c r="J454" s="283"/>
      <c r="K454" s="294">
        <f t="shared" si="770"/>
        <v>0.78493199999999996</v>
      </c>
      <c r="L454" s="20">
        <f t="shared" si="759"/>
        <v>6.6123000000000001E-2</v>
      </c>
      <c r="M454" s="95">
        <f t="shared" si="760"/>
        <v>0</v>
      </c>
      <c r="N454" s="94">
        <f t="shared" si="767"/>
        <v>0.22767399999999999</v>
      </c>
      <c r="O454" s="94">
        <f t="shared" si="768"/>
        <v>0.22767399999999999</v>
      </c>
      <c r="P454" s="94">
        <f t="shared" si="771"/>
        <v>0</v>
      </c>
      <c r="Q454" s="928">
        <f t="shared" si="755"/>
        <v>0.78493199999999996</v>
      </c>
      <c r="R454" s="928">
        <f t="shared" si="772"/>
        <v>0.78493199999999996</v>
      </c>
      <c r="S454" s="928">
        <f t="shared" si="756"/>
        <v>0.37891399999999997</v>
      </c>
      <c r="T454" s="928">
        <f t="shared" si="774"/>
        <v>0</v>
      </c>
      <c r="U454" s="929">
        <f t="shared" si="766"/>
        <v>0</v>
      </c>
      <c r="V454" s="930">
        <v>-6.6123000000000001E-2</v>
      </c>
      <c r="W454" s="931">
        <v>0</v>
      </c>
      <c r="X454" s="898">
        <f t="shared" si="769"/>
        <v>-0.22767399999999999</v>
      </c>
      <c r="Y454" s="932">
        <v>0</v>
      </c>
      <c r="Z454" s="932">
        <f>0</f>
        <v>0</v>
      </c>
      <c r="AA454" s="932">
        <f>0</f>
        <v>0</v>
      </c>
      <c r="AB454" s="898">
        <v>0</v>
      </c>
      <c r="AC454" s="898">
        <v>-0.78493199999999996</v>
      </c>
      <c r="AD454" s="932">
        <v>0</v>
      </c>
      <c r="AE454" s="132">
        <v>0</v>
      </c>
      <c r="AF454" s="132">
        <v>-0.78493199999999996</v>
      </c>
      <c r="AG454" s="132">
        <v>-0.78493199999999996</v>
      </c>
      <c r="AH454" s="132">
        <v>-0.78493199999999996</v>
      </c>
      <c r="AI454" s="899">
        <v>-0.37891399999999997</v>
      </c>
      <c r="AJ454" s="207">
        <v>0</v>
      </c>
      <c r="AK454" s="367">
        <v>0</v>
      </c>
      <c r="AL454" s="367">
        <v>0</v>
      </c>
      <c r="AM454" s="367">
        <v>0</v>
      </c>
      <c r="AN454" s="367">
        <v>0</v>
      </c>
      <c r="AO454" s="295">
        <v>0</v>
      </c>
      <c r="AP454" s="295">
        <v>0</v>
      </c>
      <c r="AQ454" s="295">
        <v>0</v>
      </c>
      <c r="AR454" s="899">
        <v>0</v>
      </c>
      <c r="AS454" s="295">
        <f t="shared" si="775"/>
        <v>0</v>
      </c>
      <c r="AT454" s="412" t="s">
        <v>2012</v>
      </c>
    </row>
    <row r="455" spans="1:46" ht="113.15" hidden="1" customHeight="1" outlineLevel="1" x14ac:dyDescent="0.35">
      <c r="A455" s="590">
        <v>64</v>
      </c>
      <c r="B455" s="612" t="s">
        <v>242</v>
      </c>
      <c r="C455" s="604" t="s">
        <v>242</v>
      </c>
      <c r="D455" s="579">
        <v>44635</v>
      </c>
      <c r="E455" s="432" t="s">
        <v>2023</v>
      </c>
      <c r="F455" s="480" t="s">
        <v>1609</v>
      </c>
      <c r="G455" s="242" t="s">
        <v>225</v>
      </c>
      <c r="H455" s="310" t="s">
        <v>130</v>
      </c>
      <c r="I455" s="334"/>
      <c r="J455" s="283"/>
      <c r="K455" s="294">
        <f t="shared" si="770"/>
        <v>0.312691</v>
      </c>
      <c r="L455" s="20">
        <f t="shared" si="759"/>
        <v>6.6123000000000001E-2</v>
      </c>
      <c r="M455" s="95">
        <f t="shared" si="760"/>
        <v>0</v>
      </c>
      <c r="N455" s="94">
        <f t="shared" si="767"/>
        <v>0.22767399999999999</v>
      </c>
      <c r="O455" s="94">
        <f t="shared" si="768"/>
        <v>0.22767399999999999</v>
      </c>
      <c r="P455" s="94">
        <f t="shared" si="771"/>
        <v>0</v>
      </c>
      <c r="Q455" s="928">
        <f t="shared" si="755"/>
        <v>0.312691</v>
      </c>
      <c r="R455" s="928">
        <f t="shared" si="772"/>
        <v>0.312691</v>
      </c>
      <c r="S455" s="928">
        <f t="shared" si="756"/>
        <v>0.312691</v>
      </c>
      <c r="T455" s="928">
        <f t="shared" si="774"/>
        <v>0</v>
      </c>
      <c r="U455" s="929">
        <f t="shared" si="766"/>
        <v>0</v>
      </c>
      <c r="V455" s="930">
        <v>-6.6123000000000001E-2</v>
      </c>
      <c r="W455" s="931">
        <v>0</v>
      </c>
      <c r="X455" s="898">
        <f t="shared" si="769"/>
        <v>-0.22767399999999999</v>
      </c>
      <c r="Y455" s="932">
        <v>0</v>
      </c>
      <c r="Z455" s="932">
        <f>0</f>
        <v>0</v>
      </c>
      <c r="AA455" s="932">
        <f>0</f>
        <v>0</v>
      </c>
      <c r="AB455" s="898">
        <v>0</v>
      </c>
      <c r="AC455" s="898">
        <v>-0.312691</v>
      </c>
      <c r="AD455" s="932">
        <v>0</v>
      </c>
      <c r="AE455" s="132">
        <v>0</v>
      </c>
      <c r="AF455" s="132">
        <v>0</v>
      </c>
      <c r="AG455" s="132">
        <v>-0.312691</v>
      </c>
      <c r="AH455" s="132">
        <v>-0.312691</v>
      </c>
      <c r="AI455" s="899">
        <v>-0.312691</v>
      </c>
      <c r="AJ455" s="207">
        <v>0</v>
      </c>
      <c r="AK455" s="367">
        <v>0</v>
      </c>
      <c r="AL455" s="367">
        <v>0</v>
      </c>
      <c r="AM455" s="367">
        <v>0</v>
      </c>
      <c r="AN455" s="367">
        <v>0</v>
      </c>
      <c r="AO455" s="295">
        <v>0</v>
      </c>
      <c r="AP455" s="295">
        <v>0</v>
      </c>
      <c r="AQ455" s="295">
        <v>0</v>
      </c>
      <c r="AR455" s="899">
        <v>0</v>
      </c>
      <c r="AS455" s="295">
        <f t="shared" si="775"/>
        <v>0</v>
      </c>
      <c r="AT455" s="412" t="s">
        <v>2024</v>
      </c>
    </row>
    <row r="456" spans="1:46" ht="113.15" hidden="1" customHeight="1" outlineLevel="1" x14ac:dyDescent="0.35">
      <c r="A456" s="590">
        <v>65</v>
      </c>
      <c r="B456" s="612" t="s">
        <v>242</v>
      </c>
      <c r="C456" s="604" t="s">
        <v>242</v>
      </c>
      <c r="D456" s="579">
        <v>44649</v>
      </c>
      <c r="E456" s="432" t="s">
        <v>2057</v>
      </c>
      <c r="F456" s="480" t="s">
        <v>1609</v>
      </c>
      <c r="G456" s="242" t="s">
        <v>225</v>
      </c>
      <c r="H456" s="310" t="s">
        <v>130</v>
      </c>
      <c r="I456" s="334"/>
      <c r="J456" s="283"/>
      <c r="K456" s="294">
        <f t="shared" si="770"/>
        <v>0.71967800000000004</v>
      </c>
      <c r="L456" s="20">
        <f t="shared" si="759"/>
        <v>6.6123000000000001E-2</v>
      </c>
      <c r="M456" s="95">
        <f t="shared" si="760"/>
        <v>0</v>
      </c>
      <c r="N456" s="94">
        <f t="shared" si="767"/>
        <v>0.22767399999999999</v>
      </c>
      <c r="O456" s="94">
        <f t="shared" si="768"/>
        <v>0.22767399999999999</v>
      </c>
      <c r="P456" s="94">
        <f t="shared" si="771"/>
        <v>0</v>
      </c>
      <c r="Q456" s="928">
        <f t="shared" si="755"/>
        <v>0.71967800000000004</v>
      </c>
      <c r="R456" s="928">
        <f t="shared" ref="R456:R457" si="776">-AC456</f>
        <v>0.71967800000000004</v>
      </c>
      <c r="S456" s="928">
        <f t="shared" si="756"/>
        <v>0.34020499999999998</v>
      </c>
      <c r="T456" s="928">
        <f t="shared" si="774"/>
        <v>0</v>
      </c>
      <c r="U456" s="929">
        <f t="shared" si="766"/>
        <v>0</v>
      </c>
      <c r="V456" s="930">
        <v>-6.6123000000000001E-2</v>
      </c>
      <c r="W456" s="931">
        <v>0</v>
      </c>
      <c r="X456" s="898">
        <f t="shared" si="769"/>
        <v>-0.22767399999999999</v>
      </c>
      <c r="Y456" s="932">
        <v>0</v>
      </c>
      <c r="Z456" s="932">
        <f>0</f>
        <v>0</v>
      </c>
      <c r="AA456" s="932">
        <f>0</f>
        <v>0</v>
      </c>
      <c r="AB456" s="898">
        <v>0</v>
      </c>
      <c r="AC456" s="898">
        <v>-0.71967800000000004</v>
      </c>
      <c r="AD456" s="932">
        <v>0</v>
      </c>
      <c r="AE456" s="132">
        <v>0</v>
      </c>
      <c r="AF456" s="132">
        <v>0</v>
      </c>
      <c r="AG456" s="132">
        <v>-0.71967800000000004</v>
      </c>
      <c r="AH456" s="132">
        <v>-0.71967800000000004</v>
      </c>
      <c r="AI456" s="899">
        <v>-0.34020499999999998</v>
      </c>
      <c r="AJ456" s="207">
        <v>0</v>
      </c>
      <c r="AK456" s="367">
        <v>0</v>
      </c>
      <c r="AL456" s="367">
        <v>0</v>
      </c>
      <c r="AM456" s="367">
        <v>0</v>
      </c>
      <c r="AN456" s="367">
        <v>0</v>
      </c>
      <c r="AO456" s="295">
        <v>0</v>
      </c>
      <c r="AP456" s="295">
        <v>0</v>
      </c>
      <c r="AQ456" s="295">
        <v>0</v>
      </c>
      <c r="AR456" s="899">
        <v>0</v>
      </c>
      <c r="AS456" s="295">
        <f t="shared" si="775"/>
        <v>0</v>
      </c>
      <c r="AT456" s="412" t="s">
        <v>2056</v>
      </c>
    </row>
    <row r="457" spans="1:46" ht="113.15" hidden="1" customHeight="1" outlineLevel="1" x14ac:dyDescent="0.35">
      <c r="A457" s="590">
        <v>66</v>
      </c>
      <c r="B457" s="612" t="s">
        <v>242</v>
      </c>
      <c r="C457" s="604" t="s">
        <v>242</v>
      </c>
      <c r="D457" s="579">
        <v>44664</v>
      </c>
      <c r="E457" s="432" t="s">
        <v>2070</v>
      </c>
      <c r="F457" s="480" t="s">
        <v>1609</v>
      </c>
      <c r="G457" s="242" t="s">
        <v>225</v>
      </c>
      <c r="H457" s="310" t="s">
        <v>130</v>
      </c>
      <c r="I457" s="334"/>
      <c r="J457" s="283"/>
      <c r="K457" s="294">
        <f t="shared" si="770"/>
        <v>0.314247</v>
      </c>
      <c r="L457" s="20">
        <f t="shared" si="759"/>
        <v>6.6123000000000001E-2</v>
      </c>
      <c r="M457" s="95">
        <f t="shared" si="760"/>
        <v>0</v>
      </c>
      <c r="N457" s="94">
        <f t="shared" si="767"/>
        <v>0.22767399999999999</v>
      </c>
      <c r="O457" s="94">
        <f t="shared" si="768"/>
        <v>0.22767399999999999</v>
      </c>
      <c r="P457" s="94">
        <f t="shared" si="771"/>
        <v>0</v>
      </c>
      <c r="Q457" s="928">
        <f t="shared" si="755"/>
        <v>0.314247</v>
      </c>
      <c r="R457" s="928">
        <f t="shared" si="776"/>
        <v>0.314247</v>
      </c>
      <c r="S457" s="928">
        <f t="shared" si="756"/>
        <v>0.31424400000000002</v>
      </c>
      <c r="T457" s="928">
        <f t="shared" si="774"/>
        <v>0</v>
      </c>
      <c r="U457" s="929">
        <f t="shared" si="766"/>
        <v>0</v>
      </c>
      <c r="V457" s="930">
        <v>-6.6123000000000001E-2</v>
      </c>
      <c r="W457" s="931">
        <v>0</v>
      </c>
      <c r="X457" s="898">
        <f t="shared" si="769"/>
        <v>-0.22767399999999999</v>
      </c>
      <c r="Y457" s="932">
        <v>0</v>
      </c>
      <c r="Z457" s="932">
        <f>0</f>
        <v>0</v>
      </c>
      <c r="AA457" s="932">
        <f>0</f>
        <v>0</v>
      </c>
      <c r="AB457" s="898">
        <v>0</v>
      </c>
      <c r="AC457" s="898">
        <v>-0.314247</v>
      </c>
      <c r="AD457" s="932">
        <v>0</v>
      </c>
      <c r="AE457" s="132">
        <v>0</v>
      </c>
      <c r="AF457" s="132">
        <v>0</v>
      </c>
      <c r="AG457" s="132">
        <v>-0.314247</v>
      </c>
      <c r="AH457" s="132">
        <v>-0.314247</v>
      </c>
      <c r="AI457" s="899">
        <v>-0.31424400000000002</v>
      </c>
      <c r="AJ457" s="207">
        <v>0</v>
      </c>
      <c r="AK457" s="367">
        <v>0</v>
      </c>
      <c r="AL457" s="367">
        <v>0</v>
      </c>
      <c r="AM457" s="367">
        <v>0</v>
      </c>
      <c r="AN457" s="367">
        <v>0</v>
      </c>
      <c r="AO457" s="295">
        <v>0</v>
      </c>
      <c r="AP457" s="295">
        <v>0</v>
      </c>
      <c r="AQ457" s="295">
        <v>0</v>
      </c>
      <c r="AR457" s="899">
        <v>0</v>
      </c>
      <c r="AS457" s="295">
        <f t="shared" ref="AS457" si="777">-AR457</f>
        <v>0</v>
      </c>
      <c r="AT457" s="412" t="s">
        <v>2069</v>
      </c>
    </row>
    <row r="458" spans="1:46" ht="138.65" hidden="1" customHeight="1" outlineLevel="1" x14ac:dyDescent="0.35">
      <c r="A458" s="590">
        <v>66</v>
      </c>
      <c r="B458" s="612" t="s">
        <v>242</v>
      </c>
      <c r="C458" s="604" t="s">
        <v>242</v>
      </c>
      <c r="D458" s="579">
        <v>44705</v>
      </c>
      <c r="E458" s="432" t="s">
        <v>2106</v>
      </c>
      <c r="F458" s="480" t="s">
        <v>1609</v>
      </c>
      <c r="G458" s="242" t="s">
        <v>225</v>
      </c>
      <c r="H458" s="310" t="s">
        <v>130</v>
      </c>
      <c r="I458" s="334"/>
      <c r="J458" s="283"/>
      <c r="K458" s="294">
        <f t="shared" si="729"/>
        <v>0.88184300000000004</v>
      </c>
      <c r="L458" s="20">
        <f t="shared" si="730"/>
        <v>6.6123000000000001E-2</v>
      </c>
      <c r="M458" s="95">
        <f t="shared" si="730"/>
        <v>0</v>
      </c>
      <c r="N458" s="94">
        <f t="shared" si="763"/>
        <v>0.22767399999999999</v>
      </c>
      <c r="O458" s="94">
        <f t="shared" si="757"/>
        <v>0.22767399999999999</v>
      </c>
      <c r="P458" s="94">
        <f t="shared" si="758"/>
        <v>0</v>
      </c>
      <c r="Q458" s="928">
        <f t="shared" si="755"/>
        <v>0.88184300000000004</v>
      </c>
      <c r="R458" s="928">
        <f t="shared" si="772"/>
        <v>0.88184300000000004</v>
      </c>
      <c r="S458" s="928">
        <f t="shared" si="756"/>
        <v>0</v>
      </c>
      <c r="T458" s="928">
        <f t="shared" si="727"/>
        <v>0</v>
      </c>
      <c r="U458" s="929">
        <f t="shared" si="728"/>
        <v>0</v>
      </c>
      <c r="V458" s="930">
        <v>-6.6123000000000001E-2</v>
      </c>
      <c r="W458" s="931">
        <v>0</v>
      </c>
      <c r="X458" s="898">
        <f t="shared" si="769"/>
        <v>-0.22767399999999999</v>
      </c>
      <c r="Y458" s="932">
        <v>0</v>
      </c>
      <c r="Z458" s="932">
        <f>0</f>
        <v>0</v>
      </c>
      <c r="AA458" s="932">
        <f>0</f>
        <v>0</v>
      </c>
      <c r="AB458" s="898">
        <v>0</v>
      </c>
      <c r="AC458" s="898">
        <v>-0.88184300000000004</v>
      </c>
      <c r="AD458" s="932">
        <v>0</v>
      </c>
      <c r="AE458" s="132">
        <v>0</v>
      </c>
      <c r="AF458" s="132">
        <v>0</v>
      </c>
      <c r="AG458" s="132">
        <v>-0.88184300000000004</v>
      </c>
      <c r="AH458" s="132">
        <v>-0.88184300000000004</v>
      </c>
      <c r="AI458" s="387">
        <v>0</v>
      </c>
      <c r="AJ458" s="207">
        <v>0</v>
      </c>
      <c r="AK458" s="367">
        <v>0</v>
      </c>
      <c r="AL458" s="367">
        <v>0</v>
      </c>
      <c r="AM458" s="367">
        <v>0</v>
      </c>
      <c r="AN458" s="367">
        <v>0</v>
      </c>
      <c r="AO458" s="295">
        <v>0</v>
      </c>
      <c r="AP458" s="295">
        <v>0</v>
      </c>
      <c r="AQ458" s="295">
        <v>0</v>
      </c>
      <c r="AR458" s="387">
        <v>0</v>
      </c>
      <c r="AS458" s="295">
        <f t="shared" si="775"/>
        <v>0</v>
      </c>
      <c r="AT458" s="412" t="s">
        <v>2107</v>
      </c>
    </row>
    <row r="459" spans="1:46" ht="93" hidden="1" customHeight="1" outlineLevel="1" x14ac:dyDescent="0.35">
      <c r="A459" s="590">
        <v>67</v>
      </c>
      <c r="B459" s="612" t="s">
        <v>608</v>
      </c>
      <c r="C459" s="604" t="s">
        <v>608</v>
      </c>
      <c r="D459" s="63" t="s">
        <v>497</v>
      </c>
      <c r="E459" s="432" t="s">
        <v>285</v>
      </c>
      <c r="F459" s="480" t="s">
        <v>281</v>
      </c>
      <c r="G459" s="71" t="s">
        <v>216</v>
      </c>
      <c r="H459" s="310" t="s">
        <v>129</v>
      </c>
      <c r="I459" s="334"/>
      <c r="J459" s="283"/>
      <c r="K459" s="294">
        <f t="shared" si="729"/>
        <v>0.40237600000000001</v>
      </c>
      <c r="L459" s="20">
        <f t="shared" ref="L459:M460" si="778">-V459</f>
        <v>0.64</v>
      </c>
      <c r="M459" s="95">
        <f t="shared" si="778"/>
        <v>0.40237600000000001</v>
      </c>
      <c r="N459" s="94">
        <f t="shared" ref="N459:N486" si="779">-X459</f>
        <v>0</v>
      </c>
      <c r="O459" s="94">
        <f t="shared" si="757"/>
        <v>0</v>
      </c>
      <c r="P459" s="94">
        <f t="shared" si="758"/>
        <v>0</v>
      </c>
      <c r="Q459" s="94">
        <f t="shared" si="755"/>
        <v>0</v>
      </c>
      <c r="R459" s="94">
        <f t="shared" ref="R459:R474" si="780">-AC459</f>
        <v>0</v>
      </c>
      <c r="S459" s="94">
        <f t="shared" si="756"/>
        <v>0</v>
      </c>
      <c r="T459" s="94">
        <f t="shared" ref="T459:T474" si="781">-AJ459</f>
        <v>0</v>
      </c>
      <c r="U459" s="402">
        <f t="shared" ref="U459:U474" si="782">-AQ459</f>
        <v>0</v>
      </c>
      <c r="V459" s="573">
        <f>-0.8+0.16</f>
        <v>-0.64</v>
      </c>
      <c r="W459" s="326">
        <v>-0.40237600000000001</v>
      </c>
      <c r="X459" s="207">
        <v>0</v>
      </c>
      <c r="Y459" s="132">
        <v>0</v>
      </c>
      <c r="Z459" s="132">
        <v>0</v>
      </c>
      <c r="AA459" s="132">
        <v>0</v>
      </c>
      <c r="AB459" s="207">
        <v>0</v>
      </c>
      <c r="AC459" s="207">
        <v>0</v>
      </c>
      <c r="AD459" s="132">
        <v>0</v>
      </c>
      <c r="AE459" s="132">
        <v>0</v>
      </c>
      <c r="AF459" s="132">
        <v>0</v>
      </c>
      <c r="AG459" s="132">
        <v>0</v>
      </c>
      <c r="AH459" s="132">
        <v>0</v>
      </c>
      <c r="AI459" s="387">
        <v>0</v>
      </c>
      <c r="AJ459" s="207">
        <v>0</v>
      </c>
      <c r="AK459" s="367">
        <v>0</v>
      </c>
      <c r="AL459" s="367">
        <v>0</v>
      </c>
      <c r="AM459" s="367">
        <v>0</v>
      </c>
      <c r="AN459" s="367">
        <v>0</v>
      </c>
      <c r="AO459" s="295">
        <v>0</v>
      </c>
      <c r="AP459" s="295">
        <v>0</v>
      </c>
      <c r="AQ459" s="295">
        <v>0</v>
      </c>
      <c r="AR459" s="387">
        <v>0</v>
      </c>
      <c r="AS459" s="295">
        <f t="shared" ref="AS459:AS490" si="783">-AR459</f>
        <v>0</v>
      </c>
      <c r="AT459" s="408" t="s">
        <v>397</v>
      </c>
    </row>
    <row r="460" spans="1:46" ht="72.650000000000006" hidden="1" customHeight="1" outlineLevel="1" x14ac:dyDescent="0.35">
      <c r="A460" s="590">
        <v>68</v>
      </c>
      <c r="B460" s="612" t="s">
        <v>608</v>
      </c>
      <c r="C460" s="604" t="s">
        <v>608</v>
      </c>
      <c r="D460" s="63" t="s">
        <v>398</v>
      </c>
      <c r="E460" s="432" t="s">
        <v>612</v>
      </c>
      <c r="F460" s="1144" t="s">
        <v>607</v>
      </c>
      <c r="G460" s="71" t="s">
        <v>216</v>
      </c>
      <c r="H460" s="310" t="s">
        <v>127</v>
      </c>
      <c r="I460" s="334"/>
      <c r="J460" s="283"/>
      <c r="K460" s="294">
        <f t="shared" si="729"/>
        <v>1.71</v>
      </c>
      <c r="L460" s="20">
        <f t="shared" si="778"/>
        <v>4.7462900000000001</v>
      </c>
      <c r="M460" s="95">
        <f t="shared" si="778"/>
        <v>1.71</v>
      </c>
      <c r="N460" s="94">
        <f t="shared" si="779"/>
        <v>0</v>
      </c>
      <c r="O460" s="94">
        <f t="shared" si="757"/>
        <v>0</v>
      </c>
      <c r="P460" s="94">
        <f t="shared" si="758"/>
        <v>0</v>
      </c>
      <c r="Q460" s="94">
        <f t="shared" si="755"/>
        <v>0</v>
      </c>
      <c r="R460" s="94">
        <f t="shared" si="780"/>
        <v>0</v>
      </c>
      <c r="S460" s="94">
        <f t="shared" si="756"/>
        <v>0</v>
      </c>
      <c r="T460" s="94">
        <f t="shared" si="781"/>
        <v>0</v>
      </c>
      <c r="U460" s="402">
        <f t="shared" si="782"/>
        <v>0</v>
      </c>
      <c r="V460" s="573">
        <f>-4.74629</f>
        <v>-4.7462900000000001</v>
      </c>
      <c r="W460" s="326">
        <v>-1.71</v>
      </c>
      <c r="X460" s="207">
        <v>0</v>
      </c>
      <c r="Y460" s="132">
        <v>0</v>
      </c>
      <c r="Z460" s="132">
        <v>0</v>
      </c>
      <c r="AA460" s="132">
        <v>0</v>
      </c>
      <c r="AB460" s="207">
        <v>0</v>
      </c>
      <c r="AC460" s="207">
        <v>0</v>
      </c>
      <c r="AD460" s="132">
        <v>0</v>
      </c>
      <c r="AE460" s="132">
        <v>0</v>
      </c>
      <c r="AF460" s="132">
        <v>0</v>
      </c>
      <c r="AG460" s="132">
        <v>0</v>
      </c>
      <c r="AH460" s="132">
        <v>0</v>
      </c>
      <c r="AI460" s="387">
        <v>0</v>
      </c>
      <c r="AJ460" s="207">
        <v>0</v>
      </c>
      <c r="AK460" s="367">
        <v>0</v>
      </c>
      <c r="AL460" s="367">
        <v>0</v>
      </c>
      <c r="AM460" s="367">
        <v>0</v>
      </c>
      <c r="AN460" s="367">
        <v>0</v>
      </c>
      <c r="AO460" s="295">
        <v>0</v>
      </c>
      <c r="AP460" s="295">
        <v>0</v>
      </c>
      <c r="AQ460" s="295">
        <v>0</v>
      </c>
      <c r="AR460" s="387">
        <v>0</v>
      </c>
      <c r="AS460" s="295">
        <f>-AR460</f>
        <v>0</v>
      </c>
      <c r="AT460" s="1173" t="s">
        <v>669</v>
      </c>
    </row>
    <row r="461" spans="1:46" ht="58" hidden="1" customHeight="1" outlineLevel="1" x14ac:dyDescent="0.35">
      <c r="A461" s="590">
        <v>69</v>
      </c>
      <c r="B461" s="612" t="s">
        <v>608</v>
      </c>
      <c r="C461" s="604" t="s">
        <v>608</v>
      </c>
      <c r="D461" s="63">
        <v>43844</v>
      </c>
      <c r="E461" s="432" t="s">
        <v>575</v>
      </c>
      <c r="F461" s="1145"/>
      <c r="G461" s="71" t="s">
        <v>216</v>
      </c>
      <c r="H461" s="310" t="s">
        <v>127</v>
      </c>
      <c r="I461" s="334"/>
      <c r="J461" s="283"/>
      <c r="K461" s="294">
        <f t="shared" si="729"/>
        <v>1.95566</v>
      </c>
      <c r="L461" s="20">
        <f>-V461</f>
        <v>0</v>
      </c>
      <c r="M461" s="95">
        <f>-W461</f>
        <v>0</v>
      </c>
      <c r="N461" s="94">
        <f t="shared" si="779"/>
        <v>2.5554649999999999</v>
      </c>
      <c r="O461" s="94">
        <f t="shared" si="757"/>
        <v>2.5554649999999999</v>
      </c>
      <c r="P461" s="94">
        <f t="shared" si="758"/>
        <v>1.95566</v>
      </c>
      <c r="Q461" s="94">
        <f t="shared" si="755"/>
        <v>0</v>
      </c>
      <c r="R461" s="94">
        <f t="shared" si="780"/>
        <v>0</v>
      </c>
      <c r="S461" s="94">
        <f t="shared" si="756"/>
        <v>0</v>
      </c>
      <c r="T461" s="94">
        <f t="shared" si="781"/>
        <v>0</v>
      </c>
      <c r="U461" s="402">
        <f t="shared" si="782"/>
        <v>0</v>
      </c>
      <c r="V461" s="573">
        <v>0</v>
      </c>
      <c r="W461" s="326">
        <v>0</v>
      </c>
      <c r="X461" s="207">
        <f>-2.555465</f>
        <v>-2.5554649999999999</v>
      </c>
      <c r="Y461" s="132">
        <f>-2.555465</f>
        <v>-2.5554649999999999</v>
      </c>
      <c r="Z461" s="132">
        <v>-2.5554649999999999</v>
      </c>
      <c r="AA461" s="132">
        <v>-2.5554649999999999</v>
      </c>
      <c r="AB461" s="60">
        <f>-1.95566</f>
        <v>-1.95566</v>
      </c>
      <c r="AC461" s="207">
        <v>0</v>
      </c>
      <c r="AD461" s="132">
        <v>0</v>
      </c>
      <c r="AE461" s="132">
        <v>0</v>
      </c>
      <c r="AF461" s="132">
        <v>0</v>
      </c>
      <c r="AG461" s="132">
        <v>0</v>
      </c>
      <c r="AH461" s="132">
        <v>0</v>
      </c>
      <c r="AI461" s="321">
        <v>0</v>
      </c>
      <c r="AJ461" s="207">
        <v>0</v>
      </c>
      <c r="AK461" s="367">
        <v>0</v>
      </c>
      <c r="AL461" s="367">
        <v>0</v>
      </c>
      <c r="AM461" s="367">
        <v>0</v>
      </c>
      <c r="AN461" s="367">
        <v>0</v>
      </c>
      <c r="AO461" s="295">
        <v>0</v>
      </c>
      <c r="AP461" s="295">
        <v>0</v>
      </c>
      <c r="AQ461" s="295">
        <v>0</v>
      </c>
      <c r="AR461" s="321">
        <v>0</v>
      </c>
      <c r="AS461" s="295">
        <f t="shared" ref="AS461:AS462" si="784">-AR461</f>
        <v>0</v>
      </c>
      <c r="AT461" s="1174"/>
    </row>
    <row r="462" spans="1:46" ht="72" hidden="1" customHeight="1" outlineLevel="1" x14ac:dyDescent="0.35">
      <c r="A462" s="590">
        <v>70</v>
      </c>
      <c r="B462" s="612" t="s">
        <v>608</v>
      </c>
      <c r="C462" s="604" t="s">
        <v>608</v>
      </c>
      <c r="D462" s="63" t="s">
        <v>543</v>
      </c>
      <c r="E462" s="432" t="s">
        <v>544</v>
      </c>
      <c r="F462" s="480" t="s">
        <v>623</v>
      </c>
      <c r="G462" s="71" t="s">
        <v>216</v>
      </c>
      <c r="H462" s="310" t="s">
        <v>127</v>
      </c>
      <c r="I462" s="334"/>
      <c r="J462" s="283"/>
      <c r="K462" s="294">
        <f t="shared" si="729"/>
        <v>0.142376</v>
      </c>
      <c r="L462" s="20">
        <f>-V462</f>
        <v>4.4527999999999998E-2</v>
      </c>
      <c r="M462" s="95">
        <f>-W462</f>
        <v>0</v>
      </c>
      <c r="N462" s="94">
        <f t="shared" si="779"/>
        <v>2.1735000000000002</v>
      </c>
      <c r="O462" s="94">
        <f t="shared" si="757"/>
        <v>2.1735000000000002</v>
      </c>
      <c r="P462" s="94">
        <f t="shared" si="758"/>
        <v>0.142376</v>
      </c>
      <c r="Q462" s="94">
        <f t="shared" si="755"/>
        <v>0</v>
      </c>
      <c r="R462" s="94">
        <f t="shared" si="780"/>
        <v>0</v>
      </c>
      <c r="S462" s="94">
        <f t="shared" si="756"/>
        <v>0</v>
      </c>
      <c r="T462" s="94">
        <f t="shared" si="781"/>
        <v>0</v>
      </c>
      <c r="U462" s="402">
        <f t="shared" si="782"/>
        <v>0</v>
      </c>
      <c r="V462" s="573">
        <v>-4.4527999999999998E-2</v>
      </c>
      <c r="W462" s="326">
        <v>0</v>
      </c>
      <c r="X462" s="207">
        <v>-2.1735000000000002</v>
      </c>
      <c r="Y462" s="132">
        <v>-2.1735000000000002</v>
      </c>
      <c r="Z462" s="132">
        <v>-2.1735000000000002</v>
      </c>
      <c r="AA462" s="132">
        <v>-2.1735000000000002</v>
      </c>
      <c r="AB462" s="60">
        <v>-0.142376</v>
      </c>
      <c r="AC462" s="207">
        <v>0</v>
      </c>
      <c r="AD462" s="132">
        <v>0</v>
      </c>
      <c r="AE462" s="132">
        <v>0</v>
      </c>
      <c r="AF462" s="132">
        <v>0</v>
      </c>
      <c r="AG462" s="132">
        <v>0</v>
      </c>
      <c r="AH462" s="132">
        <v>0</v>
      </c>
      <c r="AI462" s="321">
        <v>0</v>
      </c>
      <c r="AJ462" s="207">
        <v>0</v>
      </c>
      <c r="AK462" s="367">
        <v>0</v>
      </c>
      <c r="AL462" s="367">
        <v>0</v>
      </c>
      <c r="AM462" s="367">
        <v>0</v>
      </c>
      <c r="AN462" s="367">
        <v>0</v>
      </c>
      <c r="AO462" s="295">
        <v>0</v>
      </c>
      <c r="AP462" s="295">
        <v>0</v>
      </c>
      <c r="AQ462" s="295">
        <v>0</v>
      </c>
      <c r="AR462" s="321">
        <v>0</v>
      </c>
      <c r="AS462" s="295">
        <f t="shared" si="784"/>
        <v>0</v>
      </c>
      <c r="AT462" s="411" t="s">
        <v>545</v>
      </c>
    </row>
    <row r="463" spans="1:46" ht="29.15" hidden="1" customHeight="1" outlineLevel="1" x14ac:dyDescent="0.35">
      <c r="A463" s="590">
        <v>71</v>
      </c>
      <c r="B463" s="612" t="s">
        <v>363</v>
      </c>
      <c r="C463" s="596" t="s">
        <v>363</v>
      </c>
      <c r="D463" s="63" t="s">
        <v>598</v>
      </c>
      <c r="E463" s="432" t="s">
        <v>215</v>
      </c>
      <c r="F463" s="480" t="s">
        <v>364</v>
      </c>
      <c r="G463" s="242" t="s">
        <v>365</v>
      </c>
      <c r="H463" s="310" t="s">
        <v>129</v>
      </c>
      <c r="I463" s="334"/>
      <c r="J463" s="283"/>
      <c r="K463" s="294">
        <f t="shared" si="729"/>
        <v>3.695252</v>
      </c>
      <c r="L463" s="20">
        <f t="shared" ref="L463:M490" si="785">-V463</f>
        <v>0</v>
      </c>
      <c r="M463" s="95">
        <f t="shared" si="785"/>
        <v>0</v>
      </c>
      <c r="N463" s="94">
        <f t="shared" si="779"/>
        <v>5.2880500000000001</v>
      </c>
      <c r="O463" s="94">
        <f t="shared" si="757"/>
        <v>5.2880500000000001</v>
      </c>
      <c r="P463" s="94">
        <f t="shared" si="758"/>
        <v>3.695252</v>
      </c>
      <c r="Q463" s="94">
        <f t="shared" si="755"/>
        <v>0</v>
      </c>
      <c r="R463" s="94">
        <f t="shared" si="780"/>
        <v>0</v>
      </c>
      <c r="S463" s="94">
        <f t="shared" si="756"/>
        <v>0</v>
      </c>
      <c r="T463" s="94">
        <f t="shared" si="781"/>
        <v>0</v>
      </c>
      <c r="U463" s="402">
        <f t="shared" si="782"/>
        <v>0</v>
      </c>
      <c r="V463" s="573">
        <v>0</v>
      </c>
      <c r="W463" s="326">
        <v>0</v>
      </c>
      <c r="X463" s="207">
        <v>-5.2880500000000001</v>
      </c>
      <c r="Y463" s="132">
        <v>-5.2880500000000001</v>
      </c>
      <c r="Z463" s="132">
        <v>-5.2880500000000001</v>
      </c>
      <c r="AA463" s="132">
        <v>-5.2880500000000001</v>
      </c>
      <c r="AB463" s="207">
        <v>-3.695252</v>
      </c>
      <c r="AC463" s="207">
        <v>0</v>
      </c>
      <c r="AD463" s="132">
        <v>0</v>
      </c>
      <c r="AE463" s="132">
        <v>0</v>
      </c>
      <c r="AF463" s="132">
        <v>0</v>
      </c>
      <c r="AG463" s="132">
        <v>0</v>
      </c>
      <c r="AH463" s="132">
        <v>0</v>
      </c>
      <c r="AI463" s="387">
        <v>0</v>
      </c>
      <c r="AJ463" s="207">
        <v>0</v>
      </c>
      <c r="AK463" s="367">
        <v>0</v>
      </c>
      <c r="AL463" s="367">
        <v>0</v>
      </c>
      <c r="AM463" s="367">
        <v>0</v>
      </c>
      <c r="AN463" s="367">
        <v>0</v>
      </c>
      <c r="AO463" s="295">
        <v>0</v>
      </c>
      <c r="AP463" s="295">
        <v>0</v>
      </c>
      <c r="AQ463" s="295">
        <v>0</v>
      </c>
      <c r="AR463" s="387">
        <v>0</v>
      </c>
      <c r="AS463" s="295">
        <f t="shared" si="783"/>
        <v>0</v>
      </c>
      <c r="AT463" s="408" t="s">
        <v>610</v>
      </c>
    </row>
    <row r="464" spans="1:46" ht="72.650000000000006" hidden="1" customHeight="1" outlineLevel="1" x14ac:dyDescent="0.35">
      <c r="A464" s="590">
        <v>72</v>
      </c>
      <c r="B464" s="612" t="s">
        <v>291</v>
      </c>
      <c r="C464" s="596" t="s">
        <v>291</v>
      </c>
      <c r="D464" s="63">
        <v>44026</v>
      </c>
      <c r="E464" s="432" t="s">
        <v>336</v>
      </c>
      <c r="F464" s="480" t="s">
        <v>292</v>
      </c>
      <c r="G464" s="71" t="s">
        <v>216</v>
      </c>
      <c r="H464" s="310" t="s">
        <v>129</v>
      </c>
      <c r="I464" s="334"/>
      <c r="J464" s="283"/>
      <c r="K464" s="294">
        <f t="shared" si="729"/>
        <v>0.21337800000000001</v>
      </c>
      <c r="L464" s="20">
        <f t="shared" si="785"/>
        <v>0.42608400000000002</v>
      </c>
      <c r="M464" s="95">
        <f t="shared" si="785"/>
        <v>0.21337800000000001</v>
      </c>
      <c r="N464" s="94">
        <f t="shared" si="779"/>
        <v>0</v>
      </c>
      <c r="O464" s="94">
        <f t="shared" si="757"/>
        <v>0</v>
      </c>
      <c r="P464" s="94">
        <f t="shared" si="758"/>
        <v>0</v>
      </c>
      <c r="Q464" s="94">
        <f t="shared" si="755"/>
        <v>0</v>
      </c>
      <c r="R464" s="94">
        <f t="shared" si="780"/>
        <v>0</v>
      </c>
      <c r="S464" s="94">
        <f t="shared" si="756"/>
        <v>0</v>
      </c>
      <c r="T464" s="94">
        <f t="shared" si="781"/>
        <v>0</v>
      </c>
      <c r="U464" s="402">
        <f t="shared" si="782"/>
        <v>0</v>
      </c>
      <c r="V464" s="573">
        <v>-0.42608400000000002</v>
      </c>
      <c r="W464" s="326">
        <v>-0.21337800000000001</v>
      </c>
      <c r="X464" s="207">
        <v>0</v>
      </c>
      <c r="Y464" s="132">
        <v>0</v>
      </c>
      <c r="Z464" s="132">
        <v>0</v>
      </c>
      <c r="AA464" s="132">
        <v>0</v>
      </c>
      <c r="AB464" s="207">
        <v>0</v>
      </c>
      <c r="AC464" s="207">
        <v>0</v>
      </c>
      <c r="AD464" s="132">
        <v>0</v>
      </c>
      <c r="AE464" s="132">
        <v>0</v>
      </c>
      <c r="AF464" s="132">
        <v>0</v>
      </c>
      <c r="AG464" s="132">
        <v>0</v>
      </c>
      <c r="AH464" s="132">
        <v>0</v>
      </c>
      <c r="AI464" s="387">
        <v>0</v>
      </c>
      <c r="AJ464" s="207">
        <v>0</v>
      </c>
      <c r="AK464" s="367">
        <v>0</v>
      </c>
      <c r="AL464" s="367">
        <v>0</v>
      </c>
      <c r="AM464" s="367">
        <v>0</v>
      </c>
      <c r="AN464" s="367">
        <v>0</v>
      </c>
      <c r="AO464" s="295">
        <v>0</v>
      </c>
      <c r="AP464" s="295">
        <v>0</v>
      </c>
      <c r="AQ464" s="295">
        <v>0</v>
      </c>
      <c r="AR464" s="387">
        <v>0</v>
      </c>
      <c r="AS464" s="295">
        <f t="shared" si="783"/>
        <v>0</v>
      </c>
      <c r="AT464" s="408" t="s">
        <v>293</v>
      </c>
    </row>
    <row r="465" spans="1:46" ht="130.5" hidden="1" customHeight="1" outlineLevel="1" x14ac:dyDescent="0.35">
      <c r="A465" s="590">
        <v>73</v>
      </c>
      <c r="B465" s="612" t="s">
        <v>361</v>
      </c>
      <c r="C465" s="604" t="s">
        <v>361</v>
      </c>
      <c r="D465" s="63">
        <v>44042</v>
      </c>
      <c r="E465" s="432" t="s">
        <v>328</v>
      </c>
      <c r="F465" s="480" t="s">
        <v>325</v>
      </c>
      <c r="G465" s="71" t="s">
        <v>7</v>
      </c>
      <c r="H465" s="310" t="s">
        <v>326</v>
      </c>
      <c r="I465" s="334"/>
      <c r="J465" s="283"/>
      <c r="K465" s="294">
        <f t="shared" ref="K465:K490" si="786">M465+P465+U465+R465+T465</f>
        <v>0.39085799999999998</v>
      </c>
      <c r="L465" s="20">
        <f t="shared" si="785"/>
        <v>0.52404499999999998</v>
      </c>
      <c r="M465" s="95">
        <f t="shared" si="785"/>
        <v>0.39085799999999998</v>
      </c>
      <c r="N465" s="94">
        <f t="shared" si="779"/>
        <v>0</v>
      </c>
      <c r="O465" s="94">
        <f t="shared" si="757"/>
        <v>0</v>
      </c>
      <c r="P465" s="94">
        <f t="shared" si="758"/>
        <v>0</v>
      </c>
      <c r="Q465" s="94">
        <f t="shared" si="755"/>
        <v>0</v>
      </c>
      <c r="R465" s="94">
        <f t="shared" si="780"/>
        <v>0</v>
      </c>
      <c r="S465" s="94">
        <f t="shared" si="756"/>
        <v>0</v>
      </c>
      <c r="T465" s="94">
        <f t="shared" si="781"/>
        <v>0</v>
      </c>
      <c r="U465" s="402">
        <f t="shared" si="782"/>
        <v>0</v>
      </c>
      <c r="V465" s="573">
        <v>-0.52404499999999998</v>
      </c>
      <c r="W465" s="326">
        <v>-0.39085799999999998</v>
      </c>
      <c r="X465" s="207">
        <v>0</v>
      </c>
      <c r="Y465" s="132">
        <v>0</v>
      </c>
      <c r="Z465" s="132">
        <v>0</v>
      </c>
      <c r="AA465" s="132">
        <v>0</v>
      </c>
      <c r="AB465" s="207">
        <v>0</v>
      </c>
      <c r="AC465" s="207">
        <v>0</v>
      </c>
      <c r="AD465" s="132">
        <v>0</v>
      </c>
      <c r="AE465" s="132">
        <v>0</v>
      </c>
      <c r="AF465" s="132">
        <v>0</v>
      </c>
      <c r="AG465" s="132">
        <v>0</v>
      </c>
      <c r="AH465" s="132">
        <v>0</v>
      </c>
      <c r="AI465" s="387">
        <v>0</v>
      </c>
      <c r="AJ465" s="207">
        <v>0</v>
      </c>
      <c r="AK465" s="367">
        <v>0</v>
      </c>
      <c r="AL465" s="367">
        <v>0</v>
      </c>
      <c r="AM465" s="367">
        <v>0</v>
      </c>
      <c r="AN465" s="367">
        <v>0</v>
      </c>
      <c r="AO465" s="295">
        <v>0</v>
      </c>
      <c r="AP465" s="295">
        <v>0</v>
      </c>
      <c r="AQ465" s="295">
        <v>0</v>
      </c>
      <c r="AR465" s="387">
        <v>0</v>
      </c>
      <c r="AS465" s="295">
        <f t="shared" si="783"/>
        <v>0</v>
      </c>
      <c r="AT465" s="408" t="s">
        <v>327</v>
      </c>
    </row>
    <row r="466" spans="1:46" ht="116.15" hidden="1" customHeight="1" outlineLevel="1" x14ac:dyDescent="0.35">
      <c r="A466" s="590">
        <v>74</v>
      </c>
      <c r="B466" s="612" t="s">
        <v>361</v>
      </c>
      <c r="C466" s="604" t="s">
        <v>361</v>
      </c>
      <c r="D466" s="63">
        <v>44145</v>
      </c>
      <c r="E466" s="432" t="s">
        <v>438</v>
      </c>
      <c r="F466" s="480" t="s">
        <v>512</v>
      </c>
      <c r="G466" s="71" t="s">
        <v>7</v>
      </c>
      <c r="H466" s="310" t="s">
        <v>439</v>
      </c>
      <c r="I466" s="334"/>
      <c r="J466" s="283"/>
      <c r="K466" s="294">
        <f t="shared" si="786"/>
        <v>1.2914300000000001</v>
      </c>
      <c r="L466" s="20">
        <f t="shared" si="785"/>
        <v>1.287614</v>
      </c>
      <c r="M466" s="95">
        <f t="shared" si="785"/>
        <v>1.2914300000000001</v>
      </c>
      <c r="N466" s="94">
        <f t="shared" si="779"/>
        <v>0</v>
      </c>
      <c r="O466" s="94">
        <f t="shared" si="757"/>
        <v>0</v>
      </c>
      <c r="P466" s="94">
        <f t="shared" si="758"/>
        <v>0</v>
      </c>
      <c r="Q466" s="94">
        <f t="shared" si="755"/>
        <v>0</v>
      </c>
      <c r="R466" s="94">
        <f t="shared" si="780"/>
        <v>0</v>
      </c>
      <c r="S466" s="94">
        <f t="shared" si="756"/>
        <v>0</v>
      </c>
      <c r="T466" s="94">
        <f t="shared" si="781"/>
        <v>0</v>
      </c>
      <c r="U466" s="402">
        <f t="shared" si="782"/>
        <v>0</v>
      </c>
      <c r="V466" s="573">
        <f>-1.287614</f>
        <v>-1.287614</v>
      </c>
      <c r="W466" s="326">
        <v>-1.2914300000000001</v>
      </c>
      <c r="X466" s="207">
        <v>0</v>
      </c>
      <c r="Y466" s="132">
        <v>0</v>
      </c>
      <c r="Z466" s="132">
        <v>0</v>
      </c>
      <c r="AA466" s="132">
        <v>0</v>
      </c>
      <c r="AB466" s="207">
        <v>0</v>
      </c>
      <c r="AC466" s="207">
        <v>0</v>
      </c>
      <c r="AD466" s="132">
        <v>0</v>
      </c>
      <c r="AE466" s="132">
        <v>0</v>
      </c>
      <c r="AF466" s="132">
        <v>0</v>
      </c>
      <c r="AG466" s="132">
        <v>0</v>
      </c>
      <c r="AH466" s="132">
        <v>0</v>
      </c>
      <c r="AI466" s="387">
        <v>0</v>
      </c>
      <c r="AJ466" s="207">
        <v>0</v>
      </c>
      <c r="AK466" s="367">
        <v>0</v>
      </c>
      <c r="AL466" s="367">
        <v>0</v>
      </c>
      <c r="AM466" s="367">
        <v>0</v>
      </c>
      <c r="AN466" s="367">
        <v>0</v>
      </c>
      <c r="AO466" s="295">
        <v>0</v>
      </c>
      <c r="AP466" s="295">
        <v>0</v>
      </c>
      <c r="AQ466" s="295">
        <v>0</v>
      </c>
      <c r="AR466" s="387">
        <v>0</v>
      </c>
      <c r="AS466" s="295">
        <f t="shared" si="783"/>
        <v>0</v>
      </c>
      <c r="AT466" s="408" t="s">
        <v>440</v>
      </c>
    </row>
    <row r="467" spans="1:46" ht="205" hidden="1" customHeight="1" outlineLevel="1" x14ac:dyDescent="0.35">
      <c r="A467" s="590">
        <v>75</v>
      </c>
      <c r="B467" s="612" t="s">
        <v>361</v>
      </c>
      <c r="C467" s="604" t="s">
        <v>361</v>
      </c>
      <c r="D467" s="63" t="s">
        <v>2074</v>
      </c>
      <c r="E467" s="432" t="s">
        <v>611</v>
      </c>
      <c r="F467" s="480" t="s">
        <v>513</v>
      </c>
      <c r="G467" s="71" t="s">
        <v>7</v>
      </c>
      <c r="H467" s="310" t="s">
        <v>130</v>
      </c>
      <c r="I467" s="334"/>
      <c r="J467" s="283"/>
      <c r="K467" s="294">
        <f t="shared" si="786"/>
        <v>1.290538</v>
      </c>
      <c r="L467" s="20">
        <f t="shared" si="785"/>
        <v>0</v>
      </c>
      <c r="M467" s="95">
        <f t="shared" si="785"/>
        <v>0</v>
      </c>
      <c r="N467" s="94">
        <f>-X467</f>
        <v>1.233104</v>
      </c>
      <c r="O467" s="94">
        <f t="shared" si="757"/>
        <v>1.233104</v>
      </c>
      <c r="P467" s="94">
        <f t="shared" si="758"/>
        <v>1.154838</v>
      </c>
      <c r="Q467" s="94">
        <f t="shared" si="755"/>
        <v>0.13569999999999999</v>
      </c>
      <c r="R467" s="94">
        <f t="shared" si="780"/>
        <v>0.13569999999999999</v>
      </c>
      <c r="S467" s="94">
        <f t="shared" si="756"/>
        <v>0.4</v>
      </c>
      <c r="T467" s="94">
        <f t="shared" si="781"/>
        <v>0</v>
      </c>
      <c r="U467" s="402">
        <f t="shared" si="782"/>
        <v>0</v>
      </c>
      <c r="V467" s="573">
        <v>0</v>
      </c>
      <c r="W467" s="326">
        <v>0</v>
      </c>
      <c r="X467" s="933">
        <f>-7.974501+0.649229+6.092168</f>
        <v>-1.233104</v>
      </c>
      <c r="Y467" s="132">
        <v>-8.2238559999999996</v>
      </c>
      <c r="Z467" s="132">
        <v>-7.325272</v>
      </c>
      <c r="AA467" s="132">
        <v>-7.325272</v>
      </c>
      <c r="AB467" s="207">
        <v>-1.154838</v>
      </c>
      <c r="AC467" s="895">
        <f>-0.1357</f>
        <v>-0.13569999999999999</v>
      </c>
      <c r="AD467" s="132">
        <v>0</v>
      </c>
      <c r="AE467" s="132">
        <v>0</v>
      </c>
      <c r="AF467" s="132">
        <v>-0.52861000000000002</v>
      </c>
      <c r="AG467" s="132">
        <v>-0.52861000000000002</v>
      </c>
      <c r="AH467" s="132">
        <v>-0.52861000000000002</v>
      </c>
      <c r="AI467" s="623">
        <f>-0.4</f>
        <v>-0.4</v>
      </c>
      <c r="AJ467" s="207">
        <v>0</v>
      </c>
      <c r="AK467" s="367">
        <v>0</v>
      </c>
      <c r="AL467" s="367">
        <v>0</v>
      </c>
      <c r="AM467" s="367">
        <v>0</v>
      </c>
      <c r="AN467" s="367">
        <v>0</v>
      </c>
      <c r="AO467" s="295">
        <v>0</v>
      </c>
      <c r="AP467" s="295">
        <v>0</v>
      </c>
      <c r="AQ467" s="295">
        <v>0</v>
      </c>
      <c r="AR467" s="623">
        <v>0</v>
      </c>
      <c r="AS467" s="295">
        <f t="shared" si="783"/>
        <v>0</v>
      </c>
      <c r="AT467" s="408" t="s">
        <v>1974</v>
      </c>
    </row>
    <row r="468" spans="1:46" ht="187" hidden="1" customHeight="1" outlineLevel="1" x14ac:dyDescent="0.35">
      <c r="A468" s="590">
        <v>76</v>
      </c>
      <c r="B468" s="612" t="s">
        <v>361</v>
      </c>
      <c r="C468" s="604" t="s">
        <v>361</v>
      </c>
      <c r="D468" s="63" t="s">
        <v>1550</v>
      </c>
      <c r="E468" s="432" t="s">
        <v>1190</v>
      </c>
      <c r="F468" s="480" t="s">
        <v>1551</v>
      </c>
      <c r="G468" s="71" t="s">
        <v>7</v>
      </c>
      <c r="H468" s="310" t="s">
        <v>127</v>
      </c>
      <c r="I468" s="334"/>
      <c r="J468" s="283"/>
      <c r="K468" s="294">
        <f t="shared" si="786"/>
        <v>1.23302541</v>
      </c>
      <c r="L468" s="20">
        <f t="shared" ref="L468:L470" si="787">-V468</f>
        <v>0</v>
      </c>
      <c r="M468" s="95">
        <f t="shared" ref="M468:M470" si="788">-W468</f>
        <v>0</v>
      </c>
      <c r="N468" s="94">
        <f t="shared" ref="N468:N470" si="789">-X468</f>
        <v>1.6318809999999999</v>
      </c>
      <c r="O468" s="94">
        <f t="shared" si="757"/>
        <v>1.6318809999999999</v>
      </c>
      <c r="P468" s="94">
        <f t="shared" si="758"/>
        <v>1.08467241</v>
      </c>
      <c r="Q468" s="94">
        <f t="shared" si="755"/>
        <v>0.14835300000000001</v>
      </c>
      <c r="R468" s="94">
        <f t="shared" si="780"/>
        <v>0.14835300000000001</v>
      </c>
      <c r="S468" s="94">
        <f t="shared" si="756"/>
        <v>4.5630669999999998E-2</v>
      </c>
      <c r="T468" s="94">
        <f t="shared" si="781"/>
        <v>0</v>
      </c>
      <c r="U468" s="402">
        <f t="shared" si="782"/>
        <v>0</v>
      </c>
      <c r="V468" s="573">
        <v>0</v>
      </c>
      <c r="W468" s="326">
        <v>0</v>
      </c>
      <c r="X468" s="895">
        <f>-1.631881</f>
        <v>-1.6318809999999999</v>
      </c>
      <c r="Y468" s="934">
        <f>-1.045617</f>
        <v>-1.045617</v>
      </c>
      <c r="Z468" s="132">
        <v>-1.6318809999999999</v>
      </c>
      <c r="AA468" s="132">
        <v>-1.6318809999999999</v>
      </c>
      <c r="AB468" s="207">
        <f>-1.08467241</f>
        <v>-1.08467241</v>
      </c>
      <c r="AC468" s="207">
        <f>-0.148353</f>
        <v>-0.14835300000000001</v>
      </c>
      <c r="AD468" s="132">
        <f>-0.148353</f>
        <v>-0.14835300000000001</v>
      </c>
      <c r="AE468" s="132">
        <f>-0.148353</f>
        <v>-0.14835300000000001</v>
      </c>
      <c r="AF468" s="132">
        <v>-0.14835300000000001</v>
      </c>
      <c r="AG468" s="132">
        <v>-0.14835300000000001</v>
      </c>
      <c r="AH468" s="132">
        <v>-0.14835300000000001</v>
      </c>
      <c r="AI468" s="387">
        <v>-4.5630669999999998E-2</v>
      </c>
      <c r="AJ468" s="207">
        <v>0</v>
      </c>
      <c r="AK468" s="367">
        <v>0</v>
      </c>
      <c r="AL468" s="367">
        <v>0</v>
      </c>
      <c r="AM468" s="367">
        <v>0</v>
      </c>
      <c r="AN468" s="367">
        <v>0</v>
      </c>
      <c r="AO468" s="295">
        <v>0</v>
      </c>
      <c r="AP468" s="295">
        <v>0</v>
      </c>
      <c r="AQ468" s="295">
        <v>0</v>
      </c>
      <c r="AR468" s="387">
        <v>0</v>
      </c>
      <c r="AS468" s="295">
        <f>-AR468</f>
        <v>0</v>
      </c>
      <c r="AT468" s="408" t="s">
        <v>1552</v>
      </c>
    </row>
    <row r="469" spans="1:46" ht="97" hidden="1" customHeight="1" outlineLevel="1" x14ac:dyDescent="0.35">
      <c r="A469" s="590">
        <v>77</v>
      </c>
      <c r="B469" s="612" t="s">
        <v>361</v>
      </c>
      <c r="C469" s="604" t="s">
        <v>361</v>
      </c>
      <c r="D469" s="267">
        <v>44391</v>
      </c>
      <c r="E469" s="432" t="s">
        <v>1523</v>
      </c>
      <c r="F469" s="480" t="s">
        <v>1515</v>
      </c>
      <c r="G469" s="71" t="s">
        <v>7</v>
      </c>
      <c r="H469" s="310" t="s">
        <v>171</v>
      </c>
      <c r="I469" s="334"/>
      <c r="J469" s="283"/>
      <c r="K469" s="294">
        <f t="shared" ref="K469" si="790">M469+P469+U469+R469+T469</f>
        <v>0.207595</v>
      </c>
      <c r="L469" s="20">
        <f t="shared" ref="L469" si="791">-V469</f>
        <v>0</v>
      </c>
      <c r="M469" s="95">
        <f t="shared" ref="M469" si="792">-W469</f>
        <v>0</v>
      </c>
      <c r="N469" s="94">
        <f t="shared" ref="N469" si="793">-X469</f>
        <v>0.31231999999999999</v>
      </c>
      <c r="O469" s="94">
        <f t="shared" ref="O469" si="794">-X469</f>
        <v>0.31231999999999999</v>
      </c>
      <c r="P469" s="94">
        <f t="shared" ref="P469" si="795">-AB469</f>
        <v>0.207595</v>
      </c>
      <c r="Q469" s="94">
        <f t="shared" ref="Q469:Q490" si="796">-AC469</f>
        <v>0</v>
      </c>
      <c r="R469" s="94">
        <f t="shared" si="780"/>
        <v>0</v>
      </c>
      <c r="S469" s="94">
        <f t="shared" ref="S469:S490" si="797">-AI469</f>
        <v>0</v>
      </c>
      <c r="T469" s="94">
        <f t="shared" si="781"/>
        <v>0</v>
      </c>
      <c r="U469" s="402">
        <f t="shared" si="782"/>
        <v>0</v>
      </c>
      <c r="V469" s="573">
        <v>0</v>
      </c>
      <c r="W469" s="326">
        <v>0</v>
      </c>
      <c r="X469" s="207">
        <f>-0.31232</f>
        <v>-0.31231999999999999</v>
      </c>
      <c r="Y469" s="132">
        <v>0</v>
      </c>
      <c r="Z469" s="132">
        <v>-0.31231999999999999</v>
      </c>
      <c r="AA469" s="132">
        <v>-0.31231999999999999</v>
      </c>
      <c r="AB469" s="207">
        <v>-0.207595</v>
      </c>
      <c r="AC469" s="207">
        <v>0</v>
      </c>
      <c r="AD469" s="132">
        <v>0</v>
      </c>
      <c r="AE469" s="132">
        <v>0</v>
      </c>
      <c r="AF469" s="132">
        <v>0</v>
      </c>
      <c r="AG469" s="132">
        <v>0</v>
      </c>
      <c r="AH469" s="132">
        <v>0</v>
      </c>
      <c r="AI469" s="387">
        <v>0</v>
      </c>
      <c r="AJ469" s="207">
        <v>0</v>
      </c>
      <c r="AK469" s="367">
        <v>0</v>
      </c>
      <c r="AL469" s="367">
        <v>0</v>
      </c>
      <c r="AM469" s="367">
        <v>0</v>
      </c>
      <c r="AN469" s="367">
        <v>0</v>
      </c>
      <c r="AO469" s="295">
        <v>0</v>
      </c>
      <c r="AP469" s="295">
        <v>0</v>
      </c>
      <c r="AQ469" s="295">
        <v>0</v>
      </c>
      <c r="AR469" s="387">
        <v>0</v>
      </c>
      <c r="AS469" s="295">
        <f>-AR469</f>
        <v>0</v>
      </c>
      <c r="AT469" s="408" t="s">
        <v>1516</v>
      </c>
    </row>
    <row r="470" spans="1:46" ht="246.65" hidden="1" customHeight="1" outlineLevel="1" x14ac:dyDescent="0.35">
      <c r="A470" s="590">
        <v>78</v>
      </c>
      <c r="B470" s="612" t="s">
        <v>361</v>
      </c>
      <c r="C470" s="604" t="s">
        <v>361</v>
      </c>
      <c r="D470" s="267">
        <v>44607</v>
      </c>
      <c r="E470" s="432" t="s">
        <v>2009</v>
      </c>
      <c r="F470" s="480" t="s">
        <v>2008</v>
      </c>
      <c r="G470" s="71" t="s">
        <v>7</v>
      </c>
      <c r="H470" s="310" t="s">
        <v>130</v>
      </c>
      <c r="I470" s="334"/>
      <c r="J470" s="283"/>
      <c r="K470" s="294">
        <f t="shared" si="786"/>
        <v>0.74667799999999995</v>
      </c>
      <c r="L470" s="20">
        <f t="shared" si="787"/>
        <v>0</v>
      </c>
      <c r="M470" s="95">
        <f t="shared" si="788"/>
        <v>0</v>
      </c>
      <c r="N470" s="94">
        <f t="shared" si="789"/>
        <v>0</v>
      </c>
      <c r="O470" s="94">
        <f t="shared" si="757"/>
        <v>0</v>
      </c>
      <c r="P470" s="94">
        <f t="shared" si="758"/>
        <v>0</v>
      </c>
      <c r="Q470" s="94">
        <f t="shared" si="796"/>
        <v>0.74667799999999995</v>
      </c>
      <c r="R470" s="94">
        <f t="shared" ref="R470" si="798">-AC470</f>
        <v>0.74667799999999995</v>
      </c>
      <c r="S470" s="94">
        <f t="shared" si="797"/>
        <v>0.64885300000000001</v>
      </c>
      <c r="T470" s="94">
        <f t="shared" ref="T470" si="799">-AJ470</f>
        <v>0</v>
      </c>
      <c r="U470" s="402">
        <f t="shared" ref="U470" si="800">-AQ470</f>
        <v>0</v>
      </c>
      <c r="V470" s="573">
        <v>0</v>
      </c>
      <c r="W470" s="326">
        <v>0</v>
      </c>
      <c r="X470" s="207">
        <v>0</v>
      </c>
      <c r="Y470" s="132">
        <v>0</v>
      </c>
      <c r="Z470" s="132">
        <v>0</v>
      </c>
      <c r="AA470" s="132">
        <v>0</v>
      </c>
      <c r="AB470" s="207">
        <v>0</v>
      </c>
      <c r="AC470" s="207">
        <v>-0.74667799999999995</v>
      </c>
      <c r="AD470" s="132">
        <v>0</v>
      </c>
      <c r="AE470" s="132">
        <v>0</v>
      </c>
      <c r="AF470" s="132">
        <v>0</v>
      </c>
      <c r="AG470" s="132">
        <v>-0.74667799999999995</v>
      </c>
      <c r="AH470" s="132">
        <v>-0.74667799999999995</v>
      </c>
      <c r="AI470" s="623">
        <v>-0.64885300000000001</v>
      </c>
      <c r="AJ470" s="207">
        <v>0</v>
      </c>
      <c r="AK470" s="367">
        <v>0</v>
      </c>
      <c r="AL470" s="367">
        <v>0</v>
      </c>
      <c r="AM470" s="367">
        <v>0</v>
      </c>
      <c r="AN470" s="367">
        <v>0</v>
      </c>
      <c r="AO470" s="295">
        <v>0</v>
      </c>
      <c r="AP470" s="295">
        <v>0</v>
      </c>
      <c r="AQ470" s="295">
        <v>0</v>
      </c>
      <c r="AR470" s="623">
        <v>0</v>
      </c>
      <c r="AS470" s="295">
        <f>-AR470</f>
        <v>0</v>
      </c>
      <c r="AT470" s="408" t="s">
        <v>2007</v>
      </c>
    </row>
    <row r="471" spans="1:46" ht="58" hidden="1" customHeight="1" outlineLevel="1" x14ac:dyDescent="0.35">
      <c r="A471" s="590">
        <v>79</v>
      </c>
      <c r="B471" s="612" t="s">
        <v>339</v>
      </c>
      <c r="C471" s="596" t="s">
        <v>339</v>
      </c>
      <c r="D471" s="63">
        <v>44062</v>
      </c>
      <c r="E471" s="432" t="s">
        <v>341</v>
      </c>
      <c r="F471" s="480" t="s">
        <v>340</v>
      </c>
      <c r="G471" s="71" t="s">
        <v>28</v>
      </c>
      <c r="H471" s="310" t="s">
        <v>127</v>
      </c>
      <c r="I471" s="334"/>
      <c r="J471" s="283"/>
      <c r="K471" s="294">
        <f t="shared" si="786"/>
        <v>3.6549999999999999E-2</v>
      </c>
      <c r="L471" s="20">
        <f t="shared" si="785"/>
        <v>7.4992000000000003E-2</v>
      </c>
      <c r="M471" s="95">
        <f t="shared" si="785"/>
        <v>3.6549999999999999E-2</v>
      </c>
      <c r="N471" s="94">
        <f t="shared" si="779"/>
        <v>0</v>
      </c>
      <c r="O471" s="94">
        <f t="shared" si="757"/>
        <v>0</v>
      </c>
      <c r="P471" s="94">
        <f t="shared" si="758"/>
        <v>0</v>
      </c>
      <c r="Q471" s="94">
        <f t="shared" si="796"/>
        <v>0</v>
      </c>
      <c r="R471" s="94">
        <f t="shared" si="780"/>
        <v>0</v>
      </c>
      <c r="S471" s="94">
        <f t="shared" si="797"/>
        <v>0</v>
      </c>
      <c r="T471" s="94">
        <f t="shared" si="781"/>
        <v>0</v>
      </c>
      <c r="U471" s="402">
        <f t="shared" si="782"/>
        <v>0</v>
      </c>
      <c r="V471" s="573">
        <v>-7.4992000000000003E-2</v>
      </c>
      <c r="W471" s="326">
        <v>-3.6549999999999999E-2</v>
      </c>
      <c r="X471" s="207">
        <v>0</v>
      </c>
      <c r="Y471" s="132">
        <v>0</v>
      </c>
      <c r="Z471" s="132">
        <v>0</v>
      </c>
      <c r="AA471" s="132">
        <v>0</v>
      </c>
      <c r="AB471" s="207">
        <v>0</v>
      </c>
      <c r="AC471" s="207">
        <v>0</v>
      </c>
      <c r="AD471" s="132">
        <v>0</v>
      </c>
      <c r="AE471" s="132">
        <v>0</v>
      </c>
      <c r="AF471" s="132">
        <v>0</v>
      </c>
      <c r="AG471" s="132">
        <v>0</v>
      </c>
      <c r="AH471" s="132">
        <v>0</v>
      </c>
      <c r="AI471" s="387">
        <v>0</v>
      </c>
      <c r="AJ471" s="207">
        <v>0</v>
      </c>
      <c r="AK471" s="367">
        <v>0</v>
      </c>
      <c r="AL471" s="367">
        <v>0</v>
      </c>
      <c r="AM471" s="367">
        <v>0</v>
      </c>
      <c r="AN471" s="367">
        <v>0</v>
      </c>
      <c r="AO471" s="295">
        <v>0</v>
      </c>
      <c r="AP471" s="295">
        <v>0</v>
      </c>
      <c r="AQ471" s="295">
        <v>0</v>
      </c>
      <c r="AR471" s="387">
        <v>0</v>
      </c>
      <c r="AS471" s="295">
        <f t="shared" si="783"/>
        <v>0</v>
      </c>
      <c r="AT471" s="408" t="s">
        <v>340</v>
      </c>
    </row>
    <row r="472" spans="1:46" ht="116.15" hidden="1" customHeight="1" outlineLevel="1" x14ac:dyDescent="0.35">
      <c r="A472" s="590">
        <v>80</v>
      </c>
      <c r="B472" s="612" t="s">
        <v>494</v>
      </c>
      <c r="C472" s="596" t="s">
        <v>494</v>
      </c>
      <c r="D472" s="63" t="s">
        <v>492</v>
      </c>
      <c r="E472" s="432" t="s">
        <v>493</v>
      </c>
      <c r="F472" s="480" t="s">
        <v>495</v>
      </c>
      <c r="G472" s="71" t="s">
        <v>192</v>
      </c>
      <c r="H472" s="310" t="s">
        <v>130</v>
      </c>
      <c r="I472" s="334"/>
      <c r="J472" s="283"/>
      <c r="K472" s="294">
        <f t="shared" si="786"/>
        <v>0.36067199999999999</v>
      </c>
      <c r="L472" s="20">
        <f t="shared" si="785"/>
        <v>0.393291</v>
      </c>
      <c r="M472" s="95">
        <f t="shared" si="785"/>
        <v>0.36067199999999999</v>
      </c>
      <c r="N472" s="94">
        <f t="shared" si="779"/>
        <v>0</v>
      </c>
      <c r="O472" s="94">
        <f t="shared" si="757"/>
        <v>0</v>
      </c>
      <c r="P472" s="94">
        <f t="shared" si="758"/>
        <v>0</v>
      </c>
      <c r="Q472" s="94">
        <f t="shared" si="796"/>
        <v>0</v>
      </c>
      <c r="R472" s="94">
        <f t="shared" si="780"/>
        <v>0</v>
      </c>
      <c r="S472" s="94">
        <f t="shared" si="797"/>
        <v>0</v>
      </c>
      <c r="T472" s="94">
        <f t="shared" si="781"/>
        <v>0</v>
      </c>
      <c r="U472" s="402">
        <f t="shared" si="782"/>
        <v>0</v>
      </c>
      <c r="V472" s="573">
        <v>-0.393291</v>
      </c>
      <c r="W472" s="326">
        <v>-0.36067199999999999</v>
      </c>
      <c r="X472" s="207">
        <v>0</v>
      </c>
      <c r="Y472" s="132">
        <v>0</v>
      </c>
      <c r="Z472" s="132">
        <v>0</v>
      </c>
      <c r="AA472" s="132">
        <v>0</v>
      </c>
      <c r="AB472" s="207">
        <v>0</v>
      </c>
      <c r="AC472" s="207">
        <v>0</v>
      </c>
      <c r="AD472" s="132">
        <v>0</v>
      </c>
      <c r="AE472" s="132">
        <v>0</v>
      </c>
      <c r="AF472" s="132">
        <v>0</v>
      </c>
      <c r="AG472" s="132">
        <v>0</v>
      </c>
      <c r="AH472" s="132">
        <v>0</v>
      </c>
      <c r="AI472" s="387">
        <v>0</v>
      </c>
      <c r="AJ472" s="207">
        <v>0</v>
      </c>
      <c r="AK472" s="367">
        <v>0</v>
      </c>
      <c r="AL472" s="367">
        <v>0</v>
      </c>
      <c r="AM472" s="367">
        <v>0</v>
      </c>
      <c r="AN472" s="367">
        <v>0</v>
      </c>
      <c r="AO472" s="295">
        <v>0</v>
      </c>
      <c r="AP472" s="295">
        <v>0</v>
      </c>
      <c r="AQ472" s="295">
        <v>0</v>
      </c>
      <c r="AR472" s="387">
        <v>0</v>
      </c>
      <c r="AS472" s="295">
        <f t="shared" si="783"/>
        <v>0</v>
      </c>
      <c r="AT472" s="408" t="s">
        <v>496</v>
      </c>
    </row>
    <row r="473" spans="1:46" ht="101.5" hidden="1" customHeight="1" outlineLevel="1" x14ac:dyDescent="0.35">
      <c r="A473" s="590">
        <v>81</v>
      </c>
      <c r="B473" s="612" t="s">
        <v>679</v>
      </c>
      <c r="C473" s="596" t="s">
        <v>679</v>
      </c>
      <c r="D473" s="63">
        <v>44224</v>
      </c>
      <c r="E473" s="432" t="s">
        <v>1335</v>
      </c>
      <c r="F473" s="482" t="s">
        <v>680</v>
      </c>
      <c r="G473" s="71" t="s">
        <v>38</v>
      </c>
      <c r="H473" s="310" t="s">
        <v>127</v>
      </c>
      <c r="I473" s="334"/>
      <c r="J473" s="283"/>
      <c r="K473" s="294">
        <f t="shared" si="786"/>
        <v>5</v>
      </c>
      <c r="L473" s="20">
        <f t="shared" si="785"/>
        <v>0</v>
      </c>
      <c r="M473" s="95">
        <f t="shared" si="785"/>
        <v>0</v>
      </c>
      <c r="N473" s="94">
        <f t="shared" si="779"/>
        <v>5</v>
      </c>
      <c r="O473" s="94">
        <f t="shared" si="757"/>
        <v>5</v>
      </c>
      <c r="P473" s="94">
        <f t="shared" si="758"/>
        <v>5</v>
      </c>
      <c r="Q473" s="94">
        <f t="shared" si="796"/>
        <v>0</v>
      </c>
      <c r="R473" s="94">
        <f t="shared" si="780"/>
        <v>0</v>
      </c>
      <c r="S473" s="94">
        <f t="shared" si="797"/>
        <v>0</v>
      </c>
      <c r="T473" s="94">
        <f t="shared" si="781"/>
        <v>0</v>
      </c>
      <c r="U473" s="402">
        <f t="shared" si="782"/>
        <v>0</v>
      </c>
      <c r="V473" s="573">
        <v>0</v>
      </c>
      <c r="W473" s="326">
        <v>0</v>
      </c>
      <c r="X473" s="207">
        <v>-5</v>
      </c>
      <c r="Y473" s="132">
        <v>-5</v>
      </c>
      <c r="Z473" s="132">
        <v>-5</v>
      </c>
      <c r="AA473" s="132">
        <v>-5</v>
      </c>
      <c r="AB473" s="207">
        <v>-5</v>
      </c>
      <c r="AC473" s="207">
        <v>0</v>
      </c>
      <c r="AD473" s="132">
        <v>0</v>
      </c>
      <c r="AE473" s="132">
        <v>0</v>
      </c>
      <c r="AF473" s="132">
        <v>0</v>
      </c>
      <c r="AG473" s="132">
        <v>0</v>
      </c>
      <c r="AH473" s="132">
        <v>0</v>
      </c>
      <c r="AI473" s="387">
        <v>0</v>
      </c>
      <c r="AJ473" s="207">
        <v>0</v>
      </c>
      <c r="AK473" s="367">
        <v>0</v>
      </c>
      <c r="AL473" s="367">
        <v>0</v>
      </c>
      <c r="AM473" s="367">
        <v>0</v>
      </c>
      <c r="AN473" s="367">
        <v>0</v>
      </c>
      <c r="AO473" s="295">
        <v>0</v>
      </c>
      <c r="AP473" s="295">
        <v>0</v>
      </c>
      <c r="AQ473" s="295">
        <v>0</v>
      </c>
      <c r="AR473" s="387">
        <v>0</v>
      </c>
      <c r="AS473" s="295">
        <f t="shared" si="783"/>
        <v>0</v>
      </c>
      <c r="AT473" s="408" t="s">
        <v>681</v>
      </c>
    </row>
    <row r="474" spans="1:46" ht="72.650000000000006" hidden="1" customHeight="1" outlineLevel="1" x14ac:dyDescent="0.35">
      <c r="A474" s="590">
        <v>82</v>
      </c>
      <c r="B474" s="612" t="s">
        <v>1586</v>
      </c>
      <c r="C474" s="596" t="s">
        <v>1237</v>
      </c>
      <c r="D474" s="63" t="s">
        <v>1421</v>
      </c>
      <c r="E474" s="432" t="s">
        <v>1333</v>
      </c>
      <c r="F474" s="482" t="s">
        <v>1586</v>
      </c>
      <c r="G474" s="71" t="s">
        <v>216</v>
      </c>
      <c r="H474" s="310" t="s">
        <v>127</v>
      </c>
      <c r="I474" s="334"/>
      <c r="J474" s="283"/>
      <c r="K474" s="294">
        <f t="shared" si="786"/>
        <v>7.8635479999999998</v>
      </c>
      <c r="L474" s="20">
        <f t="shared" ref="L474" si="801">-V474</f>
        <v>0</v>
      </c>
      <c r="M474" s="95">
        <f t="shared" ref="M474" si="802">-W474</f>
        <v>0</v>
      </c>
      <c r="N474" s="94">
        <f t="shared" ref="N474" si="803">-X474</f>
        <v>20</v>
      </c>
      <c r="O474" s="94">
        <f t="shared" si="757"/>
        <v>20</v>
      </c>
      <c r="P474" s="94">
        <f t="shared" si="758"/>
        <v>7.8635479999999998</v>
      </c>
      <c r="Q474" s="94">
        <f t="shared" si="796"/>
        <v>0</v>
      </c>
      <c r="R474" s="94">
        <f t="shared" si="780"/>
        <v>0</v>
      </c>
      <c r="S474" s="94">
        <f t="shared" si="797"/>
        <v>0</v>
      </c>
      <c r="T474" s="94">
        <f t="shared" si="781"/>
        <v>0</v>
      </c>
      <c r="U474" s="402">
        <f t="shared" si="782"/>
        <v>0</v>
      </c>
      <c r="V474" s="573">
        <v>0</v>
      </c>
      <c r="W474" s="326">
        <v>0</v>
      </c>
      <c r="X474" s="207">
        <v>-20</v>
      </c>
      <c r="Y474" s="132">
        <v>0</v>
      </c>
      <c r="Z474" s="132">
        <v>-20</v>
      </c>
      <c r="AA474" s="132">
        <v>-20</v>
      </c>
      <c r="AB474" s="207">
        <f>-7.863548</f>
        <v>-7.8635479999999998</v>
      </c>
      <c r="AC474" s="207">
        <v>0</v>
      </c>
      <c r="AD474" s="132">
        <v>0</v>
      </c>
      <c r="AE474" s="132">
        <v>0</v>
      </c>
      <c r="AF474" s="132">
        <v>0</v>
      </c>
      <c r="AG474" s="132">
        <v>0</v>
      </c>
      <c r="AH474" s="132">
        <v>0</v>
      </c>
      <c r="AI474" s="387">
        <v>0</v>
      </c>
      <c r="AJ474" s="207">
        <v>0</v>
      </c>
      <c r="AK474" s="367">
        <v>0</v>
      </c>
      <c r="AL474" s="367">
        <v>0</v>
      </c>
      <c r="AM474" s="367">
        <v>0</v>
      </c>
      <c r="AN474" s="367">
        <v>0</v>
      </c>
      <c r="AO474" s="295">
        <v>0</v>
      </c>
      <c r="AP474" s="295">
        <v>0</v>
      </c>
      <c r="AQ474" s="295">
        <v>0</v>
      </c>
      <c r="AR474" s="387">
        <v>0</v>
      </c>
      <c r="AS474" s="295">
        <f t="shared" ref="AS474" si="804">-AR474</f>
        <v>0</v>
      </c>
      <c r="AT474" s="408" t="s">
        <v>1238</v>
      </c>
    </row>
    <row r="475" spans="1:46" ht="126" hidden="1" customHeight="1" outlineLevel="1" x14ac:dyDescent="0.35">
      <c r="A475" s="590">
        <v>83</v>
      </c>
      <c r="B475" s="612" t="s">
        <v>1586</v>
      </c>
      <c r="C475" s="596" t="s">
        <v>1237</v>
      </c>
      <c r="D475" s="63" t="s">
        <v>2030</v>
      </c>
      <c r="E475" s="432" t="s">
        <v>1882</v>
      </c>
      <c r="F475" s="482" t="s">
        <v>1586</v>
      </c>
      <c r="G475" s="71" t="s">
        <v>216</v>
      </c>
      <c r="H475" s="310" t="s">
        <v>127</v>
      </c>
      <c r="I475" s="334"/>
      <c r="J475" s="283"/>
      <c r="K475" s="294">
        <f t="shared" si="786"/>
        <v>50.125857000000003</v>
      </c>
      <c r="L475" s="20">
        <f t="shared" si="785"/>
        <v>0</v>
      </c>
      <c r="M475" s="95">
        <f t="shared" si="785"/>
        <v>0</v>
      </c>
      <c r="N475" s="94">
        <f t="shared" si="779"/>
        <v>0</v>
      </c>
      <c r="O475" s="94">
        <f t="shared" si="757"/>
        <v>0</v>
      </c>
      <c r="P475" s="94">
        <f t="shared" si="758"/>
        <v>0</v>
      </c>
      <c r="Q475" s="94">
        <f t="shared" si="796"/>
        <v>50.125857000000003</v>
      </c>
      <c r="R475" s="94">
        <f t="shared" ref="R475:R490" si="805">-AC475</f>
        <v>50.125857000000003</v>
      </c>
      <c r="S475" s="94">
        <f t="shared" si="797"/>
        <v>8.9139130000000009</v>
      </c>
      <c r="T475" s="94">
        <f t="shared" ref="T475:T490" si="806">-AJ475</f>
        <v>0</v>
      </c>
      <c r="U475" s="402">
        <f t="shared" ref="U475:U490" si="807">-AQ475</f>
        <v>0</v>
      </c>
      <c r="V475" s="573">
        <v>0</v>
      </c>
      <c r="W475" s="326">
        <v>0</v>
      </c>
      <c r="X475" s="207">
        <v>0</v>
      </c>
      <c r="Y475" s="132">
        <v>0</v>
      </c>
      <c r="Z475" s="132">
        <v>-20</v>
      </c>
      <c r="AA475" s="132">
        <v>0</v>
      </c>
      <c r="AB475" s="207">
        <f>0</f>
        <v>0</v>
      </c>
      <c r="AC475" s="207">
        <f>-50-0.125857</f>
        <v>-50.125857000000003</v>
      </c>
      <c r="AD475" s="132">
        <v>0</v>
      </c>
      <c r="AE475" s="132">
        <v>0</v>
      </c>
      <c r="AF475" s="132">
        <v>-10</v>
      </c>
      <c r="AG475" s="927">
        <f>-50.125857+41</f>
        <v>-9.1258570000000034</v>
      </c>
      <c r="AH475" s="927">
        <f>-50.125857+41</f>
        <v>-9.1258570000000034</v>
      </c>
      <c r="AI475" s="623">
        <f>-8.378982-0.534931</f>
        <v>-8.9139130000000009</v>
      </c>
      <c r="AJ475" s="207">
        <v>0</v>
      </c>
      <c r="AK475" s="367">
        <v>0</v>
      </c>
      <c r="AL475" s="367">
        <v>0</v>
      </c>
      <c r="AM475" s="367">
        <v>0</v>
      </c>
      <c r="AN475" s="367">
        <v>0</v>
      </c>
      <c r="AO475" s="295">
        <v>0</v>
      </c>
      <c r="AP475" s="295">
        <v>0</v>
      </c>
      <c r="AQ475" s="295">
        <v>0</v>
      </c>
      <c r="AR475" s="623">
        <v>0</v>
      </c>
      <c r="AS475" s="295">
        <f t="shared" si="783"/>
        <v>0</v>
      </c>
      <c r="AT475" s="408" t="s">
        <v>1914</v>
      </c>
    </row>
    <row r="476" spans="1:46" ht="43.5" hidden="1" customHeight="1" outlineLevel="1" x14ac:dyDescent="0.35">
      <c r="A476" s="590">
        <v>84</v>
      </c>
      <c r="B476" s="612" t="s">
        <v>1233</v>
      </c>
      <c r="C476" s="604" t="s">
        <v>1233</v>
      </c>
      <c r="D476" s="63">
        <v>44295</v>
      </c>
      <c r="E476" s="432" t="s">
        <v>1332</v>
      </c>
      <c r="F476" s="482" t="s">
        <v>1233</v>
      </c>
      <c r="G476" s="71" t="s">
        <v>38</v>
      </c>
      <c r="H476" s="310" t="s">
        <v>130</v>
      </c>
      <c r="I476" s="334"/>
      <c r="J476" s="283"/>
      <c r="K476" s="294">
        <f t="shared" si="786"/>
        <v>7.6998999999999998E-2</v>
      </c>
      <c r="L476" s="20">
        <f t="shared" ref="L476:L481" si="808">-V476</f>
        <v>0</v>
      </c>
      <c r="M476" s="95">
        <f t="shared" ref="M476:M485" si="809">-W476</f>
        <v>0</v>
      </c>
      <c r="N476" s="94">
        <f t="shared" ref="N476:N485" si="810">-X476</f>
        <v>7.6998999999999998E-2</v>
      </c>
      <c r="O476" s="94">
        <f t="shared" si="757"/>
        <v>7.6998999999999998E-2</v>
      </c>
      <c r="P476" s="94">
        <f t="shared" si="758"/>
        <v>7.6998999999999998E-2</v>
      </c>
      <c r="Q476" s="94">
        <f t="shared" si="796"/>
        <v>0</v>
      </c>
      <c r="R476" s="94">
        <f t="shared" si="805"/>
        <v>0</v>
      </c>
      <c r="S476" s="94">
        <f t="shared" si="797"/>
        <v>0</v>
      </c>
      <c r="T476" s="94">
        <f t="shared" si="806"/>
        <v>0</v>
      </c>
      <c r="U476" s="402">
        <f t="shared" si="807"/>
        <v>0</v>
      </c>
      <c r="V476" s="573">
        <v>0</v>
      </c>
      <c r="W476" s="326">
        <v>0</v>
      </c>
      <c r="X476" s="207">
        <v>-7.6998999999999998E-2</v>
      </c>
      <c r="Y476" s="132">
        <v>0</v>
      </c>
      <c r="Z476" s="132">
        <v>-7.6998999999999998E-2</v>
      </c>
      <c r="AA476" s="132">
        <v>-7.6998999999999998E-2</v>
      </c>
      <c r="AB476" s="207">
        <v>-7.6998999999999998E-2</v>
      </c>
      <c r="AC476" s="207">
        <v>0</v>
      </c>
      <c r="AD476" s="132">
        <v>0</v>
      </c>
      <c r="AE476" s="132">
        <v>0</v>
      </c>
      <c r="AF476" s="132">
        <v>0</v>
      </c>
      <c r="AG476" s="132">
        <v>0</v>
      </c>
      <c r="AH476" s="132">
        <v>0</v>
      </c>
      <c r="AI476" s="387">
        <v>0</v>
      </c>
      <c r="AJ476" s="207">
        <v>0</v>
      </c>
      <c r="AK476" s="367">
        <v>0</v>
      </c>
      <c r="AL476" s="367">
        <v>0</v>
      </c>
      <c r="AM476" s="367">
        <v>0</v>
      </c>
      <c r="AN476" s="367">
        <v>0</v>
      </c>
      <c r="AO476" s="295">
        <v>0</v>
      </c>
      <c r="AP476" s="295">
        <v>0</v>
      </c>
      <c r="AQ476" s="295">
        <v>0</v>
      </c>
      <c r="AR476" s="387">
        <v>0</v>
      </c>
      <c r="AS476" s="295">
        <f t="shared" ref="AS476:AS479" si="811">-AR476</f>
        <v>0</v>
      </c>
      <c r="AT476" s="408" t="s">
        <v>1234</v>
      </c>
    </row>
    <row r="477" spans="1:46" ht="58" hidden="1" customHeight="1" outlineLevel="1" x14ac:dyDescent="0.35">
      <c r="A477" s="590">
        <v>85</v>
      </c>
      <c r="B477" s="612" t="s">
        <v>1233</v>
      </c>
      <c r="C477" s="604" t="s">
        <v>1233</v>
      </c>
      <c r="D477" s="63">
        <v>44348</v>
      </c>
      <c r="E477" s="432" t="s">
        <v>1466</v>
      </c>
      <c r="F477" s="482" t="s">
        <v>1233</v>
      </c>
      <c r="G477" s="71" t="s">
        <v>38</v>
      </c>
      <c r="H477" s="310" t="s">
        <v>130</v>
      </c>
      <c r="I477" s="334"/>
      <c r="J477" s="283"/>
      <c r="K477" s="294">
        <f t="shared" si="786"/>
        <v>0.11307399999999999</v>
      </c>
      <c r="L477" s="20">
        <f t="shared" si="808"/>
        <v>0</v>
      </c>
      <c r="M477" s="95">
        <f t="shared" si="809"/>
        <v>0</v>
      </c>
      <c r="N477" s="94">
        <f t="shared" si="810"/>
        <v>0.11307399999999999</v>
      </c>
      <c r="O477" s="94">
        <f t="shared" si="757"/>
        <v>0.11307399999999999</v>
      </c>
      <c r="P477" s="94">
        <f t="shared" si="758"/>
        <v>0.11307399999999999</v>
      </c>
      <c r="Q477" s="94">
        <f t="shared" si="796"/>
        <v>0</v>
      </c>
      <c r="R477" s="94">
        <f t="shared" si="805"/>
        <v>0</v>
      </c>
      <c r="S477" s="94">
        <f t="shared" si="797"/>
        <v>0</v>
      </c>
      <c r="T477" s="94">
        <f t="shared" si="806"/>
        <v>0</v>
      </c>
      <c r="U477" s="402">
        <f t="shared" si="807"/>
        <v>0</v>
      </c>
      <c r="V477" s="573">
        <v>0</v>
      </c>
      <c r="W477" s="326">
        <v>0</v>
      </c>
      <c r="X477" s="207">
        <v>-0.11307399999999999</v>
      </c>
      <c r="Y477" s="132">
        <v>0</v>
      </c>
      <c r="Z477" s="132">
        <v>-0.11307399999999999</v>
      </c>
      <c r="AA477" s="132">
        <v>-0.11307399999999999</v>
      </c>
      <c r="AB477" s="207">
        <v>-0.11307399999999999</v>
      </c>
      <c r="AC477" s="207">
        <v>0</v>
      </c>
      <c r="AD477" s="132">
        <v>0</v>
      </c>
      <c r="AE477" s="132">
        <v>0</v>
      </c>
      <c r="AF477" s="132">
        <v>0</v>
      </c>
      <c r="AG477" s="132">
        <v>0</v>
      </c>
      <c r="AH477" s="132">
        <v>0</v>
      </c>
      <c r="AI477" s="387">
        <v>0</v>
      </c>
      <c r="AJ477" s="207">
        <v>0</v>
      </c>
      <c r="AK477" s="367">
        <v>0</v>
      </c>
      <c r="AL477" s="367">
        <v>0</v>
      </c>
      <c r="AM477" s="367">
        <v>0</v>
      </c>
      <c r="AN477" s="367">
        <v>0</v>
      </c>
      <c r="AO477" s="295">
        <v>0</v>
      </c>
      <c r="AP477" s="295">
        <v>0</v>
      </c>
      <c r="AQ477" s="295">
        <v>0</v>
      </c>
      <c r="AR477" s="387">
        <v>0</v>
      </c>
      <c r="AS477" s="295">
        <f t="shared" si="811"/>
        <v>0</v>
      </c>
      <c r="AT477" s="412" t="s">
        <v>1435</v>
      </c>
    </row>
    <row r="478" spans="1:46" ht="87" hidden="1" customHeight="1" outlineLevel="1" x14ac:dyDescent="0.35">
      <c r="A478" s="590">
        <v>86</v>
      </c>
      <c r="B478" s="612" t="s">
        <v>1233</v>
      </c>
      <c r="C478" s="604" t="s">
        <v>1233</v>
      </c>
      <c r="D478" s="260">
        <v>44376</v>
      </c>
      <c r="E478" s="432" t="s">
        <v>1486</v>
      </c>
      <c r="F478" s="482" t="s">
        <v>1485</v>
      </c>
      <c r="G478" s="71" t="s">
        <v>38</v>
      </c>
      <c r="H478" s="310" t="s">
        <v>130</v>
      </c>
      <c r="I478" s="334"/>
      <c r="J478" s="283"/>
      <c r="K478" s="294">
        <f t="shared" si="786"/>
        <v>0.58548</v>
      </c>
      <c r="L478" s="20">
        <f t="shared" si="808"/>
        <v>0</v>
      </c>
      <c r="M478" s="95">
        <f t="shared" si="809"/>
        <v>0</v>
      </c>
      <c r="N478" s="94">
        <f t="shared" si="810"/>
        <v>0.58548</v>
      </c>
      <c r="O478" s="94">
        <f t="shared" si="757"/>
        <v>0.58548</v>
      </c>
      <c r="P478" s="94">
        <f t="shared" si="758"/>
        <v>0.58548</v>
      </c>
      <c r="Q478" s="94">
        <f t="shared" si="796"/>
        <v>0</v>
      </c>
      <c r="R478" s="94">
        <f t="shared" ref="R478:R485" si="812">-AC478</f>
        <v>0</v>
      </c>
      <c r="S478" s="94">
        <f t="shared" si="797"/>
        <v>0</v>
      </c>
      <c r="T478" s="94">
        <f t="shared" ref="T478:T481" si="813">-AJ478</f>
        <v>0</v>
      </c>
      <c r="U478" s="402">
        <f t="shared" ref="U478:U483" si="814">-AQ478</f>
        <v>0</v>
      </c>
      <c r="V478" s="573">
        <v>0</v>
      </c>
      <c r="W478" s="326">
        <v>0</v>
      </c>
      <c r="X478" s="207">
        <v>-0.58548</v>
      </c>
      <c r="Y478" s="132">
        <v>0</v>
      </c>
      <c r="Z478" s="132">
        <v>-0.58548</v>
      </c>
      <c r="AA478" s="132">
        <v>-0.58548</v>
      </c>
      <c r="AB478" s="207">
        <v>-0.58548</v>
      </c>
      <c r="AC478" s="207">
        <v>0</v>
      </c>
      <c r="AD478" s="132">
        <v>0</v>
      </c>
      <c r="AE478" s="132">
        <v>0</v>
      </c>
      <c r="AF478" s="132">
        <v>0</v>
      </c>
      <c r="AG478" s="132">
        <v>0</v>
      </c>
      <c r="AH478" s="132">
        <v>0</v>
      </c>
      <c r="AI478" s="387">
        <v>0</v>
      </c>
      <c r="AJ478" s="207">
        <v>0</v>
      </c>
      <c r="AK478" s="367">
        <v>0</v>
      </c>
      <c r="AL478" s="367">
        <v>0</v>
      </c>
      <c r="AM478" s="367">
        <v>0</v>
      </c>
      <c r="AN478" s="367">
        <v>0</v>
      </c>
      <c r="AO478" s="295">
        <v>0</v>
      </c>
      <c r="AP478" s="295">
        <v>0</v>
      </c>
      <c r="AQ478" s="295">
        <v>0</v>
      </c>
      <c r="AR478" s="387">
        <v>0</v>
      </c>
      <c r="AS478" s="295">
        <f t="shared" si="811"/>
        <v>0</v>
      </c>
      <c r="AT478" s="408" t="s">
        <v>1487</v>
      </c>
    </row>
    <row r="479" spans="1:46" ht="113.5" hidden="1" customHeight="1" outlineLevel="1" x14ac:dyDescent="0.35">
      <c r="A479" s="590">
        <v>87</v>
      </c>
      <c r="B479" s="612" t="s">
        <v>1233</v>
      </c>
      <c r="C479" s="604" t="s">
        <v>1233</v>
      </c>
      <c r="D479" s="260">
        <v>44417</v>
      </c>
      <c r="E479" s="432" t="s">
        <v>1672</v>
      </c>
      <c r="F479" s="482" t="s">
        <v>1233</v>
      </c>
      <c r="G479" s="71" t="s">
        <v>38</v>
      </c>
      <c r="H479" s="310" t="s">
        <v>130</v>
      </c>
      <c r="I479" s="334"/>
      <c r="J479" s="283"/>
      <c r="K479" s="294">
        <f t="shared" si="786"/>
        <v>0.277059</v>
      </c>
      <c r="L479" s="20">
        <f t="shared" si="808"/>
        <v>0</v>
      </c>
      <c r="M479" s="95">
        <f t="shared" si="809"/>
        <v>0</v>
      </c>
      <c r="N479" s="94">
        <f t="shared" si="810"/>
        <v>0.277059</v>
      </c>
      <c r="O479" s="94">
        <f t="shared" ref="O479:O490" si="815">-X479</f>
        <v>0.277059</v>
      </c>
      <c r="P479" s="94">
        <f t="shared" ref="P479:P490" si="816">-AB479</f>
        <v>0.277059</v>
      </c>
      <c r="Q479" s="94">
        <f t="shared" si="796"/>
        <v>0</v>
      </c>
      <c r="R479" s="94">
        <f t="shared" si="812"/>
        <v>0</v>
      </c>
      <c r="S479" s="94">
        <f t="shared" si="797"/>
        <v>0</v>
      </c>
      <c r="T479" s="94">
        <f t="shared" si="813"/>
        <v>0</v>
      </c>
      <c r="U479" s="402">
        <f t="shared" si="814"/>
        <v>0</v>
      </c>
      <c r="V479" s="573">
        <v>0</v>
      </c>
      <c r="W479" s="326">
        <v>0</v>
      </c>
      <c r="X479" s="207">
        <f>-0.277059</f>
        <v>-0.277059</v>
      </c>
      <c r="Y479" s="132">
        <v>0</v>
      </c>
      <c r="Z479" s="132">
        <v>0</v>
      </c>
      <c r="AA479" s="132">
        <v>0</v>
      </c>
      <c r="AB479" s="895">
        <v>-0.277059</v>
      </c>
      <c r="AC479" s="207">
        <v>0</v>
      </c>
      <c r="AD479" s="132">
        <v>0</v>
      </c>
      <c r="AE479" s="132">
        <v>0</v>
      </c>
      <c r="AF479" s="132">
        <v>0</v>
      </c>
      <c r="AG479" s="132">
        <v>0</v>
      </c>
      <c r="AH479" s="132">
        <v>0</v>
      </c>
      <c r="AI479" s="917">
        <v>0</v>
      </c>
      <c r="AJ479" s="207">
        <v>0</v>
      </c>
      <c r="AK479" s="367">
        <v>0</v>
      </c>
      <c r="AL479" s="367">
        <v>0</v>
      </c>
      <c r="AM479" s="367">
        <v>0</v>
      </c>
      <c r="AN479" s="367">
        <v>0</v>
      </c>
      <c r="AO479" s="295">
        <v>0</v>
      </c>
      <c r="AP479" s="295">
        <v>0</v>
      </c>
      <c r="AQ479" s="295">
        <v>0</v>
      </c>
      <c r="AR479" s="917">
        <v>0</v>
      </c>
      <c r="AS479" s="295">
        <f t="shared" si="811"/>
        <v>0</v>
      </c>
      <c r="AT479" s="408" t="s">
        <v>1566</v>
      </c>
    </row>
    <row r="480" spans="1:46" ht="90" hidden="1" customHeight="1" outlineLevel="1" x14ac:dyDescent="0.35">
      <c r="A480" s="590">
        <v>88</v>
      </c>
      <c r="B480" s="612" t="s">
        <v>1233</v>
      </c>
      <c r="C480" s="604" t="s">
        <v>1233</v>
      </c>
      <c r="D480" s="260">
        <v>44474</v>
      </c>
      <c r="E480" s="432" t="s">
        <v>1671</v>
      </c>
      <c r="F480" s="482" t="s">
        <v>1233</v>
      </c>
      <c r="G480" s="71" t="s">
        <v>38</v>
      </c>
      <c r="H480" s="310" t="s">
        <v>130</v>
      </c>
      <c r="I480" s="334"/>
      <c r="J480" s="283"/>
      <c r="K480" s="294">
        <f t="shared" si="786"/>
        <v>0.313614</v>
      </c>
      <c r="L480" s="20">
        <f t="shared" si="808"/>
        <v>0</v>
      </c>
      <c r="M480" s="95">
        <f t="shared" si="809"/>
        <v>0</v>
      </c>
      <c r="N480" s="94">
        <f t="shared" si="810"/>
        <v>0.313614</v>
      </c>
      <c r="O480" s="94">
        <f t="shared" si="815"/>
        <v>0.313614</v>
      </c>
      <c r="P480" s="94">
        <f t="shared" si="816"/>
        <v>0.313614</v>
      </c>
      <c r="Q480" s="94">
        <f t="shared" si="796"/>
        <v>0</v>
      </c>
      <c r="R480" s="94">
        <f t="shared" si="812"/>
        <v>0</v>
      </c>
      <c r="S480" s="94">
        <f t="shared" si="797"/>
        <v>0</v>
      </c>
      <c r="T480" s="94">
        <f t="shared" si="813"/>
        <v>0</v>
      </c>
      <c r="U480" s="402">
        <f t="shared" si="814"/>
        <v>0</v>
      </c>
      <c r="V480" s="573">
        <v>0</v>
      </c>
      <c r="W480" s="326">
        <v>0</v>
      </c>
      <c r="X480" s="207">
        <f>-0.313614</f>
        <v>-0.313614</v>
      </c>
      <c r="Y480" s="132">
        <v>0</v>
      </c>
      <c r="Z480" s="132">
        <v>0</v>
      </c>
      <c r="AA480" s="132">
        <v>0</v>
      </c>
      <c r="AB480" s="895">
        <v>-0.313614</v>
      </c>
      <c r="AC480" s="207">
        <v>0</v>
      </c>
      <c r="AD480" s="132">
        <v>0</v>
      </c>
      <c r="AE480" s="132">
        <v>0</v>
      </c>
      <c r="AF480" s="132">
        <v>0</v>
      </c>
      <c r="AG480" s="132">
        <v>0</v>
      </c>
      <c r="AH480" s="132">
        <v>0</v>
      </c>
      <c r="AI480" s="917">
        <v>0</v>
      </c>
      <c r="AJ480" s="207">
        <v>0</v>
      </c>
      <c r="AK480" s="367">
        <v>0</v>
      </c>
      <c r="AL480" s="367">
        <v>0</v>
      </c>
      <c r="AM480" s="367">
        <v>0</v>
      </c>
      <c r="AN480" s="367">
        <v>0</v>
      </c>
      <c r="AO480" s="295">
        <v>0</v>
      </c>
      <c r="AP480" s="295">
        <v>0</v>
      </c>
      <c r="AQ480" s="295">
        <v>0</v>
      </c>
      <c r="AR480" s="917">
        <v>0</v>
      </c>
      <c r="AS480" s="295">
        <f t="shared" ref="AS480:AS486" si="817">-AR480</f>
        <v>0</v>
      </c>
      <c r="AT480" s="408" t="s">
        <v>1665</v>
      </c>
    </row>
    <row r="481" spans="1:46" ht="75" hidden="1" customHeight="1" outlineLevel="1" x14ac:dyDescent="0.35">
      <c r="A481" s="590">
        <v>89</v>
      </c>
      <c r="B481" s="612" t="s">
        <v>1233</v>
      </c>
      <c r="C481" s="604" t="s">
        <v>1233</v>
      </c>
      <c r="D481" s="260">
        <v>44495</v>
      </c>
      <c r="E481" s="432" t="s">
        <v>1699</v>
      </c>
      <c r="F481" s="482" t="s">
        <v>1233</v>
      </c>
      <c r="G481" s="71" t="s">
        <v>38</v>
      </c>
      <c r="H481" s="310" t="s">
        <v>130</v>
      </c>
      <c r="I481" s="334"/>
      <c r="J481" s="283"/>
      <c r="K481" s="294">
        <f t="shared" si="786"/>
        <v>0.28771200000000002</v>
      </c>
      <c r="L481" s="20">
        <f t="shared" si="808"/>
        <v>0</v>
      </c>
      <c r="M481" s="95">
        <f t="shared" si="809"/>
        <v>0</v>
      </c>
      <c r="N481" s="94">
        <f t="shared" si="810"/>
        <v>0.28771200000000002</v>
      </c>
      <c r="O481" s="94">
        <f t="shared" si="815"/>
        <v>0.28771200000000002</v>
      </c>
      <c r="P481" s="94">
        <f t="shared" si="816"/>
        <v>0.28771200000000002</v>
      </c>
      <c r="Q481" s="94">
        <f t="shared" si="796"/>
        <v>0</v>
      </c>
      <c r="R481" s="94">
        <f t="shared" si="812"/>
        <v>0</v>
      </c>
      <c r="S481" s="94">
        <f t="shared" si="797"/>
        <v>0</v>
      </c>
      <c r="T481" s="94">
        <f t="shared" si="813"/>
        <v>0</v>
      </c>
      <c r="U481" s="402">
        <f t="shared" si="814"/>
        <v>0</v>
      </c>
      <c r="V481" s="573">
        <v>0</v>
      </c>
      <c r="W481" s="326">
        <v>0</v>
      </c>
      <c r="X481" s="207">
        <f>-0.287712</f>
        <v>-0.28771200000000002</v>
      </c>
      <c r="Y481" s="132">
        <v>0</v>
      </c>
      <c r="Z481" s="132">
        <v>0</v>
      </c>
      <c r="AA481" s="132">
        <v>0</v>
      </c>
      <c r="AB481" s="895">
        <v>-0.28771200000000002</v>
      </c>
      <c r="AC481" s="207">
        <v>0</v>
      </c>
      <c r="AD481" s="132">
        <v>0</v>
      </c>
      <c r="AE481" s="132">
        <v>0</v>
      </c>
      <c r="AF481" s="132">
        <v>0</v>
      </c>
      <c r="AG481" s="132">
        <v>0</v>
      </c>
      <c r="AH481" s="132">
        <v>0</v>
      </c>
      <c r="AI481" s="917">
        <v>0</v>
      </c>
      <c r="AJ481" s="207">
        <v>0</v>
      </c>
      <c r="AK481" s="367">
        <v>0</v>
      </c>
      <c r="AL481" s="367">
        <v>0</v>
      </c>
      <c r="AM481" s="367">
        <v>0</v>
      </c>
      <c r="AN481" s="367">
        <v>0</v>
      </c>
      <c r="AO481" s="295">
        <v>0</v>
      </c>
      <c r="AP481" s="295">
        <v>0</v>
      </c>
      <c r="AQ481" s="295">
        <v>0</v>
      </c>
      <c r="AR481" s="917">
        <v>0</v>
      </c>
      <c r="AS481" s="295">
        <f t="shared" si="817"/>
        <v>0</v>
      </c>
      <c r="AT481" s="408" t="s">
        <v>1679</v>
      </c>
    </row>
    <row r="482" spans="1:46" ht="116.15" hidden="1" customHeight="1" outlineLevel="1" x14ac:dyDescent="0.35">
      <c r="A482" s="590">
        <v>90</v>
      </c>
      <c r="B482" s="612" t="s">
        <v>1233</v>
      </c>
      <c r="C482" s="604" t="s">
        <v>1233</v>
      </c>
      <c r="D482" s="270">
        <v>44516</v>
      </c>
      <c r="E482" s="443" t="s">
        <v>1816</v>
      </c>
      <c r="F482" s="482" t="s">
        <v>1233</v>
      </c>
      <c r="G482" s="71" t="s">
        <v>38</v>
      </c>
      <c r="H482" s="310" t="s">
        <v>130</v>
      </c>
      <c r="I482" s="334"/>
      <c r="J482" s="283"/>
      <c r="K482" s="294">
        <f t="shared" si="786"/>
        <v>0.25644400000000001</v>
      </c>
      <c r="L482" s="20"/>
      <c r="M482" s="95">
        <f t="shared" si="809"/>
        <v>0</v>
      </c>
      <c r="N482" s="94">
        <f t="shared" si="810"/>
        <v>0.25644400000000001</v>
      </c>
      <c r="O482" s="94">
        <f t="shared" si="815"/>
        <v>0.25644400000000001</v>
      </c>
      <c r="P482" s="94">
        <f t="shared" si="816"/>
        <v>0.25644400000000001</v>
      </c>
      <c r="Q482" s="94">
        <f t="shared" si="796"/>
        <v>0</v>
      </c>
      <c r="R482" s="94">
        <f t="shared" si="812"/>
        <v>0</v>
      </c>
      <c r="S482" s="94">
        <f t="shared" si="797"/>
        <v>0</v>
      </c>
      <c r="T482" s="94">
        <f>-AJ482</f>
        <v>0</v>
      </c>
      <c r="U482" s="402">
        <f t="shared" si="814"/>
        <v>0</v>
      </c>
      <c r="V482" s="573"/>
      <c r="W482" s="326">
        <v>0</v>
      </c>
      <c r="X482" s="207">
        <f>-0.256444</f>
        <v>-0.25644400000000001</v>
      </c>
      <c r="Y482" s="132">
        <v>0</v>
      </c>
      <c r="Z482" s="132">
        <v>0</v>
      </c>
      <c r="AA482" s="132">
        <v>0</v>
      </c>
      <c r="AB482" s="895">
        <v>-0.25644400000000001</v>
      </c>
      <c r="AC482" s="207">
        <v>0</v>
      </c>
      <c r="AD482" s="132">
        <v>0</v>
      </c>
      <c r="AE482" s="132">
        <v>0</v>
      </c>
      <c r="AF482" s="132">
        <v>0</v>
      </c>
      <c r="AG482" s="132">
        <v>0</v>
      </c>
      <c r="AH482" s="132">
        <v>0</v>
      </c>
      <c r="AI482" s="917">
        <v>0</v>
      </c>
      <c r="AJ482" s="207">
        <v>0</v>
      </c>
      <c r="AK482" s="367">
        <v>0</v>
      </c>
      <c r="AL482" s="367">
        <v>0</v>
      </c>
      <c r="AM482" s="367">
        <v>0</v>
      </c>
      <c r="AN482" s="367">
        <v>0</v>
      </c>
      <c r="AO482" s="295">
        <v>0</v>
      </c>
      <c r="AP482" s="295">
        <v>0</v>
      </c>
      <c r="AQ482" s="295">
        <v>0</v>
      </c>
      <c r="AR482" s="917">
        <v>0</v>
      </c>
      <c r="AS482" s="295">
        <f t="shared" si="817"/>
        <v>0</v>
      </c>
      <c r="AT482" s="408" t="s">
        <v>1783</v>
      </c>
    </row>
    <row r="483" spans="1:46" ht="109" hidden="1" customHeight="1" outlineLevel="1" x14ac:dyDescent="0.35">
      <c r="A483" s="590">
        <v>91</v>
      </c>
      <c r="B483" s="612" t="s">
        <v>1233</v>
      </c>
      <c r="C483" s="604" t="s">
        <v>1233</v>
      </c>
      <c r="D483" s="270">
        <v>44537</v>
      </c>
      <c r="E483" s="432" t="s">
        <v>1852</v>
      </c>
      <c r="F483" s="482" t="s">
        <v>1233</v>
      </c>
      <c r="G483" s="71" t="s">
        <v>38</v>
      </c>
      <c r="H483" s="310" t="s">
        <v>130</v>
      </c>
      <c r="I483" s="334"/>
      <c r="J483" s="283"/>
      <c r="K483" s="294">
        <f t="shared" ref="K483:K485" si="818">M483+P483+U483+R483+T483</f>
        <v>0.41008699999999998</v>
      </c>
      <c r="L483" s="20">
        <f t="shared" ref="L483:L485" si="819">-V483</f>
        <v>0</v>
      </c>
      <c r="M483" s="95">
        <f t="shared" si="809"/>
        <v>0</v>
      </c>
      <c r="N483" s="94">
        <f t="shared" si="810"/>
        <v>0.41008699999999998</v>
      </c>
      <c r="O483" s="94">
        <f t="shared" ref="O483:O485" si="820">-X483</f>
        <v>0.41008699999999998</v>
      </c>
      <c r="P483" s="94">
        <f t="shared" ref="P483:P485" si="821">-AB483</f>
        <v>0.41008699999999998</v>
      </c>
      <c r="Q483" s="94">
        <f t="shared" si="796"/>
        <v>0</v>
      </c>
      <c r="R483" s="94">
        <f t="shared" si="812"/>
        <v>0</v>
      </c>
      <c r="S483" s="94">
        <f t="shared" si="797"/>
        <v>0</v>
      </c>
      <c r="T483" s="94">
        <f t="shared" ref="T483:T485" si="822">-AJ483</f>
        <v>0</v>
      </c>
      <c r="U483" s="402">
        <f t="shared" si="814"/>
        <v>0</v>
      </c>
      <c r="V483" s="573">
        <v>0</v>
      </c>
      <c r="W483" s="326">
        <v>0</v>
      </c>
      <c r="X483" s="207">
        <f>-0.410087</f>
        <v>-0.41008699999999998</v>
      </c>
      <c r="Y483" s="132">
        <v>0</v>
      </c>
      <c r="Z483" s="132">
        <v>0</v>
      </c>
      <c r="AA483" s="132">
        <v>0</v>
      </c>
      <c r="AB483" s="895">
        <v>-0.41008699999999998</v>
      </c>
      <c r="AC483" s="207">
        <v>0</v>
      </c>
      <c r="AD483" s="132">
        <v>0</v>
      </c>
      <c r="AE483" s="132">
        <v>0</v>
      </c>
      <c r="AF483" s="132">
        <v>0</v>
      </c>
      <c r="AG483" s="132">
        <v>0</v>
      </c>
      <c r="AH483" s="132">
        <v>0</v>
      </c>
      <c r="AI483" s="917">
        <v>0</v>
      </c>
      <c r="AJ483" s="207">
        <v>0</v>
      </c>
      <c r="AK483" s="367">
        <v>0</v>
      </c>
      <c r="AL483" s="367">
        <v>0</v>
      </c>
      <c r="AM483" s="367">
        <v>0</v>
      </c>
      <c r="AN483" s="367">
        <v>0</v>
      </c>
      <c r="AO483" s="295">
        <v>0</v>
      </c>
      <c r="AP483" s="295">
        <v>0</v>
      </c>
      <c r="AQ483" s="295">
        <v>0</v>
      </c>
      <c r="AR483" s="917">
        <v>0</v>
      </c>
      <c r="AS483" s="295">
        <f t="shared" si="817"/>
        <v>0</v>
      </c>
      <c r="AT483" s="412" t="s">
        <v>1851</v>
      </c>
    </row>
    <row r="484" spans="1:46" ht="109" hidden="1" customHeight="1" outlineLevel="1" x14ac:dyDescent="0.35">
      <c r="A484" s="590">
        <v>92</v>
      </c>
      <c r="B484" s="612" t="s">
        <v>1233</v>
      </c>
      <c r="C484" s="604" t="s">
        <v>1233</v>
      </c>
      <c r="D484" s="270">
        <v>44603</v>
      </c>
      <c r="E484" s="432" t="s">
        <v>1968</v>
      </c>
      <c r="F484" s="482" t="s">
        <v>1233</v>
      </c>
      <c r="G484" s="71" t="s">
        <v>38</v>
      </c>
      <c r="H484" s="310" t="s">
        <v>130</v>
      </c>
      <c r="I484" s="334"/>
      <c r="J484" s="283"/>
      <c r="K484" s="294">
        <f t="shared" si="818"/>
        <v>0.245061</v>
      </c>
      <c r="L484" s="20">
        <f t="shared" si="819"/>
        <v>0</v>
      </c>
      <c r="M484" s="95">
        <f t="shared" si="809"/>
        <v>0</v>
      </c>
      <c r="N484" s="94">
        <f t="shared" si="810"/>
        <v>0.41008699999999998</v>
      </c>
      <c r="O484" s="94">
        <f t="shared" si="820"/>
        <v>0.41008699999999998</v>
      </c>
      <c r="P484" s="94">
        <f t="shared" si="821"/>
        <v>0</v>
      </c>
      <c r="Q484" s="94">
        <f t="shared" si="796"/>
        <v>0.245061</v>
      </c>
      <c r="R484" s="94">
        <f t="shared" si="812"/>
        <v>0.245061</v>
      </c>
      <c r="S484" s="94">
        <f t="shared" si="797"/>
        <v>1.095764</v>
      </c>
      <c r="T484" s="94">
        <f t="shared" si="822"/>
        <v>0</v>
      </c>
      <c r="U484" s="402">
        <f>-AQ484</f>
        <v>0</v>
      </c>
      <c r="V484" s="573">
        <v>0</v>
      </c>
      <c r="W484" s="326">
        <v>0</v>
      </c>
      <c r="X484" s="207">
        <f>-0.410087</f>
        <v>-0.41008699999999998</v>
      </c>
      <c r="Y484" s="132">
        <v>0</v>
      </c>
      <c r="Z484" s="132">
        <v>0</v>
      </c>
      <c r="AA484" s="132">
        <v>0</v>
      </c>
      <c r="AB484" s="207">
        <v>0</v>
      </c>
      <c r="AC484" s="207">
        <v>-0.245061</v>
      </c>
      <c r="AD484" s="132">
        <v>0</v>
      </c>
      <c r="AE484" s="132">
        <v>0</v>
      </c>
      <c r="AF484" s="132">
        <v>0</v>
      </c>
      <c r="AG484" s="927">
        <v>-0.24498200000000001</v>
      </c>
      <c r="AH484" s="927">
        <v>-0.24498200000000001</v>
      </c>
      <c r="AI484" s="623">
        <f>-1.095764</f>
        <v>-1.095764</v>
      </c>
      <c r="AJ484" s="207">
        <v>0</v>
      </c>
      <c r="AK484" s="367">
        <v>0</v>
      </c>
      <c r="AL484" s="367">
        <v>0</v>
      </c>
      <c r="AM484" s="367">
        <v>0</v>
      </c>
      <c r="AN484" s="367">
        <v>0</v>
      </c>
      <c r="AO484" s="295">
        <v>0</v>
      </c>
      <c r="AP484" s="295">
        <v>0</v>
      </c>
      <c r="AQ484" s="295">
        <v>0</v>
      </c>
      <c r="AR484" s="623">
        <v>0</v>
      </c>
      <c r="AS484" s="295">
        <f t="shared" si="817"/>
        <v>0</v>
      </c>
      <c r="AT484" s="412" t="s">
        <v>1967</v>
      </c>
    </row>
    <row r="485" spans="1:46" ht="109" hidden="1" customHeight="1" outlineLevel="1" x14ac:dyDescent="0.35">
      <c r="A485" s="590">
        <v>93</v>
      </c>
      <c r="B485" s="612" t="s">
        <v>1233</v>
      </c>
      <c r="C485" s="604" t="s">
        <v>1233</v>
      </c>
      <c r="D485" s="270">
        <v>44656</v>
      </c>
      <c r="E485" s="432" t="s">
        <v>2059</v>
      </c>
      <c r="F485" s="482" t="s">
        <v>1233</v>
      </c>
      <c r="G485" s="71" t="s">
        <v>38</v>
      </c>
      <c r="H485" s="310" t="s">
        <v>130</v>
      </c>
      <c r="I485" s="334"/>
      <c r="J485" s="283"/>
      <c r="K485" s="294">
        <f t="shared" si="818"/>
        <v>0.35774</v>
      </c>
      <c r="L485" s="20">
        <f t="shared" si="819"/>
        <v>0</v>
      </c>
      <c r="M485" s="95">
        <f t="shared" si="809"/>
        <v>0</v>
      </c>
      <c r="N485" s="94">
        <f t="shared" si="810"/>
        <v>0.41008699999999998</v>
      </c>
      <c r="O485" s="94">
        <f t="shared" si="820"/>
        <v>0.41008699999999998</v>
      </c>
      <c r="P485" s="94">
        <f t="shared" si="821"/>
        <v>0</v>
      </c>
      <c r="Q485" s="94">
        <f t="shared" si="796"/>
        <v>0.35774</v>
      </c>
      <c r="R485" s="94">
        <f t="shared" si="812"/>
        <v>0.35774</v>
      </c>
      <c r="S485" s="94">
        <f t="shared" si="797"/>
        <v>0</v>
      </c>
      <c r="T485" s="94">
        <f t="shared" si="822"/>
        <v>0</v>
      </c>
      <c r="U485" s="402">
        <f>-AQ485</f>
        <v>0</v>
      </c>
      <c r="V485" s="573">
        <v>0</v>
      </c>
      <c r="W485" s="326">
        <v>0</v>
      </c>
      <c r="X485" s="207">
        <f>-0.410087</f>
        <v>-0.41008699999999998</v>
      </c>
      <c r="Y485" s="132">
        <v>0</v>
      </c>
      <c r="Z485" s="132">
        <v>0</v>
      </c>
      <c r="AA485" s="132">
        <v>0</v>
      </c>
      <c r="AB485" s="207">
        <v>0</v>
      </c>
      <c r="AC485" s="207">
        <v>-0.35774</v>
      </c>
      <c r="AD485" s="132">
        <v>0</v>
      </c>
      <c r="AE485" s="132">
        <v>0</v>
      </c>
      <c r="AF485" s="132">
        <v>0</v>
      </c>
      <c r="AG485" s="132">
        <v>-0.35774</v>
      </c>
      <c r="AH485" s="132">
        <v>-0.35774</v>
      </c>
      <c r="AI485" s="387">
        <v>0</v>
      </c>
      <c r="AJ485" s="207">
        <v>0</v>
      </c>
      <c r="AK485" s="367">
        <v>0</v>
      </c>
      <c r="AL485" s="367">
        <v>0</v>
      </c>
      <c r="AM485" s="367">
        <v>0</v>
      </c>
      <c r="AN485" s="367">
        <v>0</v>
      </c>
      <c r="AO485" s="295">
        <v>0</v>
      </c>
      <c r="AP485" s="295">
        <v>0</v>
      </c>
      <c r="AQ485" s="295">
        <v>0</v>
      </c>
      <c r="AR485" s="387">
        <v>0</v>
      </c>
      <c r="AS485" s="295">
        <f t="shared" ref="AS485" si="823">-AR485</f>
        <v>0</v>
      </c>
      <c r="AT485" s="412" t="s">
        <v>2058</v>
      </c>
    </row>
    <row r="486" spans="1:46" ht="101.5" hidden="1" customHeight="1" outlineLevel="1" x14ac:dyDescent="0.35">
      <c r="A486" s="590">
        <v>93</v>
      </c>
      <c r="B486" s="612" t="s">
        <v>1233</v>
      </c>
      <c r="C486" s="604" t="s">
        <v>1233</v>
      </c>
      <c r="D486" s="270">
        <v>44705</v>
      </c>
      <c r="E486" s="432" t="s">
        <v>2104</v>
      </c>
      <c r="F486" s="482" t="s">
        <v>1233</v>
      </c>
      <c r="G486" s="71" t="s">
        <v>38</v>
      </c>
      <c r="H486" s="310" t="s">
        <v>130</v>
      </c>
      <c r="I486" s="334"/>
      <c r="J486" s="283"/>
      <c r="K486" s="294">
        <f t="shared" si="786"/>
        <v>0.41329399999999999</v>
      </c>
      <c r="L486" s="20">
        <f t="shared" si="785"/>
        <v>0</v>
      </c>
      <c r="M486" s="95">
        <f t="shared" si="785"/>
        <v>0</v>
      </c>
      <c r="N486" s="94">
        <f t="shared" si="779"/>
        <v>0.41008699999999998</v>
      </c>
      <c r="O486" s="94">
        <f t="shared" si="815"/>
        <v>0.41008699999999998</v>
      </c>
      <c r="P486" s="94">
        <f t="shared" si="816"/>
        <v>0</v>
      </c>
      <c r="Q486" s="94">
        <f t="shared" si="796"/>
        <v>0.41329399999999999</v>
      </c>
      <c r="R486" s="94">
        <f t="shared" si="805"/>
        <v>0.41329399999999999</v>
      </c>
      <c r="S486" s="94">
        <f t="shared" si="797"/>
        <v>0</v>
      </c>
      <c r="T486" s="94">
        <f t="shared" si="806"/>
        <v>0</v>
      </c>
      <c r="U486" s="402">
        <f>-AQ486</f>
        <v>0</v>
      </c>
      <c r="V486" s="573">
        <v>0</v>
      </c>
      <c r="W486" s="326">
        <v>0</v>
      </c>
      <c r="X486" s="207">
        <f>-0.410087</f>
        <v>-0.41008699999999998</v>
      </c>
      <c r="Y486" s="132">
        <v>0</v>
      </c>
      <c r="Z486" s="132">
        <v>0</v>
      </c>
      <c r="AA486" s="132">
        <v>0</v>
      </c>
      <c r="AB486" s="207">
        <v>0</v>
      </c>
      <c r="AC486" s="207">
        <v>-0.41329399999999999</v>
      </c>
      <c r="AD486" s="132">
        <v>0</v>
      </c>
      <c r="AE486" s="132">
        <v>0</v>
      </c>
      <c r="AF486" s="132">
        <v>0</v>
      </c>
      <c r="AG486" s="132">
        <v>-0.41329399999999999</v>
      </c>
      <c r="AH486" s="132">
        <v>-0.41329399999999999</v>
      </c>
      <c r="AI486" s="387">
        <v>0</v>
      </c>
      <c r="AJ486" s="207">
        <v>0</v>
      </c>
      <c r="AK486" s="367">
        <v>0</v>
      </c>
      <c r="AL486" s="367">
        <v>0</v>
      </c>
      <c r="AM486" s="367">
        <v>0</v>
      </c>
      <c r="AN486" s="367">
        <v>0</v>
      </c>
      <c r="AO486" s="295">
        <v>0</v>
      </c>
      <c r="AP486" s="295">
        <v>0</v>
      </c>
      <c r="AQ486" s="295">
        <v>0</v>
      </c>
      <c r="AR486" s="387">
        <v>0</v>
      </c>
      <c r="AS486" s="295">
        <f t="shared" si="817"/>
        <v>0</v>
      </c>
      <c r="AT486" s="412" t="s">
        <v>2105</v>
      </c>
    </row>
    <row r="487" spans="1:46" ht="118.5" hidden="1" customHeight="1" outlineLevel="1" x14ac:dyDescent="0.35">
      <c r="A487" s="590">
        <v>94</v>
      </c>
      <c r="B487" s="612" t="s">
        <v>1318</v>
      </c>
      <c r="C487" s="596" t="s">
        <v>1318</v>
      </c>
      <c r="D487" s="63">
        <v>44306</v>
      </c>
      <c r="E487" s="432" t="s">
        <v>1356</v>
      </c>
      <c r="F487" s="482" t="s">
        <v>1318</v>
      </c>
      <c r="G487" s="71" t="s">
        <v>192</v>
      </c>
      <c r="H487" s="310" t="s">
        <v>129</v>
      </c>
      <c r="I487" s="334"/>
      <c r="J487" s="283"/>
      <c r="K487" s="294">
        <f t="shared" si="786"/>
        <v>0</v>
      </c>
      <c r="L487" s="20">
        <f t="shared" ref="L487:L489" si="824">-V487</f>
        <v>0</v>
      </c>
      <c r="M487" s="95">
        <f t="shared" ref="M487:M489" si="825">-W487</f>
        <v>0</v>
      </c>
      <c r="N487" s="94">
        <f t="shared" ref="N487:N489" si="826">-X487</f>
        <v>0.15</v>
      </c>
      <c r="O487" s="94">
        <f t="shared" si="815"/>
        <v>0.15</v>
      </c>
      <c r="P487" s="94">
        <f t="shared" si="816"/>
        <v>0</v>
      </c>
      <c r="Q487" s="94">
        <f t="shared" si="796"/>
        <v>0</v>
      </c>
      <c r="R487" s="94">
        <f t="shared" ref="R487:R489" si="827">-AC487</f>
        <v>0</v>
      </c>
      <c r="S487" s="94">
        <f t="shared" si="797"/>
        <v>0</v>
      </c>
      <c r="T487" s="94">
        <f t="shared" ref="T487:T489" si="828">-AJ487</f>
        <v>0</v>
      </c>
      <c r="U487" s="402">
        <f t="shared" ref="U487:U489" si="829">-AQ487</f>
        <v>0</v>
      </c>
      <c r="V487" s="573">
        <v>0</v>
      </c>
      <c r="W487" s="326">
        <v>0</v>
      </c>
      <c r="X487" s="207">
        <v>-0.15</v>
      </c>
      <c r="Y487" s="132">
        <v>0</v>
      </c>
      <c r="Z487" s="132">
        <v>-0.15</v>
      </c>
      <c r="AA487" s="132">
        <v>-0.15</v>
      </c>
      <c r="AB487" s="207">
        <v>0</v>
      </c>
      <c r="AC487" s="207">
        <v>0</v>
      </c>
      <c r="AD487" s="132">
        <v>0</v>
      </c>
      <c r="AE487" s="132">
        <v>0</v>
      </c>
      <c r="AF487" s="132">
        <v>0</v>
      </c>
      <c r="AG487" s="132">
        <v>0</v>
      </c>
      <c r="AH487" s="132">
        <v>0</v>
      </c>
      <c r="AI487" s="387">
        <v>0</v>
      </c>
      <c r="AJ487" s="207">
        <v>0</v>
      </c>
      <c r="AK487" s="367">
        <v>0</v>
      </c>
      <c r="AL487" s="367">
        <v>0</v>
      </c>
      <c r="AM487" s="367">
        <v>0</v>
      </c>
      <c r="AN487" s="367">
        <v>0</v>
      </c>
      <c r="AO487" s="295">
        <v>0</v>
      </c>
      <c r="AP487" s="295">
        <v>0</v>
      </c>
      <c r="AQ487" s="295">
        <v>0</v>
      </c>
      <c r="AR487" s="387">
        <v>0</v>
      </c>
      <c r="AS487" s="295">
        <f t="shared" ref="AS487:AS489" si="830">-AR487</f>
        <v>0</v>
      </c>
      <c r="AT487" s="408" t="s">
        <v>1319</v>
      </c>
    </row>
    <row r="488" spans="1:46" ht="118.5" hidden="1" customHeight="1" outlineLevel="1" x14ac:dyDescent="0.35">
      <c r="A488" s="590">
        <v>95</v>
      </c>
      <c r="B488" s="612" t="s">
        <v>1667</v>
      </c>
      <c r="C488" s="596" t="s">
        <v>1667</v>
      </c>
      <c r="D488" s="274">
        <v>44474</v>
      </c>
      <c r="E488" s="432" t="s">
        <v>1673</v>
      </c>
      <c r="F488" s="482" t="s">
        <v>1666</v>
      </c>
      <c r="G488" s="71" t="s">
        <v>7</v>
      </c>
      <c r="H488" s="310" t="s">
        <v>1987</v>
      </c>
      <c r="I488" s="334"/>
      <c r="J488" s="283"/>
      <c r="K488" s="294">
        <f t="shared" si="786"/>
        <v>6.2331999999999999E-2</v>
      </c>
      <c r="L488" s="20">
        <f t="shared" si="824"/>
        <v>0</v>
      </c>
      <c r="M488" s="95">
        <f t="shared" si="825"/>
        <v>0</v>
      </c>
      <c r="N488" s="94">
        <f t="shared" si="826"/>
        <v>6.2331999999999999E-2</v>
      </c>
      <c r="O488" s="94">
        <f t="shared" si="815"/>
        <v>6.2331999999999999E-2</v>
      </c>
      <c r="P488" s="94">
        <f t="shared" si="816"/>
        <v>6.2331999999999999E-2</v>
      </c>
      <c r="Q488" s="94">
        <f t="shared" si="796"/>
        <v>0</v>
      </c>
      <c r="R488" s="94">
        <f t="shared" si="827"/>
        <v>0</v>
      </c>
      <c r="S488" s="94">
        <f t="shared" si="797"/>
        <v>0</v>
      </c>
      <c r="T488" s="94">
        <f t="shared" si="828"/>
        <v>0</v>
      </c>
      <c r="U488" s="402">
        <f t="shared" si="829"/>
        <v>0</v>
      </c>
      <c r="V488" s="573">
        <v>0</v>
      </c>
      <c r="W488" s="326">
        <v>0</v>
      </c>
      <c r="X488" s="207">
        <v>-6.2331999999999999E-2</v>
      </c>
      <c r="Y488" s="132">
        <v>0</v>
      </c>
      <c r="Z488" s="132">
        <v>-0.15</v>
      </c>
      <c r="AA488" s="132">
        <v>-0.15</v>
      </c>
      <c r="AB488" s="207">
        <v>-6.2331999999999999E-2</v>
      </c>
      <c r="AC488" s="207">
        <v>0</v>
      </c>
      <c r="AD488" s="132">
        <v>0</v>
      </c>
      <c r="AE488" s="132">
        <v>0</v>
      </c>
      <c r="AF488" s="132">
        <v>0</v>
      </c>
      <c r="AG488" s="132">
        <v>0</v>
      </c>
      <c r="AH488" s="132">
        <v>0</v>
      </c>
      <c r="AI488" s="387">
        <v>0</v>
      </c>
      <c r="AJ488" s="207">
        <v>0</v>
      </c>
      <c r="AK488" s="367">
        <v>0</v>
      </c>
      <c r="AL488" s="367">
        <v>0</v>
      </c>
      <c r="AM488" s="367">
        <v>0</v>
      </c>
      <c r="AN488" s="367">
        <v>0</v>
      </c>
      <c r="AO488" s="295">
        <v>0</v>
      </c>
      <c r="AP488" s="295">
        <v>0</v>
      </c>
      <c r="AQ488" s="295">
        <v>0</v>
      </c>
      <c r="AR488" s="387">
        <v>0</v>
      </c>
      <c r="AS488" s="295">
        <f t="shared" si="830"/>
        <v>0</v>
      </c>
      <c r="AT488" s="408" t="s">
        <v>1668</v>
      </c>
    </row>
    <row r="489" spans="1:46" ht="118.5" hidden="1" customHeight="1" outlineLevel="1" x14ac:dyDescent="0.35">
      <c r="A489" s="590">
        <v>96</v>
      </c>
      <c r="B489" s="612" t="s">
        <v>1667</v>
      </c>
      <c r="C489" s="596" t="s">
        <v>1667</v>
      </c>
      <c r="D489" s="274">
        <v>44593</v>
      </c>
      <c r="E489" s="432" t="s">
        <v>1989</v>
      </c>
      <c r="F489" s="482" t="s">
        <v>1990</v>
      </c>
      <c r="G489" s="71" t="s">
        <v>7</v>
      </c>
      <c r="H489" s="310" t="s">
        <v>130</v>
      </c>
      <c r="I489" s="334"/>
      <c r="J489" s="283"/>
      <c r="K489" s="294">
        <f t="shared" si="786"/>
        <v>4.6002000000000001E-2</v>
      </c>
      <c r="L489" s="20">
        <f t="shared" si="824"/>
        <v>0</v>
      </c>
      <c r="M489" s="95">
        <f t="shared" si="825"/>
        <v>0</v>
      </c>
      <c r="N489" s="94">
        <f t="shared" si="826"/>
        <v>6.2331999999999999E-2</v>
      </c>
      <c r="O489" s="94">
        <f t="shared" si="815"/>
        <v>6.2331999999999999E-2</v>
      </c>
      <c r="P489" s="94">
        <f t="shared" si="816"/>
        <v>0</v>
      </c>
      <c r="Q489" s="94">
        <f t="shared" si="796"/>
        <v>4.6002000000000001E-2</v>
      </c>
      <c r="R489" s="94">
        <f t="shared" si="827"/>
        <v>4.6002000000000001E-2</v>
      </c>
      <c r="S489" s="94">
        <f t="shared" si="797"/>
        <v>4.5630999999999998E-2</v>
      </c>
      <c r="T489" s="94">
        <f t="shared" si="828"/>
        <v>0</v>
      </c>
      <c r="U489" s="402">
        <f t="shared" si="829"/>
        <v>0</v>
      </c>
      <c r="V489" s="573">
        <v>0</v>
      </c>
      <c r="W489" s="326">
        <v>0</v>
      </c>
      <c r="X489" s="207">
        <v>-6.2331999999999999E-2</v>
      </c>
      <c r="Y489" s="132">
        <v>0</v>
      </c>
      <c r="Z489" s="132">
        <v>-0.15</v>
      </c>
      <c r="AA489" s="132">
        <v>-0.15</v>
      </c>
      <c r="AB489" s="207">
        <v>0</v>
      </c>
      <c r="AC489" s="207">
        <f>-0.046002</f>
        <v>-4.6002000000000001E-2</v>
      </c>
      <c r="AD489" s="132">
        <v>0</v>
      </c>
      <c r="AE489" s="132">
        <v>0</v>
      </c>
      <c r="AF489" s="132">
        <v>-4.6002000000000001E-2</v>
      </c>
      <c r="AG489" s="927">
        <v>-4.5630999999999998E-2</v>
      </c>
      <c r="AH489" s="927">
        <v>-4.5630999999999998E-2</v>
      </c>
      <c r="AI489" s="623">
        <f>-0.045631</f>
        <v>-4.5630999999999998E-2</v>
      </c>
      <c r="AJ489" s="207">
        <v>0</v>
      </c>
      <c r="AK489" s="367">
        <v>0</v>
      </c>
      <c r="AL489" s="367">
        <v>0</v>
      </c>
      <c r="AM489" s="367">
        <v>0</v>
      </c>
      <c r="AN489" s="367">
        <v>0</v>
      </c>
      <c r="AO489" s="295">
        <v>0</v>
      </c>
      <c r="AP489" s="295">
        <v>0</v>
      </c>
      <c r="AQ489" s="295">
        <v>0</v>
      </c>
      <c r="AR489" s="623">
        <v>0</v>
      </c>
      <c r="AS489" s="295">
        <f t="shared" si="830"/>
        <v>0</v>
      </c>
      <c r="AT489" s="408" t="s">
        <v>1988</v>
      </c>
    </row>
    <row r="490" spans="1:46" ht="130" hidden="1" customHeight="1" outlineLevel="1" x14ac:dyDescent="0.35">
      <c r="A490" s="590">
        <v>97</v>
      </c>
      <c r="B490" s="612" t="s">
        <v>1318</v>
      </c>
      <c r="C490" s="596" t="s">
        <v>1318</v>
      </c>
      <c r="D490" s="274">
        <v>44475</v>
      </c>
      <c r="E490" s="432" t="s">
        <v>1867</v>
      </c>
      <c r="F490" s="482" t="s">
        <v>1868</v>
      </c>
      <c r="G490" s="71" t="s">
        <v>192</v>
      </c>
      <c r="H490" s="310" t="s">
        <v>1794</v>
      </c>
      <c r="I490" s="334"/>
      <c r="J490" s="283"/>
      <c r="K490" s="294">
        <f t="shared" si="786"/>
        <v>2.5486000000000002E-2</v>
      </c>
      <c r="L490" s="20">
        <f t="shared" si="785"/>
        <v>0</v>
      </c>
      <c r="M490" s="95">
        <f t="shared" si="785"/>
        <v>0</v>
      </c>
      <c r="N490" s="94">
        <f>-X490</f>
        <v>2.5486000000000002E-2</v>
      </c>
      <c r="O490" s="94">
        <f t="shared" si="815"/>
        <v>2.5486000000000002E-2</v>
      </c>
      <c r="P490" s="94">
        <f t="shared" si="816"/>
        <v>2.5486000000000002E-2</v>
      </c>
      <c r="Q490" s="94">
        <f t="shared" si="796"/>
        <v>0</v>
      </c>
      <c r="R490" s="94">
        <f t="shared" si="805"/>
        <v>0</v>
      </c>
      <c r="S490" s="94">
        <f t="shared" si="797"/>
        <v>0</v>
      </c>
      <c r="T490" s="94">
        <f t="shared" si="806"/>
        <v>0</v>
      </c>
      <c r="U490" s="402">
        <f t="shared" si="807"/>
        <v>0</v>
      </c>
      <c r="V490" s="573">
        <v>0</v>
      </c>
      <c r="W490" s="326">
        <v>0</v>
      </c>
      <c r="X490" s="207">
        <v>-2.5486000000000002E-2</v>
      </c>
      <c r="Y490" s="132">
        <v>0</v>
      </c>
      <c r="Z490" s="132">
        <v>-0.15</v>
      </c>
      <c r="AA490" s="132">
        <v>0</v>
      </c>
      <c r="AB490" s="207">
        <v>-2.5486000000000002E-2</v>
      </c>
      <c r="AC490" s="207">
        <v>0</v>
      </c>
      <c r="AD490" s="132">
        <v>0</v>
      </c>
      <c r="AE490" s="132">
        <v>0</v>
      </c>
      <c r="AF490" s="132">
        <v>0</v>
      </c>
      <c r="AG490" s="132">
        <v>0</v>
      </c>
      <c r="AH490" s="132">
        <v>0</v>
      </c>
      <c r="AI490" s="387">
        <v>0</v>
      </c>
      <c r="AJ490" s="207">
        <v>0</v>
      </c>
      <c r="AK490" s="367">
        <v>0</v>
      </c>
      <c r="AL490" s="367">
        <v>0</v>
      </c>
      <c r="AM490" s="367">
        <v>0</v>
      </c>
      <c r="AN490" s="367">
        <v>0</v>
      </c>
      <c r="AO490" s="295">
        <v>0</v>
      </c>
      <c r="AP490" s="295">
        <v>0</v>
      </c>
      <c r="AQ490" s="295">
        <v>0</v>
      </c>
      <c r="AR490" s="387">
        <v>0</v>
      </c>
      <c r="AS490" s="295">
        <f t="shared" si="783"/>
        <v>0</v>
      </c>
      <c r="AT490" s="408" t="s">
        <v>1866</v>
      </c>
    </row>
    <row r="491" spans="1:46" ht="18.5" collapsed="1" x14ac:dyDescent="0.35">
      <c r="A491" s="307" t="s">
        <v>241</v>
      </c>
      <c r="B491" s="616"/>
      <c r="C491" s="12"/>
      <c r="D491" s="13"/>
      <c r="E491" s="414"/>
      <c r="F491" s="491"/>
      <c r="G491" s="376" t="s">
        <v>1727</v>
      </c>
      <c r="H491" s="380" t="s">
        <v>1727</v>
      </c>
      <c r="I491" s="332"/>
      <c r="J491" s="507"/>
      <c r="K491" s="508">
        <f t="shared" ref="K491:AR491" si="831">K492+K494+K497</f>
        <v>321.01886400000001</v>
      </c>
      <c r="L491" s="509">
        <f t="shared" si="831"/>
        <v>761.94500200000004</v>
      </c>
      <c r="M491" s="510">
        <f t="shared" si="831"/>
        <v>27.301991000000001</v>
      </c>
      <c r="N491" s="511">
        <f t="shared" si="831"/>
        <v>89.856353000000013</v>
      </c>
      <c r="O491" s="512">
        <f t="shared" si="831"/>
        <v>89.856353000000013</v>
      </c>
      <c r="P491" s="511">
        <f>P492+P494+P497</f>
        <v>57.197071000000001</v>
      </c>
      <c r="Q491" s="511">
        <f t="shared" ref="Q491" si="832">Q492+Q494+Q497</f>
        <v>236.51980199999997</v>
      </c>
      <c r="R491" s="511">
        <f t="shared" si="831"/>
        <v>236.51980199999997</v>
      </c>
      <c r="S491" s="511">
        <f t="shared" ref="S491" si="833">S492+S494+S497</f>
        <v>170.58406099999999</v>
      </c>
      <c r="T491" s="511">
        <f t="shared" si="831"/>
        <v>0</v>
      </c>
      <c r="U491" s="513">
        <f t="shared" si="831"/>
        <v>0</v>
      </c>
      <c r="V491" s="574">
        <f t="shared" si="831"/>
        <v>0</v>
      </c>
      <c r="W491" s="323">
        <f t="shared" si="831"/>
        <v>0</v>
      </c>
      <c r="X491" s="511">
        <f t="shared" si="831"/>
        <v>-8.5823999999999998</v>
      </c>
      <c r="Y491" s="514">
        <f t="shared" si="831"/>
        <v>-8.5823999999999998</v>
      </c>
      <c r="Z491" s="514">
        <f t="shared" si="831"/>
        <v>-8.5823999999999998</v>
      </c>
      <c r="AA491" s="514">
        <f t="shared" si="831"/>
        <v>-8.5823999999999998</v>
      </c>
      <c r="AB491" s="511">
        <f t="shared" ref="AB491" si="834">AB492+AB494+AB497</f>
        <v>-8.5823999999999998</v>
      </c>
      <c r="AC491" s="511">
        <f t="shared" si="831"/>
        <v>-6.88</v>
      </c>
      <c r="AD491" s="514">
        <f t="shared" si="831"/>
        <v>-6.88</v>
      </c>
      <c r="AE491" s="514">
        <f t="shared" ref="AE491" si="835">AE492+AE494+AE497</f>
        <v>-6.88</v>
      </c>
      <c r="AF491" s="514">
        <f t="shared" si="831"/>
        <v>-6.88</v>
      </c>
      <c r="AG491" s="514">
        <f t="shared" ref="AG491:AI491" si="836">AG492+AG494+AG497</f>
        <v>-6.88</v>
      </c>
      <c r="AH491" s="514">
        <f t="shared" si="836"/>
        <v>-6.88</v>
      </c>
      <c r="AI491" s="323">
        <f t="shared" si="836"/>
        <v>-6.88</v>
      </c>
      <c r="AJ491" s="511">
        <f>AJ492+AJ494+AJ497</f>
        <v>0</v>
      </c>
      <c r="AK491" s="638">
        <f>AK492+AK494+AK497</f>
        <v>-3.0975999999999999</v>
      </c>
      <c r="AL491" s="638">
        <f>AL492+AL494+AL497</f>
        <v>0</v>
      </c>
      <c r="AM491" s="638">
        <f>AM492+AM494+AM497</f>
        <v>0</v>
      </c>
      <c r="AN491" s="638">
        <f>AN492+AN494+AN497</f>
        <v>0</v>
      </c>
      <c r="AO491" s="513">
        <f t="shared" ref="AO491:AP491" si="837">AO492+AO494+AO497</f>
        <v>0</v>
      </c>
      <c r="AP491" s="513">
        <f t="shared" si="837"/>
        <v>0</v>
      </c>
      <c r="AQ491" s="513">
        <f t="shared" si="831"/>
        <v>0</v>
      </c>
      <c r="AR491" s="323">
        <f t="shared" si="831"/>
        <v>0</v>
      </c>
      <c r="AS491" s="513">
        <f>AS492+AS494+AS497</f>
        <v>0</v>
      </c>
      <c r="AT491" s="416"/>
    </row>
    <row r="492" spans="1:46" ht="18.5" x14ac:dyDescent="0.35">
      <c r="A492" s="436">
        <v>1</v>
      </c>
      <c r="B492" s="618" t="s">
        <v>200</v>
      </c>
      <c r="C492" s="599"/>
      <c r="D492" s="345"/>
      <c r="E492" s="429"/>
      <c r="F492" s="478"/>
      <c r="G492" s="378" t="s">
        <v>1727</v>
      </c>
      <c r="H492" s="379" t="s">
        <v>1727</v>
      </c>
      <c r="I492" s="346"/>
      <c r="J492" s="381"/>
      <c r="K492" s="347">
        <f t="shared" ref="K492:AS492" si="838">K493</f>
        <v>247.33707499999997</v>
      </c>
      <c r="L492" s="363">
        <f t="shared" si="838"/>
        <v>496</v>
      </c>
      <c r="M492" s="363">
        <f t="shared" si="838"/>
        <v>9.3443529999999999</v>
      </c>
      <c r="N492" s="363">
        <f t="shared" si="838"/>
        <v>75.861309000000006</v>
      </c>
      <c r="O492" s="363">
        <f t="shared" si="838"/>
        <v>75.861309000000006</v>
      </c>
      <c r="P492" s="363">
        <f>P493</f>
        <v>36.971586000000002</v>
      </c>
      <c r="Q492" s="363">
        <f t="shared" si="838"/>
        <v>201.02113599999998</v>
      </c>
      <c r="R492" s="363">
        <f t="shared" si="838"/>
        <v>201.02113599999998</v>
      </c>
      <c r="S492" s="363">
        <f t="shared" si="838"/>
        <v>136.58406099999999</v>
      </c>
      <c r="T492" s="363">
        <f t="shared" si="838"/>
        <v>0</v>
      </c>
      <c r="U492" s="364">
        <f t="shared" si="838"/>
        <v>0</v>
      </c>
      <c r="V492" s="572">
        <f t="shared" si="838"/>
        <v>0</v>
      </c>
      <c r="W492" s="347">
        <f t="shared" si="838"/>
        <v>0</v>
      </c>
      <c r="X492" s="363">
        <f t="shared" si="838"/>
        <v>0</v>
      </c>
      <c r="Y492" s="365">
        <f t="shared" si="838"/>
        <v>0</v>
      </c>
      <c r="Z492" s="365">
        <f t="shared" si="838"/>
        <v>0</v>
      </c>
      <c r="AA492" s="567">
        <f t="shared" si="838"/>
        <v>0</v>
      </c>
      <c r="AB492" s="350">
        <f t="shared" si="838"/>
        <v>0</v>
      </c>
      <c r="AC492" s="363">
        <f t="shared" si="838"/>
        <v>0</v>
      </c>
      <c r="AD492" s="365">
        <f t="shared" si="838"/>
        <v>0</v>
      </c>
      <c r="AE492" s="467">
        <f t="shared" si="838"/>
        <v>0</v>
      </c>
      <c r="AF492" s="467">
        <f t="shared" si="838"/>
        <v>0</v>
      </c>
      <c r="AG492" s="467">
        <f t="shared" si="838"/>
        <v>0</v>
      </c>
      <c r="AH492" s="467">
        <f t="shared" si="838"/>
        <v>0</v>
      </c>
      <c r="AI492" s="347">
        <f t="shared" si="838"/>
        <v>0</v>
      </c>
      <c r="AJ492" s="363">
        <f>AJ493</f>
        <v>0</v>
      </c>
      <c r="AK492" s="365">
        <f>AK493</f>
        <v>0</v>
      </c>
      <c r="AL492" s="365">
        <f>AL493</f>
        <v>0</v>
      </c>
      <c r="AM492" s="365">
        <f>AM493</f>
        <v>0</v>
      </c>
      <c r="AN492" s="365">
        <f>AN493</f>
        <v>0</v>
      </c>
      <c r="AO492" s="364">
        <f t="shared" si="838"/>
        <v>0</v>
      </c>
      <c r="AP492" s="364">
        <f t="shared" si="838"/>
        <v>0</v>
      </c>
      <c r="AQ492" s="364">
        <f t="shared" si="838"/>
        <v>0</v>
      </c>
      <c r="AR492" s="347">
        <f t="shared" si="838"/>
        <v>0</v>
      </c>
      <c r="AS492" s="364">
        <f t="shared" si="838"/>
        <v>0</v>
      </c>
      <c r="AT492" s="348"/>
    </row>
    <row r="493" spans="1:46" ht="134.5" hidden="1" customHeight="1" outlineLevel="1" x14ac:dyDescent="0.35">
      <c r="A493" s="590">
        <v>1</v>
      </c>
      <c r="B493" s="612" t="s">
        <v>200</v>
      </c>
      <c r="C493" s="604" t="s">
        <v>200</v>
      </c>
      <c r="D493" s="63">
        <v>43970</v>
      </c>
      <c r="E493" s="432" t="s">
        <v>201</v>
      </c>
      <c r="F493" s="499" t="s">
        <v>234</v>
      </c>
      <c r="G493" s="71" t="s">
        <v>38</v>
      </c>
      <c r="H493" s="310" t="s">
        <v>326</v>
      </c>
      <c r="I493" s="334"/>
      <c r="J493" s="284"/>
      <c r="K493" s="294">
        <f>M493+P493+U493+R493+T493</f>
        <v>247.33707499999997</v>
      </c>
      <c r="L493" s="20">
        <v>496</v>
      </c>
      <c r="M493" s="95">
        <v>9.3443529999999999</v>
      </c>
      <c r="N493" s="95">
        <v>75.861309000000006</v>
      </c>
      <c r="O493" s="95">
        <v>75.861309000000006</v>
      </c>
      <c r="P493" s="95">
        <v>36.971586000000002</v>
      </c>
      <c r="Q493" s="95">
        <v>201.02113599999998</v>
      </c>
      <c r="R493" s="95">
        <v>201.02113599999998</v>
      </c>
      <c r="S493" s="95">
        <v>136.58406099999999</v>
      </c>
      <c r="T493" s="95">
        <v>0</v>
      </c>
      <c r="U493" s="404">
        <v>0</v>
      </c>
      <c r="V493" s="573">
        <v>0</v>
      </c>
      <c r="W493" s="326">
        <v>0</v>
      </c>
      <c r="X493" s="207">
        <v>0</v>
      </c>
      <c r="Y493" s="367">
        <v>0</v>
      </c>
      <c r="Z493" s="367">
        <v>0</v>
      </c>
      <c r="AA493" s="468">
        <v>0</v>
      </c>
      <c r="AB493" s="935">
        <v>0</v>
      </c>
      <c r="AC493" s="207">
        <v>0</v>
      </c>
      <c r="AD493" s="367">
        <v>0</v>
      </c>
      <c r="AE493" s="468">
        <v>0</v>
      </c>
      <c r="AF493" s="468">
        <v>0</v>
      </c>
      <c r="AG493" s="468">
        <v>0</v>
      </c>
      <c r="AH493" s="468">
        <v>0</v>
      </c>
      <c r="AI493" s="326">
        <v>0</v>
      </c>
      <c r="AJ493" s="207">
        <v>0</v>
      </c>
      <c r="AK493" s="367">
        <v>0</v>
      </c>
      <c r="AL493" s="367">
        <v>0</v>
      </c>
      <c r="AM493" s="367">
        <v>0</v>
      </c>
      <c r="AN493" s="367">
        <v>0</v>
      </c>
      <c r="AO493" s="295">
        <v>0</v>
      </c>
      <c r="AP493" s="295">
        <v>0</v>
      </c>
      <c r="AQ493" s="295">
        <v>0</v>
      </c>
      <c r="AR493" s="326">
        <v>0</v>
      </c>
      <c r="AS493" s="937">
        <v>0</v>
      </c>
      <c r="AT493" s="408" t="s">
        <v>1231</v>
      </c>
    </row>
    <row r="494" spans="1:46" ht="18.5" collapsed="1" x14ac:dyDescent="0.35">
      <c r="A494" s="436">
        <v>2</v>
      </c>
      <c r="B494" s="618" t="s">
        <v>213</v>
      </c>
      <c r="C494" s="599"/>
      <c r="D494" s="345"/>
      <c r="E494" s="429"/>
      <c r="F494" s="478"/>
      <c r="G494" s="378" t="s">
        <v>1727</v>
      </c>
      <c r="H494" s="379" t="s">
        <v>1727</v>
      </c>
      <c r="I494" s="346"/>
      <c r="J494" s="381"/>
      <c r="K494" s="347">
        <f t="shared" ref="K494:AS494" si="839">SUM(K495:K496)</f>
        <v>55.946787</v>
      </c>
      <c r="L494" s="363">
        <f t="shared" si="839"/>
        <v>141.43</v>
      </c>
      <c r="M494" s="363">
        <f t="shared" si="839"/>
        <v>0.222636</v>
      </c>
      <c r="N494" s="363">
        <f t="shared" si="839"/>
        <v>13.995044</v>
      </c>
      <c r="O494" s="363">
        <f t="shared" si="839"/>
        <v>13.995044</v>
      </c>
      <c r="P494" s="363">
        <f>SUM(P495:P496)</f>
        <v>20.225484999999999</v>
      </c>
      <c r="Q494" s="363">
        <f t="shared" ref="Q494" si="840">SUM(Q495:Q496)</f>
        <v>35.498666</v>
      </c>
      <c r="R494" s="363">
        <f t="shared" si="839"/>
        <v>35.498666</v>
      </c>
      <c r="S494" s="363">
        <f t="shared" ref="S494" si="841">SUM(S495:S496)</f>
        <v>34</v>
      </c>
      <c r="T494" s="363">
        <f t="shared" si="839"/>
        <v>0</v>
      </c>
      <c r="U494" s="364">
        <f t="shared" si="839"/>
        <v>0</v>
      </c>
      <c r="V494" s="572">
        <f t="shared" si="839"/>
        <v>0</v>
      </c>
      <c r="W494" s="347">
        <f t="shared" si="839"/>
        <v>0</v>
      </c>
      <c r="X494" s="363">
        <f t="shared" si="839"/>
        <v>0</v>
      </c>
      <c r="Y494" s="365">
        <f t="shared" si="839"/>
        <v>0</v>
      </c>
      <c r="Z494" s="365">
        <f t="shared" si="839"/>
        <v>0</v>
      </c>
      <c r="AA494" s="567">
        <f t="shared" si="839"/>
        <v>0</v>
      </c>
      <c r="AB494" s="350">
        <f>SUM(AB495:AB496)</f>
        <v>0</v>
      </c>
      <c r="AC494" s="363">
        <f t="shared" si="839"/>
        <v>0</v>
      </c>
      <c r="AD494" s="365">
        <f t="shared" si="839"/>
        <v>0</v>
      </c>
      <c r="AE494" s="467">
        <f t="shared" ref="AE494:AK494" si="842">SUM(AE495:AE496)</f>
        <v>0</v>
      </c>
      <c r="AF494" s="467">
        <f t="shared" si="842"/>
        <v>0</v>
      </c>
      <c r="AG494" s="467">
        <f t="shared" si="842"/>
        <v>0</v>
      </c>
      <c r="AH494" s="467">
        <f t="shared" si="842"/>
        <v>0</v>
      </c>
      <c r="AI494" s="347">
        <f>SUM(AI495:AI496)</f>
        <v>0</v>
      </c>
      <c r="AJ494" s="363">
        <f t="shared" si="842"/>
        <v>0</v>
      </c>
      <c r="AK494" s="365">
        <f t="shared" si="842"/>
        <v>0</v>
      </c>
      <c r="AL494" s="365">
        <f t="shared" ref="AL494:AP494" si="843">SUM(AL495:AL496)</f>
        <v>0</v>
      </c>
      <c r="AM494" s="365">
        <f t="shared" si="843"/>
        <v>0</v>
      </c>
      <c r="AN494" s="365">
        <f t="shared" ref="AN494" si="844">SUM(AN495:AN496)</f>
        <v>0</v>
      </c>
      <c r="AO494" s="364">
        <f t="shared" si="843"/>
        <v>0</v>
      </c>
      <c r="AP494" s="364">
        <f t="shared" si="843"/>
        <v>0</v>
      </c>
      <c r="AQ494" s="364">
        <f t="shared" si="839"/>
        <v>0</v>
      </c>
      <c r="AR494" s="347">
        <f>SUM(AR495:AR496)</f>
        <v>0</v>
      </c>
      <c r="AS494" s="364">
        <f t="shared" si="839"/>
        <v>0</v>
      </c>
      <c r="AT494" s="348"/>
    </row>
    <row r="495" spans="1:46" ht="362.5" hidden="1" customHeight="1" outlineLevel="1" thickBot="1" x14ac:dyDescent="0.4">
      <c r="A495" s="590">
        <v>1</v>
      </c>
      <c r="B495" s="612" t="s">
        <v>213</v>
      </c>
      <c r="C495" s="607" t="s">
        <v>213</v>
      </c>
      <c r="D495" s="63">
        <v>43984</v>
      </c>
      <c r="E495" s="432" t="s">
        <v>215</v>
      </c>
      <c r="F495" s="480" t="s">
        <v>309</v>
      </c>
      <c r="G495" s="71" t="s">
        <v>38</v>
      </c>
      <c r="H495" s="310" t="s">
        <v>729</v>
      </c>
      <c r="I495" s="334"/>
      <c r="J495" s="284"/>
      <c r="K495" s="1135">
        <f>M495+P495+U495+T495+R495</f>
        <v>55.946787</v>
      </c>
      <c r="L495" s="20">
        <v>71</v>
      </c>
      <c r="M495" s="1137">
        <v>0.222636</v>
      </c>
      <c r="N495" s="1137">
        <v>13.995044</v>
      </c>
      <c r="O495" s="1137">
        <v>13.995044</v>
      </c>
      <c r="P495" s="1137">
        <v>20.225484999999999</v>
      </c>
      <c r="Q495" s="1137">
        <v>35.498666</v>
      </c>
      <c r="R495" s="1137">
        <v>35.498666</v>
      </c>
      <c r="S495" s="1137">
        <v>34</v>
      </c>
      <c r="T495" s="1137">
        <v>0</v>
      </c>
      <c r="U495" s="1140">
        <v>0</v>
      </c>
      <c r="V495" s="573">
        <v>0</v>
      </c>
      <c r="W495" s="326">
        <v>0</v>
      </c>
      <c r="X495" s="207">
        <v>0</v>
      </c>
      <c r="Y495" s="367">
        <v>0</v>
      </c>
      <c r="Z495" s="367">
        <v>0</v>
      </c>
      <c r="AA495" s="468">
        <v>0</v>
      </c>
      <c r="AB495" s="1139">
        <v>0</v>
      </c>
      <c r="AC495" s="207">
        <v>0</v>
      </c>
      <c r="AD495" s="367">
        <v>0</v>
      </c>
      <c r="AE495" s="468">
        <v>0</v>
      </c>
      <c r="AF495" s="468">
        <v>0</v>
      </c>
      <c r="AG495" s="468">
        <v>0</v>
      </c>
      <c r="AH495" s="468">
        <v>0</v>
      </c>
      <c r="AI495" s="1142">
        <v>0</v>
      </c>
      <c r="AJ495" s="207">
        <v>0</v>
      </c>
      <c r="AK495" s="367">
        <v>0</v>
      </c>
      <c r="AL495" s="367">
        <v>0</v>
      </c>
      <c r="AM495" s="367">
        <v>0</v>
      </c>
      <c r="AN495" s="367">
        <v>0</v>
      </c>
      <c r="AO495" s="295">
        <v>0</v>
      </c>
      <c r="AP495" s="295">
        <v>0</v>
      </c>
      <c r="AQ495" s="295">
        <v>0</v>
      </c>
      <c r="AR495" s="1142">
        <v>0</v>
      </c>
      <c r="AS495" s="1133">
        <v>0</v>
      </c>
      <c r="AT495" s="408" t="s">
        <v>1232</v>
      </c>
    </row>
    <row r="496" spans="1:46" ht="210" hidden="1" customHeight="1" outlineLevel="1" thickBot="1" x14ac:dyDescent="0.4">
      <c r="A496" s="397">
        <v>2</v>
      </c>
      <c r="B496" s="612" t="s">
        <v>213</v>
      </c>
      <c r="C496" s="607" t="s">
        <v>213</v>
      </c>
      <c r="D496" s="63">
        <v>43984</v>
      </c>
      <c r="E496" s="432" t="s">
        <v>215</v>
      </c>
      <c r="F496" s="480" t="s">
        <v>308</v>
      </c>
      <c r="G496" s="71" t="s">
        <v>38</v>
      </c>
      <c r="H496" s="310" t="s">
        <v>326</v>
      </c>
      <c r="I496" s="334"/>
      <c r="J496" s="284"/>
      <c r="K496" s="1136"/>
      <c r="L496" s="20">
        <v>70.430000000000007</v>
      </c>
      <c r="M496" s="1138"/>
      <c r="N496" s="1138"/>
      <c r="O496" s="1138"/>
      <c r="P496" s="1138"/>
      <c r="Q496" s="1138"/>
      <c r="R496" s="1138"/>
      <c r="S496" s="1138"/>
      <c r="T496" s="1138"/>
      <c r="U496" s="1141"/>
      <c r="V496" s="573">
        <v>0</v>
      </c>
      <c r="W496" s="326">
        <v>0</v>
      </c>
      <c r="X496" s="207">
        <v>0</v>
      </c>
      <c r="Y496" s="367">
        <v>0</v>
      </c>
      <c r="Z496" s="367">
        <v>0</v>
      </c>
      <c r="AA496" s="468">
        <v>0</v>
      </c>
      <c r="AB496" s="1139"/>
      <c r="AC496" s="207">
        <v>0</v>
      </c>
      <c r="AD496" s="367">
        <v>0</v>
      </c>
      <c r="AE496" s="468">
        <v>0</v>
      </c>
      <c r="AF496" s="468">
        <v>0</v>
      </c>
      <c r="AG496" s="468">
        <v>0</v>
      </c>
      <c r="AH496" s="468">
        <v>0</v>
      </c>
      <c r="AI496" s="1143"/>
      <c r="AJ496" s="207">
        <v>0</v>
      </c>
      <c r="AK496" s="367">
        <v>0</v>
      </c>
      <c r="AL496" s="367">
        <v>0</v>
      </c>
      <c r="AM496" s="367">
        <v>0</v>
      </c>
      <c r="AN496" s="367">
        <v>0</v>
      </c>
      <c r="AO496" s="295">
        <v>0</v>
      </c>
      <c r="AP496" s="295">
        <v>0</v>
      </c>
      <c r="AQ496" s="295">
        <v>0</v>
      </c>
      <c r="AR496" s="1143"/>
      <c r="AS496" s="1134"/>
      <c r="AT496" s="424" t="s">
        <v>1091</v>
      </c>
    </row>
    <row r="497" spans="1:46" ht="19" collapsed="1" thickBot="1" x14ac:dyDescent="0.4">
      <c r="A497" s="448">
        <v>3</v>
      </c>
      <c r="B497" s="621" t="s">
        <v>1720</v>
      </c>
      <c r="C497" s="608"/>
      <c r="D497" s="449"/>
      <c r="E497" s="450"/>
      <c r="F497" s="500"/>
      <c r="G497" s="501" t="s">
        <v>1727</v>
      </c>
      <c r="H497" s="502" t="s">
        <v>1727</v>
      </c>
      <c r="I497" s="346"/>
      <c r="J497" s="381"/>
      <c r="K497" s="425">
        <f t="shared" ref="K497:AS497" si="845">SUM(K498:K500)</f>
        <v>17.735002000000001</v>
      </c>
      <c r="L497" s="503">
        <f t="shared" si="845"/>
        <v>124.51500200000001</v>
      </c>
      <c r="M497" s="503">
        <f t="shared" si="845"/>
        <v>17.735002000000001</v>
      </c>
      <c r="N497" s="503">
        <f t="shared" si="845"/>
        <v>0</v>
      </c>
      <c r="O497" s="503">
        <f t="shared" si="845"/>
        <v>0</v>
      </c>
      <c r="P497" s="503">
        <f>SUM(P498:P500)</f>
        <v>0</v>
      </c>
      <c r="Q497" s="503">
        <f t="shared" ref="Q497" si="846">SUM(Q498:Q500)</f>
        <v>0</v>
      </c>
      <c r="R497" s="503">
        <f t="shared" si="845"/>
        <v>0</v>
      </c>
      <c r="S497" s="503">
        <f t="shared" ref="S497" si="847">SUM(S498:S500)</f>
        <v>0</v>
      </c>
      <c r="T497" s="503">
        <f t="shared" si="845"/>
        <v>0</v>
      </c>
      <c r="U497" s="504">
        <f t="shared" si="845"/>
        <v>0</v>
      </c>
      <c r="V497" s="575">
        <f t="shared" si="845"/>
        <v>0</v>
      </c>
      <c r="W497" s="425">
        <f t="shared" si="845"/>
        <v>0</v>
      </c>
      <c r="X497" s="503">
        <f t="shared" si="845"/>
        <v>-8.5823999999999998</v>
      </c>
      <c r="Y497" s="505">
        <f t="shared" si="845"/>
        <v>-8.5823999999999998</v>
      </c>
      <c r="Z497" s="505">
        <f t="shared" si="845"/>
        <v>-8.5823999999999998</v>
      </c>
      <c r="AA497" s="506">
        <f t="shared" si="845"/>
        <v>-8.5823999999999998</v>
      </c>
      <c r="AB497" s="503">
        <f t="shared" ref="AB497" si="848">SUM(AB498:AB500)</f>
        <v>-8.5823999999999998</v>
      </c>
      <c r="AC497" s="503">
        <f t="shared" si="845"/>
        <v>-6.88</v>
      </c>
      <c r="AD497" s="505">
        <f t="shared" si="845"/>
        <v>-6.88</v>
      </c>
      <c r="AE497" s="506">
        <f>SUM(AE498:AE500)</f>
        <v>-6.88</v>
      </c>
      <c r="AF497" s="506">
        <f t="shared" si="845"/>
        <v>-6.88</v>
      </c>
      <c r="AG497" s="506">
        <f t="shared" ref="AG497:AI497" si="849">SUM(AG498:AG500)</f>
        <v>-6.88</v>
      </c>
      <c r="AH497" s="506">
        <f t="shared" si="849"/>
        <v>-6.88</v>
      </c>
      <c r="AI497" s="425">
        <f t="shared" si="849"/>
        <v>-6.88</v>
      </c>
      <c r="AJ497" s="503">
        <f>SUM(AJ498:AJ500)</f>
        <v>0</v>
      </c>
      <c r="AK497" s="505">
        <f>SUM(AK498:AK500)</f>
        <v>-3.0975999999999999</v>
      </c>
      <c r="AL497" s="505">
        <f>SUM(AL498:AL500)</f>
        <v>0</v>
      </c>
      <c r="AM497" s="505">
        <f>SUM(AM498:AM500)</f>
        <v>0</v>
      </c>
      <c r="AN497" s="505">
        <f>SUM(AN498:AN500)</f>
        <v>0</v>
      </c>
      <c r="AO497" s="504">
        <f t="shared" ref="AO497:AP497" si="850">SUM(AO498:AO500)</f>
        <v>0</v>
      </c>
      <c r="AP497" s="504">
        <f t="shared" si="850"/>
        <v>0</v>
      </c>
      <c r="AQ497" s="504">
        <f t="shared" si="845"/>
        <v>0</v>
      </c>
      <c r="AR497" s="425">
        <f t="shared" si="845"/>
        <v>0</v>
      </c>
      <c r="AS497" s="504">
        <f t="shared" si="845"/>
        <v>0</v>
      </c>
      <c r="AT497" s="348"/>
    </row>
    <row r="498" spans="1:46" ht="141" hidden="1" customHeight="1" outlineLevel="1" x14ac:dyDescent="0.35">
      <c r="A498" s="206">
        <v>1</v>
      </c>
      <c r="B498" s="206" t="s">
        <v>196</v>
      </c>
      <c r="C498" s="396" t="s">
        <v>196</v>
      </c>
      <c r="D498" s="426">
        <v>43965</v>
      </c>
      <c r="E498" s="344" t="s">
        <v>288</v>
      </c>
      <c r="F498" s="473" t="s">
        <v>233</v>
      </c>
      <c r="G498" s="474" t="s">
        <v>40</v>
      </c>
      <c r="H498" s="475" t="s">
        <v>127</v>
      </c>
      <c r="I498" s="334"/>
      <c r="J498" s="284"/>
      <c r="K498" s="389">
        <f>M498+P498+U498+R498+T498</f>
        <v>11.06</v>
      </c>
      <c r="L498" s="390">
        <v>59.84</v>
      </c>
      <c r="M498" s="383">
        <v>11.06</v>
      </c>
      <c r="N498" s="383">
        <v>0</v>
      </c>
      <c r="O498" s="383">
        <v>0</v>
      </c>
      <c r="P498" s="836">
        <v>0</v>
      </c>
      <c r="Q498" s="836">
        <v>0</v>
      </c>
      <c r="R498" s="383">
        <v>0</v>
      </c>
      <c r="S498" s="383">
        <v>0</v>
      </c>
      <c r="T498" s="383">
        <v>0</v>
      </c>
      <c r="U498" s="383">
        <v>0</v>
      </c>
      <c r="V498" s="391">
        <v>0</v>
      </c>
      <c r="W498" s="220">
        <v>0</v>
      </c>
      <c r="X498" s="214">
        <v>0</v>
      </c>
      <c r="Y498" s="382">
        <v>0</v>
      </c>
      <c r="Z498" s="382">
        <v>0</v>
      </c>
      <c r="AA498" s="382">
        <v>0</v>
      </c>
      <c r="AB498" s="828">
        <v>0</v>
      </c>
      <c r="AC498" s="848">
        <v>0</v>
      </c>
      <c r="AD498" s="382">
        <v>0</v>
      </c>
      <c r="AE498" s="382">
        <v>0</v>
      </c>
      <c r="AF498" s="382">
        <v>0</v>
      </c>
      <c r="AG498" s="382">
        <v>0</v>
      </c>
      <c r="AH498" s="382">
        <v>0</v>
      </c>
      <c r="AI498" s="395">
        <v>0</v>
      </c>
      <c r="AJ498" s="841">
        <v>0</v>
      </c>
      <c r="AK498" s="850">
        <v>0</v>
      </c>
      <c r="AL498" s="366">
        <v>0</v>
      </c>
      <c r="AM498" s="366">
        <v>0</v>
      </c>
      <c r="AN498" s="366">
        <v>0</v>
      </c>
      <c r="AO498" s="384">
        <v>0</v>
      </c>
      <c r="AP498" s="384">
        <v>0</v>
      </c>
      <c r="AQ498" s="384">
        <v>0</v>
      </c>
      <c r="AR498" s="395">
        <v>0</v>
      </c>
      <c r="AS498" s="828">
        <f t="shared" ref="AS498:AS499" si="851">-AR498</f>
        <v>0</v>
      </c>
      <c r="AT498" s="322" t="s">
        <v>558</v>
      </c>
    </row>
    <row r="499" spans="1:46" ht="217.5" hidden="1" customHeight="1" outlineLevel="1" x14ac:dyDescent="0.35">
      <c r="A499" s="210">
        <v>2</v>
      </c>
      <c r="B499" s="210" t="s">
        <v>212</v>
      </c>
      <c r="C499" s="97" t="s">
        <v>212</v>
      </c>
      <c r="D499" s="63">
        <v>43984</v>
      </c>
      <c r="E499" s="98" t="s">
        <v>289</v>
      </c>
      <c r="F499" s="49" t="s">
        <v>235</v>
      </c>
      <c r="G499" s="71" t="s">
        <v>40</v>
      </c>
      <c r="H499" s="310" t="s">
        <v>131</v>
      </c>
      <c r="I499" s="334"/>
      <c r="J499" s="284"/>
      <c r="K499" s="294">
        <f>M499+P499+U499+R499+T499</f>
        <v>6.6750020000000001</v>
      </c>
      <c r="L499" s="20">
        <v>6.6750020000000001</v>
      </c>
      <c r="M499" s="95">
        <v>6.6750020000000001</v>
      </c>
      <c r="N499" s="95">
        <v>0</v>
      </c>
      <c r="O499" s="95">
        <v>0</v>
      </c>
      <c r="P499" s="835">
        <v>0</v>
      </c>
      <c r="Q499" s="835">
        <v>0</v>
      </c>
      <c r="R499" s="95">
        <v>0</v>
      </c>
      <c r="S499" s="95">
        <v>0</v>
      </c>
      <c r="T499" s="95">
        <v>0</v>
      </c>
      <c r="U499" s="95">
        <v>0</v>
      </c>
      <c r="V499" s="29">
        <v>0</v>
      </c>
      <c r="W499" s="77">
        <v>0</v>
      </c>
      <c r="X499" s="207">
        <v>0</v>
      </c>
      <c r="Y499" s="132">
        <v>0</v>
      </c>
      <c r="Z499" s="132">
        <v>0</v>
      </c>
      <c r="AA499" s="132">
        <v>0</v>
      </c>
      <c r="AB499" s="829">
        <v>0</v>
      </c>
      <c r="AC499" s="841">
        <v>0</v>
      </c>
      <c r="AD499" s="132">
        <v>0</v>
      </c>
      <c r="AE499" s="132">
        <v>0</v>
      </c>
      <c r="AF499" s="132">
        <v>0</v>
      </c>
      <c r="AG499" s="132">
        <v>0</v>
      </c>
      <c r="AH499" s="132">
        <v>0</v>
      </c>
      <c r="AI499" s="326">
        <v>0</v>
      </c>
      <c r="AJ499" s="841">
        <v>0</v>
      </c>
      <c r="AK499" s="850">
        <v>0</v>
      </c>
      <c r="AL499" s="366">
        <v>0</v>
      </c>
      <c r="AM499" s="366">
        <v>0</v>
      </c>
      <c r="AN499" s="366">
        <v>0</v>
      </c>
      <c r="AO499" s="295">
        <v>0</v>
      </c>
      <c r="AP499" s="295">
        <v>0</v>
      </c>
      <c r="AQ499" s="295">
        <v>0</v>
      </c>
      <c r="AR499" s="326">
        <v>0</v>
      </c>
      <c r="AS499" s="829">
        <f t="shared" si="851"/>
        <v>0</v>
      </c>
      <c r="AT499" s="322" t="s">
        <v>362</v>
      </c>
    </row>
    <row r="500" spans="1:46" ht="160" hidden="1" customHeight="1" outlineLevel="1" x14ac:dyDescent="0.35">
      <c r="A500" s="210">
        <v>3</v>
      </c>
      <c r="B500" s="210" t="s">
        <v>214</v>
      </c>
      <c r="C500" s="313" t="s">
        <v>214</v>
      </c>
      <c r="D500" s="314" t="s">
        <v>299</v>
      </c>
      <c r="E500" s="315" t="s">
        <v>303</v>
      </c>
      <c r="F500" s="316" t="s">
        <v>304</v>
      </c>
      <c r="G500" s="317" t="s">
        <v>40</v>
      </c>
      <c r="H500" s="318" t="s">
        <v>171</v>
      </c>
      <c r="I500" s="334"/>
      <c r="J500" s="284"/>
      <c r="K500" s="296">
        <f>M500+P500+U500+R500+T500</f>
        <v>0</v>
      </c>
      <c r="L500" s="297">
        <v>58</v>
      </c>
      <c r="M500" s="298">
        <v>0</v>
      </c>
      <c r="N500" s="298">
        <v>0</v>
      </c>
      <c r="O500" s="298">
        <v>0</v>
      </c>
      <c r="P500" s="837">
        <v>0</v>
      </c>
      <c r="Q500" s="837">
        <v>0</v>
      </c>
      <c r="R500" s="298">
        <v>0</v>
      </c>
      <c r="S500" s="298">
        <v>0</v>
      </c>
      <c r="T500" s="298">
        <v>0</v>
      </c>
      <c r="U500" s="298">
        <v>0</v>
      </c>
      <c r="V500" s="299">
        <v>0</v>
      </c>
      <c r="W500" s="300">
        <v>0</v>
      </c>
      <c r="X500" s="301">
        <f>-26.82*0.32</f>
        <v>-8.5823999999999998</v>
      </c>
      <c r="Y500" s="302">
        <f>-26.82*0.32</f>
        <v>-8.5823999999999998</v>
      </c>
      <c r="Z500" s="302">
        <f>-26.82*0.32</f>
        <v>-8.5823999999999998</v>
      </c>
      <c r="AA500" s="132">
        <f>-26.82*0.32</f>
        <v>-8.5823999999999998</v>
      </c>
      <c r="AB500" s="829">
        <v>-8.5823999999999998</v>
      </c>
      <c r="AC500" s="849">
        <f>-21.5*0.32</f>
        <v>-6.88</v>
      </c>
      <c r="AD500" s="302">
        <f t="shared" ref="AD500:AH500" si="852">-21.5*0.32</f>
        <v>-6.88</v>
      </c>
      <c r="AE500" s="302">
        <f t="shared" si="852"/>
        <v>-6.88</v>
      </c>
      <c r="AF500" s="302">
        <f t="shared" si="852"/>
        <v>-6.88</v>
      </c>
      <c r="AG500" s="302">
        <f t="shared" si="852"/>
        <v>-6.88</v>
      </c>
      <c r="AH500" s="302">
        <f t="shared" si="852"/>
        <v>-6.88</v>
      </c>
      <c r="AI500" s="940">
        <f>-21.5*0.32</f>
        <v>-6.88</v>
      </c>
      <c r="AJ500" s="849">
        <v>0</v>
      </c>
      <c r="AK500" s="851">
        <f>-9.68*0.32</f>
        <v>-3.0975999999999999</v>
      </c>
      <c r="AL500" s="639">
        <v>0</v>
      </c>
      <c r="AM500" s="639">
        <v>0</v>
      </c>
      <c r="AN500" s="639">
        <v>0</v>
      </c>
      <c r="AO500" s="303">
        <v>0</v>
      </c>
      <c r="AP500" s="303">
        <v>0</v>
      </c>
      <c r="AQ500" s="303">
        <v>0</v>
      </c>
      <c r="AR500" s="940">
        <v>0</v>
      </c>
      <c r="AS500" s="830">
        <v>0</v>
      </c>
      <c r="AT500" s="327" t="s">
        <v>1092</v>
      </c>
    </row>
    <row r="501" spans="1:46" collapsed="1" x14ac:dyDescent="0.35">
      <c r="J501"/>
    </row>
    <row r="502" spans="1:46" x14ac:dyDescent="0.35">
      <c r="A502" s="793" t="s">
        <v>2321</v>
      </c>
      <c r="J502"/>
      <c r="V502" s="23"/>
      <c r="W502" s="23"/>
      <c r="X502" s="23"/>
      <c r="Y502" s="23"/>
      <c r="Z502" s="23"/>
      <c r="AA502" s="23"/>
      <c r="AB502" s="843"/>
      <c r="AR502" s="289"/>
      <c r="AS502" s="832"/>
    </row>
    <row r="503" spans="1:46" ht="18.5" x14ac:dyDescent="0.45">
      <c r="A503" s="104"/>
      <c r="B503" s="104"/>
      <c r="I503" s="634"/>
      <c r="J503" s="634"/>
      <c r="K503" s="791"/>
      <c r="L503" s="791"/>
      <c r="M503" s="792"/>
      <c r="N503" s="791"/>
      <c r="O503" s="791"/>
      <c r="P503" s="839"/>
      <c r="Q503" s="847"/>
      <c r="R503" s="628"/>
      <c r="S503" s="628"/>
      <c r="T503" s="628"/>
      <c r="U503" s="629"/>
      <c r="V503" s="630"/>
      <c r="W503" s="630"/>
      <c r="X503" s="630"/>
      <c r="Y503" s="630"/>
      <c r="Z503" s="630"/>
      <c r="AA503" s="631"/>
      <c r="AB503" s="844"/>
      <c r="AR503" s="289"/>
      <c r="AS503" s="833"/>
    </row>
    <row r="504" spans="1:46" x14ac:dyDescent="0.35">
      <c r="I504" s="634"/>
      <c r="J504" s="634"/>
      <c r="K504" s="791"/>
      <c r="L504" s="791"/>
      <c r="M504" s="792"/>
      <c r="N504" s="791"/>
      <c r="O504" s="791"/>
      <c r="P504" s="839"/>
      <c r="Q504" s="847"/>
      <c r="R504" s="628"/>
      <c r="S504" s="628"/>
      <c r="T504" s="628"/>
      <c r="U504" s="629"/>
      <c r="V504" s="632"/>
      <c r="W504" s="632"/>
      <c r="X504" s="632"/>
      <c r="Y504" s="632"/>
      <c r="Z504" s="632"/>
      <c r="AA504" s="632"/>
      <c r="AB504" s="845"/>
    </row>
    <row r="505" spans="1:46" x14ac:dyDescent="0.35">
      <c r="I505" s="634"/>
      <c r="J505" s="634"/>
      <c r="K505" s="635"/>
      <c r="L505" s="635"/>
      <c r="M505" s="635"/>
      <c r="N505" s="635"/>
      <c r="O505" s="635"/>
      <c r="P505" s="840"/>
      <c r="Q505" s="840"/>
      <c r="R505" s="628"/>
      <c r="S505" s="628"/>
      <c r="T505" s="628"/>
      <c r="U505" s="629"/>
      <c r="V505" s="632"/>
      <c r="W505" s="632"/>
      <c r="X505" s="632"/>
      <c r="Y505" s="632"/>
      <c r="Z505" s="632"/>
      <c r="AA505" s="633"/>
      <c r="AB505" s="846"/>
      <c r="AS505" s="834"/>
    </row>
    <row r="506" spans="1:46" x14ac:dyDescent="0.35">
      <c r="J506"/>
      <c r="U506" s="290"/>
    </row>
    <row r="507" spans="1:46" x14ac:dyDescent="0.35">
      <c r="J507"/>
    </row>
    <row r="508" spans="1:46" x14ac:dyDescent="0.35">
      <c r="J508"/>
    </row>
    <row r="509" spans="1:46" x14ac:dyDescent="0.35">
      <c r="J509"/>
      <c r="AS509" s="831" t="s">
        <v>1702</v>
      </c>
    </row>
    <row r="510" spans="1:46" x14ac:dyDescent="0.35">
      <c r="J510"/>
    </row>
    <row r="511" spans="1:46" x14ac:dyDescent="0.35">
      <c r="J511"/>
    </row>
  </sheetData>
  <mergeCells count="436">
    <mergeCell ref="AN72:AN73"/>
    <mergeCell ref="AN96:AN104"/>
    <mergeCell ref="AN112:AN113"/>
    <mergeCell ref="AN121:AN122"/>
    <mergeCell ref="AJ5:AN5"/>
    <mergeCell ref="AM72:AM73"/>
    <mergeCell ref="AM96:AM104"/>
    <mergeCell ref="AL30:AL35"/>
    <mergeCell ref="AL52:AL53"/>
    <mergeCell ref="AL56:AL57"/>
    <mergeCell ref="AL59:AL60"/>
    <mergeCell ref="AL63:AL65"/>
    <mergeCell ref="AL72:AL73"/>
    <mergeCell ref="AL96:AL104"/>
    <mergeCell ref="AP72:AP73"/>
    <mergeCell ref="AP96:AP104"/>
    <mergeCell ref="AP112:AP113"/>
    <mergeCell ref="AP121:AP122"/>
    <mergeCell ref="AK72:AK73"/>
    <mergeCell ref="AK96:AK104"/>
    <mergeCell ref="AO30:AO35"/>
    <mergeCell ref="AO52:AO53"/>
    <mergeCell ref="AO56:AO57"/>
    <mergeCell ref="AO59:AO60"/>
    <mergeCell ref="AO63:AO65"/>
    <mergeCell ref="AO72:AO73"/>
    <mergeCell ref="AO96:AO104"/>
    <mergeCell ref="AM112:AM113"/>
    <mergeCell ref="AM121:AM122"/>
    <mergeCell ref="S15:S19"/>
    <mergeCell ref="S30:S35"/>
    <mergeCell ref="S52:S53"/>
    <mergeCell ref="S56:S57"/>
    <mergeCell ref="S59:S60"/>
    <mergeCell ref="S63:S65"/>
    <mergeCell ref="S72:S73"/>
    <mergeCell ref="S96:S104"/>
    <mergeCell ref="S112:S113"/>
    <mergeCell ref="O72:O73"/>
    <mergeCell ref="R72:R73"/>
    <mergeCell ref="Q52:Q53"/>
    <mergeCell ref="Q56:Q57"/>
    <mergeCell ref="X72:X73"/>
    <mergeCell ref="V59:V60"/>
    <mergeCell ref="AD96:AD104"/>
    <mergeCell ref="M30:M35"/>
    <mergeCell ref="O52:O53"/>
    <mergeCell ref="O30:O35"/>
    <mergeCell ref="U30:U35"/>
    <mergeCell ref="Y59:Y60"/>
    <mergeCell ref="AD72:AD73"/>
    <mergeCell ref="T72:T73"/>
    <mergeCell ref="Q72:Q73"/>
    <mergeCell ref="Z96:Z104"/>
    <mergeCell ref="X96:X104"/>
    <mergeCell ref="Y96:Y104"/>
    <mergeCell ref="N52:N53"/>
    <mergeCell ref="R30:R35"/>
    <mergeCell ref="N30:N35"/>
    <mergeCell ref="AC96:AC104"/>
    <mergeCell ref="P30:P35"/>
    <mergeCell ref="M56:M57"/>
    <mergeCell ref="AA72:AA73"/>
    <mergeCell ref="U96:U104"/>
    <mergeCell ref="V96:V104"/>
    <mergeCell ref="X59:X60"/>
    <mergeCell ref="U59:U60"/>
    <mergeCell ref="N56:N57"/>
    <mergeCell ref="U56:U57"/>
    <mergeCell ref="M52:M53"/>
    <mergeCell ref="O63:O65"/>
    <mergeCell ref="AT103:AT104"/>
    <mergeCell ref="K59:K60"/>
    <mergeCell ref="L59:L60"/>
    <mergeCell ref="K96:K104"/>
    <mergeCell ref="AR72:AR73"/>
    <mergeCell ref="AS72:AS73"/>
    <mergeCell ref="AT72:AT73"/>
    <mergeCell ref="AQ96:AQ104"/>
    <mergeCell ref="AR96:AR104"/>
    <mergeCell ref="AS96:AS104"/>
    <mergeCell ref="AF96:AF104"/>
    <mergeCell ref="AQ72:AQ73"/>
    <mergeCell ref="AT63:AT65"/>
    <mergeCell ref="W52:W53"/>
    <mergeCell ref="M96:M104"/>
    <mergeCell ref="N96:N104"/>
    <mergeCell ref="W96:W104"/>
    <mergeCell ref="V72:V73"/>
    <mergeCell ref="W72:W73"/>
    <mergeCell ref="D56:D57"/>
    <mergeCell ref="F56:F57"/>
    <mergeCell ref="L38:L39"/>
    <mergeCell ref="Q30:Q35"/>
    <mergeCell ref="A7:B7"/>
    <mergeCell ref="Z52:Z53"/>
    <mergeCell ref="Z30:Z35"/>
    <mergeCell ref="Z56:Z57"/>
    <mergeCell ref="V38:V39"/>
    <mergeCell ref="W56:W57"/>
    <mergeCell ref="X56:X57"/>
    <mergeCell ref="Y56:Y57"/>
    <mergeCell ref="U52:U53"/>
    <mergeCell ref="K52:K53"/>
    <mergeCell ref="L52:L53"/>
    <mergeCell ref="V52:V53"/>
    <mergeCell ref="A10:A19"/>
    <mergeCell ref="C10:C19"/>
    <mergeCell ref="D10:D19"/>
    <mergeCell ref="E10:E19"/>
    <mergeCell ref="F10:F19"/>
    <mergeCell ref="N5:P5"/>
    <mergeCell ref="P10:P14"/>
    <mergeCell ref="P15:P19"/>
    <mergeCell ref="O10:O14"/>
    <mergeCell ref="F1:AR1"/>
    <mergeCell ref="A2:AT2"/>
    <mergeCell ref="A3:A6"/>
    <mergeCell ref="C3:C6"/>
    <mergeCell ref="D3:D6"/>
    <mergeCell ref="E3:E6"/>
    <mergeCell ref="F3:F6"/>
    <mergeCell ref="K3:U4"/>
    <mergeCell ref="K5:K6"/>
    <mergeCell ref="L5:M5"/>
    <mergeCell ref="V5:W5"/>
    <mergeCell ref="AT3:AT6"/>
    <mergeCell ref="V3:AQ4"/>
    <mergeCell ref="AR5:AR6"/>
    <mergeCell ref="AS5:AS6"/>
    <mergeCell ref="AR3:AS4"/>
    <mergeCell ref="H3:H6"/>
    <mergeCell ref="X5:AB5"/>
    <mergeCell ref="Q5:S5"/>
    <mergeCell ref="AC5:AI5"/>
    <mergeCell ref="K15:K19"/>
    <mergeCell ref="L15:L19"/>
    <mergeCell ref="K10:K14"/>
    <mergeCell ref="L10:L14"/>
    <mergeCell ref="M15:M19"/>
    <mergeCell ref="N15:N19"/>
    <mergeCell ref="U15:U19"/>
    <mergeCell ref="O15:O19"/>
    <mergeCell ref="AT15:AT19"/>
    <mergeCell ref="AR10:AR14"/>
    <mergeCell ref="AS10:AS14"/>
    <mergeCell ref="AT10:AT14"/>
    <mergeCell ref="M10:M14"/>
    <mergeCell ref="N10:N14"/>
    <mergeCell ref="U10:U14"/>
    <mergeCell ref="Q15:Q19"/>
    <mergeCell ref="AK30:AK35"/>
    <mergeCell ref="AQ59:AQ60"/>
    <mergeCell ref="W59:W60"/>
    <mergeCell ref="AK52:AK53"/>
    <mergeCell ref="AR15:AR19"/>
    <mergeCell ref="AS15:AS19"/>
    <mergeCell ref="T56:T57"/>
    <mergeCell ref="AC59:AC60"/>
    <mergeCell ref="AD59:AD60"/>
    <mergeCell ref="AF59:AF60"/>
    <mergeCell ref="AC56:AC57"/>
    <mergeCell ref="AP30:AP35"/>
    <mergeCell ref="AP52:AP53"/>
    <mergeCell ref="AP56:AP57"/>
    <mergeCell ref="AP59:AP60"/>
    <mergeCell ref="AM30:AM35"/>
    <mergeCell ref="AM52:AM53"/>
    <mergeCell ref="AM56:AM57"/>
    <mergeCell ref="AM59:AM60"/>
    <mergeCell ref="AN30:AN35"/>
    <mergeCell ref="AN52:AN53"/>
    <mergeCell ref="AN56:AN57"/>
    <mergeCell ref="AN59:AN60"/>
    <mergeCell ref="AT52:AT53"/>
    <mergeCell ref="AQ52:AQ53"/>
    <mergeCell ref="T52:T53"/>
    <mergeCell ref="T30:T35"/>
    <mergeCell ref="AD52:AD53"/>
    <mergeCell ref="AF56:AF57"/>
    <mergeCell ref="AQ30:AQ35"/>
    <mergeCell ref="AR30:AR35"/>
    <mergeCell ref="AS30:AS35"/>
    <mergeCell ref="V30:V35"/>
    <mergeCell ref="W30:W35"/>
    <mergeCell ref="AA30:AA35"/>
    <mergeCell ref="AF30:AF35"/>
    <mergeCell ref="AS52:AS53"/>
    <mergeCell ref="X30:X35"/>
    <mergeCell ref="Y30:Y35"/>
    <mergeCell ref="AC30:AC35"/>
    <mergeCell ref="AJ52:AJ53"/>
    <mergeCell ref="AD30:AD35"/>
    <mergeCell ref="X52:X53"/>
    <mergeCell ref="Y52:Y53"/>
    <mergeCell ref="AJ30:AJ35"/>
    <mergeCell ref="AE30:AE35"/>
    <mergeCell ref="AR52:AR53"/>
    <mergeCell ref="Y63:Y65"/>
    <mergeCell ref="AI63:AI65"/>
    <mergeCell ref="AH63:AH65"/>
    <mergeCell ref="AG63:AG65"/>
    <mergeCell ref="V63:V65"/>
    <mergeCell ref="W63:W65"/>
    <mergeCell ref="X63:X65"/>
    <mergeCell ref="AA63:AA65"/>
    <mergeCell ref="AF63:AF65"/>
    <mergeCell ref="AB63:AB65"/>
    <mergeCell ref="R63:R65"/>
    <mergeCell ref="P63:P65"/>
    <mergeCell ref="T63:T65"/>
    <mergeCell ref="Q63:Q65"/>
    <mergeCell ref="AC63:AC65"/>
    <mergeCell ref="D63:D65"/>
    <mergeCell ref="F63:F65"/>
    <mergeCell ref="D59:D60"/>
    <mergeCell ref="F59:F60"/>
    <mergeCell ref="I59:I60"/>
    <mergeCell ref="K56:K57"/>
    <mergeCell ref="L56:L57"/>
    <mergeCell ref="AT56:AT57"/>
    <mergeCell ref="AJ59:AJ60"/>
    <mergeCell ref="AD63:AD65"/>
    <mergeCell ref="AD56:AD57"/>
    <mergeCell ref="AQ56:AQ57"/>
    <mergeCell ref="AS56:AS57"/>
    <mergeCell ref="AR63:AR65"/>
    <mergeCell ref="AR56:AR57"/>
    <mergeCell ref="AE56:AE57"/>
    <mergeCell ref="AE59:AE60"/>
    <mergeCell ref="AE63:AE65"/>
    <mergeCell ref="AK56:AK57"/>
    <mergeCell ref="AK59:AK60"/>
    <mergeCell ref="AK63:AK65"/>
    <mergeCell ref="AR59:AR60"/>
    <mergeCell ref="AQ63:AQ65"/>
    <mergeCell ref="AG56:AG57"/>
    <mergeCell ref="AS59:AS60"/>
    <mergeCell ref="AP63:AP65"/>
    <mergeCell ref="AS63:AS65"/>
    <mergeCell ref="AM63:AM65"/>
    <mergeCell ref="AN63:AN65"/>
    <mergeCell ref="K72:K73"/>
    <mergeCell ref="L72:L73"/>
    <mergeCell ref="M72:M73"/>
    <mergeCell ref="N72:N73"/>
    <mergeCell ref="Y72:Y73"/>
    <mergeCell ref="AC72:AC73"/>
    <mergeCell ref="Z72:Z73"/>
    <mergeCell ref="U72:U73"/>
    <mergeCell ref="AB72:AB73"/>
    <mergeCell ref="P72:P73"/>
    <mergeCell ref="D72:D73"/>
    <mergeCell ref="D112:D113"/>
    <mergeCell ref="F72:F73"/>
    <mergeCell ref="AT112:AT113"/>
    <mergeCell ref="AC112:AC113"/>
    <mergeCell ref="AC121:AC122"/>
    <mergeCell ref="AA112:AA113"/>
    <mergeCell ref="AD112:AD113"/>
    <mergeCell ref="Z121:Z122"/>
    <mergeCell ref="AF121:AF122"/>
    <mergeCell ref="V112:V113"/>
    <mergeCell ref="W112:W113"/>
    <mergeCell ref="W114:W127"/>
    <mergeCell ref="AJ112:AJ113"/>
    <mergeCell ref="X112:X113"/>
    <mergeCell ref="Y112:Y113"/>
    <mergeCell ref="AB112:AB113"/>
    <mergeCell ref="AF112:AF113"/>
    <mergeCell ref="AE112:AE113"/>
    <mergeCell ref="Z112:Z113"/>
    <mergeCell ref="AH121:AH122"/>
    <mergeCell ref="AH112:AH113"/>
    <mergeCell ref="AI121:AI122"/>
    <mergeCell ref="AO112:AO113"/>
    <mergeCell ref="AO121:AO122"/>
    <mergeCell ref="AI112:AI113"/>
    <mergeCell ref="AG121:AG122"/>
    <mergeCell ref="AT460:AT461"/>
    <mergeCell ref="K317:K318"/>
    <mergeCell ref="M317:M318"/>
    <mergeCell ref="W317:W318"/>
    <mergeCell ref="AQ121:AQ122"/>
    <mergeCell ref="AR121:AR122"/>
    <mergeCell ref="AS121:AS122"/>
    <mergeCell ref="AT121:AT122"/>
    <mergeCell ref="AT274:AT276"/>
    <mergeCell ref="V121:V122"/>
    <mergeCell ref="X121:X122"/>
    <mergeCell ref="Y121:Y122"/>
    <mergeCell ref="AS317:AS318"/>
    <mergeCell ref="AD121:AD122"/>
    <mergeCell ref="K114:K127"/>
    <mergeCell ref="M114:M127"/>
    <mergeCell ref="T121:T122"/>
    <mergeCell ref="N121:N122"/>
    <mergeCell ref="AR317:AR318"/>
    <mergeCell ref="Q121:Q122"/>
    <mergeCell ref="S121:S122"/>
    <mergeCell ref="AI317:AI318"/>
    <mergeCell ref="AB317:AB318"/>
    <mergeCell ref="AK121:AK122"/>
    <mergeCell ref="AQ112:AQ113"/>
    <mergeCell ref="AR112:AR113"/>
    <mergeCell ref="AS112:AS113"/>
    <mergeCell ref="AJ96:AJ104"/>
    <mergeCell ref="O121:O122"/>
    <mergeCell ref="O96:O104"/>
    <mergeCell ref="O112:O113"/>
    <mergeCell ref="R112:R113"/>
    <mergeCell ref="R121:R122"/>
    <mergeCell ref="R96:R104"/>
    <mergeCell ref="P96:P104"/>
    <mergeCell ref="T112:T113"/>
    <mergeCell ref="Q112:Q113"/>
    <mergeCell ref="L96:L104"/>
    <mergeCell ref="T96:T104"/>
    <mergeCell ref="AL112:AL113"/>
    <mergeCell ref="W292:W295"/>
    <mergeCell ref="M292:M295"/>
    <mergeCell ref="U63:U65"/>
    <mergeCell ref="K63:K65"/>
    <mergeCell ref="L63:L65"/>
    <mergeCell ref="M63:M65"/>
    <mergeCell ref="N63:N65"/>
    <mergeCell ref="Q96:Q104"/>
    <mergeCell ref="F460:F461"/>
    <mergeCell ref="AK112:AK113"/>
    <mergeCell ref="AG112:AG113"/>
    <mergeCell ref="L112:L113"/>
    <mergeCell ref="M112:M113"/>
    <mergeCell ref="AR495:AR496"/>
    <mergeCell ref="AJ121:AJ122"/>
    <mergeCell ref="AA121:AA122"/>
    <mergeCell ref="AB121:AB122"/>
    <mergeCell ref="AE121:AE122"/>
    <mergeCell ref="AL121:AL122"/>
    <mergeCell ref="K112:K113"/>
    <mergeCell ref="N112:N113"/>
    <mergeCell ref="U112:U113"/>
    <mergeCell ref="P112:P113"/>
    <mergeCell ref="AS495:AS496"/>
    <mergeCell ref="K495:K496"/>
    <mergeCell ref="M495:M496"/>
    <mergeCell ref="N495:N496"/>
    <mergeCell ref="R495:R496"/>
    <mergeCell ref="O495:O496"/>
    <mergeCell ref="T495:T496"/>
    <mergeCell ref="AB495:AB496"/>
    <mergeCell ref="P495:P496"/>
    <mergeCell ref="Q495:Q496"/>
    <mergeCell ref="S495:S496"/>
    <mergeCell ref="U495:U496"/>
    <mergeCell ref="AI495:AI496"/>
    <mergeCell ref="D121:D122"/>
    <mergeCell ref="L121:L122"/>
    <mergeCell ref="K292:K295"/>
    <mergeCell ref="I121:I122"/>
    <mergeCell ref="U121:U122"/>
    <mergeCell ref="E161:E162"/>
    <mergeCell ref="P121:P122"/>
    <mergeCell ref="F52:F53"/>
    <mergeCell ref="D52:D53"/>
    <mergeCell ref="I3:I6"/>
    <mergeCell ref="B3:B6"/>
    <mergeCell ref="G3:G6"/>
    <mergeCell ref="I96:I104"/>
    <mergeCell ref="I112:I113"/>
    <mergeCell ref="I52:I53"/>
    <mergeCell ref="I30:I36"/>
    <mergeCell ref="I63:I65"/>
    <mergeCell ref="I56:I57"/>
    <mergeCell ref="I72:I73"/>
    <mergeCell ref="Q59:Q60"/>
    <mergeCell ref="AJ72:AJ73"/>
    <mergeCell ref="AE72:AE73"/>
    <mergeCell ref="AF72:AF73"/>
    <mergeCell ref="AJ56:AJ57"/>
    <mergeCell ref="AE96:AE104"/>
    <mergeCell ref="AG96:AG104"/>
    <mergeCell ref="AB96:AB104"/>
    <mergeCell ref="R52:R53"/>
    <mergeCell ref="R56:R57"/>
    <mergeCell ref="AA96:AA104"/>
    <mergeCell ref="AJ63:AJ65"/>
    <mergeCell ref="AB59:AB60"/>
    <mergeCell ref="Z63:Z65"/>
    <mergeCell ref="Z59:Z60"/>
    <mergeCell ref="AH52:AH53"/>
    <mergeCell ref="AH56:AH57"/>
    <mergeCell ref="AH59:AH60"/>
    <mergeCell ref="AH72:AH73"/>
    <mergeCell ref="AH96:AH104"/>
    <mergeCell ref="AG72:AG73"/>
    <mergeCell ref="AG59:AG60"/>
    <mergeCell ref="AI72:AI73"/>
    <mergeCell ref="AI96:AI104"/>
    <mergeCell ref="O56:O57"/>
    <mergeCell ref="AB10:AB14"/>
    <mergeCell ref="AB15:AB19"/>
    <mergeCell ref="AB30:AB35"/>
    <mergeCell ref="AB52:AB53"/>
    <mergeCell ref="AB56:AB57"/>
    <mergeCell ref="AA56:AA57"/>
    <mergeCell ref="S10:S14"/>
    <mergeCell ref="R10:R14"/>
    <mergeCell ref="R15:R19"/>
    <mergeCell ref="T10:T14"/>
    <mergeCell ref="T15:T19"/>
    <mergeCell ref="AA52:AA53"/>
    <mergeCell ref="Q10:Q14"/>
    <mergeCell ref="V56:V57"/>
    <mergeCell ref="K30:K35"/>
    <mergeCell ref="AI30:AI35"/>
    <mergeCell ref="AI52:AI53"/>
    <mergeCell ref="AI56:AI57"/>
    <mergeCell ref="AI59:AI60"/>
    <mergeCell ref="AH30:AH35"/>
    <mergeCell ref="AI10:AI14"/>
    <mergeCell ref="AI15:AI19"/>
    <mergeCell ref="L30:L35"/>
    <mergeCell ref="P52:P53"/>
    <mergeCell ref="P56:P57"/>
    <mergeCell ref="AE52:AE53"/>
    <mergeCell ref="AA59:AA60"/>
    <mergeCell ref="R59:R60"/>
    <mergeCell ref="T59:T60"/>
    <mergeCell ref="AG30:AG35"/>
    <mergeCell ref="AG52:AG53"/>
    <mergeCell ref="AC52:AC53"/>
    <mergeCell ref="AF52:AF53"/>
    <mergeCell ref="O59:O60"/>
    <mergeCell ref="P59:P60"/>
    <mergeCell ref="M59:M60"/>
    <mergeCell ref="N59:N60"/>
  </mergeCells>
  <phoneticPr fontId="71" type="noConversion"/>
  <hyperlinks>
    <hyperlink ref="E78" r:id="rId1" display="MK 24.03.2020 not. Nr. 153 &quot;Grozījumi Ministru kabineta 2020.gada 19.marta noteikumos Nr.149 &quot;Noteikumi par apgrozāmo līdzekļu aizdevumiem saimnieciskās darbības veicējiem, kuru darbību ietekmējusi Covid-19 izplatība&quot;&quot;" xr:uid="{00000000-0004-0000-0000-000000000000}"/>
    <hyperlink ref="E80" r:id="rId2" display="MK 24.03.2020 not. Nr. 154 &quot;Grozījumi Ministru kabineta 2020.gada 19.marta noteikumos Nr.150 &quot;Noteikumi par garantijām saimnieciskās darbības veicējiem, kuru darbību ietekmējusi Covid-19 izplatība&quot;&quot;" xr:uid="{00000000-0004-0000-0000-000001000000}"/>
    <hyperlink ref="E115" r:id="rId3" display="MK 27.03.2020. rīkojums Nr.137" xr:uid="{00000000-0004-0000-0000-000002000000}"/>
    <hyperlink ref="E114" r:id="rId4" xr:uid="{00000000-0004-0000-0000-000003000000}"/>
    <hyperlink ref="E108" r:id="rId5" display="MK rīkojums Nr.80 &quot;Par apropriācijas palielināšanuVeselības ministrijai&quot;" xr:uid="{00000000-0004-0000-0000-000004000000}"/>
    <hyperlink ref="E283" r:id="rId6" display="MK rīk. Nr.117 19.03.2020 &quot;Par iekārtu iegādi un dāvinājumapieņemšanu attālināta mācību procesa nodrošināšanai ārkārtējāssituācijas laikā&quot;" xr:uid="{00000000-0004-0000-0000-000005000000}"/>
    <hyperlink ref="E391" r:id="rId7" xr:uid="{00000000-0004-0000-0000-000006000000}"/>
    <hyperlink ref="E393" r:id="rId8" display="MK 07.04.2020. rīkojums Nr.160 &quot;Par finanšu līdzekļu piešķiršanu no valsts budžeta programmas &quot;Līdzekļi neparedzētiem gadījumiem&quot;&quot;" xr:uid="{00000000-0004-0000-0000-000007000000}"/>
    <hyperlink ref="E392" r:id="rId9" display="MK 19.03.2020. rīkojums Nr.116 &quot;GrozījumiMinistru kabineta 2020. gada 10. marta rīkojumā Nr. 100 &quot;Parfinanšu līdzekļu piešķiršanu no valsts budžeta programmas&quot;Līdzekļi neparedzētiem gadījumiem&quot;&quot;&quot;" xr:uid="{00000000-0004-0000-0000-000008000000}"/>
    <hyperlink ref="E47" r:id="rId10" display="Pieņemts Saeimā 20.03.2020. Grozījums likumā &quot;Par maternitātes un slimības apdrošināšanu&quot;." xr:uid="{00000000-0004-0000-0000-000009000000}"/>
    <hyperlink ref="E30" r:id="rId11" display="MK noteikumi Nr. 165 &quot;Noteikumi par Covid-19 krīzē skartiem uzņēmumiem, kuri kvalificējas dīkstāves pabalstam un nokavēto nodokļu maksājumu samaksas sadalei termiņos vai atlikšanai uz laiku līdz trim gadiem&quot;" xr:uid="{00000000-0004-0000-0000-00000A000000}"/>
    <hyperlink ref="E31" r:id="rId12" display="MK noteikumi Nr. 179 &quot;Noteikumi par dīkstāves pabalstu pašnodarbinātām personām, kuras skārusi Covid-19 izplatība&quot;" xr:uid="{00000000-0004-0000-0000-00000B000000}"/>
    <hyperlink ref="E32" r:id="rId13" display="MK noteikumi Nr.184 &quot;Grozījumi Ministru kabineta 2020.gada 26. marta noteikumos Nr. 165 &quot;Noteikumi par Covid-19 izraisītās krīzes skartiem darba devējiem, kuri kvalificējas dīkstāves pabalstam un nokavēto nodokļu maksājumu samaksas sadalei termiņos vai at" xr:uid="{00000000-0004-0000-0000-00000C000000}"/>
    <hyperlink ref="E66" r:id="rId14" xr:uid="{00000000-0004-0000-0000-00000D000000}"/>
    <hyperlink ref="E394" r:id="rId15" display="MK 07.04.2020. rīkojums Nr.160 &quot;Par finanšu līdzekļu piešķiršanu no valsts budžeta programmas &quot;Līdzekļi neparedzētiem gadījumiem&quot;&quot;" xr:uid="{00000000-0004-0000-0000-00000E000000}"/>
    <hyperlink ref="E33" r:id="rId16" display="MK noteikumi Nr. 205 &quot;Grozījumi Ministru kabineta 2020.gada 26. marta noteikumos Nr. 165 &quot;Noteikumi par Covid-19izraisītās krīzes skartiem darba devējiem, kuri kvalificējasdīkstāves pabalstam un nokavēto nodokļu maksājumu samaksassadalei termiņos vai atli" xr:uid="{00000000-0004-0000-0000-00000F000000}"/>
    <hyperlink ref="E265" r:id="rId17" display="MK rīkojums Nr.120 &quot;Par valsts akciju sabiedrības &quot;Latvijas gaisa satiksme&quot; pamatkapitāla palielināšanu&quot;" xr:uid="{00000000-0004-0000-0000-000010000000}"/>
    <hyperlink ref="E34" r:id="rId18" xr:uid="{00000000-0004-0000-0000-000011000000}"/>
    <hyperlink ref="E405" r:id="rId19" xr:uid="{00000000-0004-0000-0000-000012000000}"/>
    <hyperlink ref="E82" r:id="rId20" display="MK 24.03.2020 not. Nr. 155 &quot;Grozījumi Ministru kabineta 2017.gada 5.septembra noteikumos Nr.537 &quot;Noteikumi par portfeļgarantijām sīko (mikro), mazo un vidējo komersantu kreditēšanas veicināšanai&quot;&quot;" xr:uid="{00000000-0004-0000-0000-000013000000}"/>
    <hyperlink ref="E266" r:id="rId21" xr:uid="{00000000-0004-0000-0000-000014000000}"/>
    <hyperlink ref="E291" r:id="rId22" xr:uid="{00000000-0004-0000-0000-000015000000}"/>
    <hyperlink ref="E415" r:id="rId23" xr:uid="{00000000-0004-0000-0000-000016000000}"/>
    <hyperlink ref="E70" r:id="rId24" xr:uid="{00000000-0004-0000-0000-000017000000}"/>
    <hyperlink ref="E416" r:id="rId25" xr:uid="{00000000-0004-0000-0000-000018000000}"/>
    <hyperlink ref="E493" r:id="rId26" xr:uid="{00000000-0004-0000-0000-000019000000}"/>
    <hyperlink ref="E495" r:id="rId27" xr:uid="{00000000-0004-0000-0000-00001A000000}"/>
    <hyperlink ref="E496" r:id="rId28" xr:uid="{00000000-0004-0000-0000-00001B000000}"/>
    <hyperlink ref="E84" r:id="rId29" xr:uid="{00000000-0004-0000-0000-00001C000000}"/>
    <hyperlink ref="E317" r:id="rId30" xr:uid="{00000000-0004-0000-0000-00001D000000}"/>
    <hyperlink ref="E438" r:id="rId31" xr:uid="{00000000-0004-0000-0000-00001E000000}"/>
    <hyperlink ref="E61" r:id="rId32" xr:uid="{00000000-0004-0000-0000-00001F000000}"/>
    <hyperlink ref="E69" r:id="rId33" xr:uid="{00000000-0004-0000-0000-000020000000}"/>
    <hyperlink ref="E498" r:id="rId34" display="MK noteikumi &quot;Noteikumi par valsts atbalstu īstermiņa aizdevumiem lauksaimniecībā Covid-19 izplatības negatīvās ietekmes mazināšanai&quot;" xr:uid="{00000000-0004-0000-0000-000021000000}"/>
    <hyperlink ref="E318" r:id="rId35" display="http://tap.mk.gov.lv/lv/mk/tap/?pid=40488130&amp;mode=mk&amp;date=2020-06-02" xr:uid="{00000000-0004-0000-0000-000022000000}"/>
    <hyperlink ref="E274" r:id="rId36" display="MK __.07.2020. rīk. Nr.___ &quot;Par finanšu līdzekļu piešķiršanu no valsts budžeta programmas 02.00.00 Līdzekļi neparedzētiem gadījumiem&quot;" xr:uid="{00000000-0004-0000-0000-000023000000}"/>
    <hyperlink ref="E275" r:id="rId37" display="MK __.07.2020. rīk. Nr.___  &quot;Par finanšu līdzekļu piešķiršanu valsts akciju sabiedrībai &quot;Latvijas dzelzceļš&quot;&quot;" xr:uid="{00000000-0004-0000-0000-000024000000}"/>
    <hyperlink ref="E500" r:id="rId38" display="http://tap.mk.gov.lv/lv/mk/tap/?pid=40489541&amp;mode=mk&amp;date=2020-07-14" xr:uid="{00000000-0004-0000-0000-000025000000}"/>
    <hyperlink ref="E90" r:id="rId39" xr:uid="{00000000-0004-0000-0000-000026000000}"/>
    <hyperlink ref="E464" r:id="rId40" display="Rīkojuma projekts &quot;Par finanšu līdzekļu piešķiršanu no valsts budžeta programmas &quot;Līdzekļi neparedzētiem gadījumiem&quot;&quot; " xr:uid="{00000000-0004-0000-0000-000027000000}"/>
    <hyperlink ref="E319" r:id="rId41" xr:uid="{00000000-0004-0000-0000-000028000000}"/>
    <hyperlink ref="E465" r:id="rId42" xr:uid="{00000000-0004-0000-0000-000029000000}"/>
    <hyperlink ref="E59" r:id="rId43" display="MK 01.04.2020. rīk. Nr.141 &quot;Par finanšu līdzekļu piešķiršanuno valsts budžeta programmas &quot;Līdzekļi neparedzētiemgadījumiem&quot;&quot; " xr:uid="{00000000-0004-0000-0000-00002A000000}"/>
    <hyperlink ref="E38" r:id="rId44" xr:uid="{00000000-0004-0000-0000-00002B000000}"/>
    <hyperlink ref="E463" r:id="rId45" xr:uid="{00000000-0004-0000-0000-00002C000000}"/>
    <hyperlink ref="E471" r:id="rId46" xr:uid="{00000000-0004-0000-0000-00002D000000}"/>
    <hyperlink ref="E418" r:id="rId47" xr:uid="{00000000-0004-0000-0000-00002E000000}"/>
    <hyperlink ref="E439" r:id="rId48" xr:uid="{00000000-0004-0000-0000-00002F000000}"/>
    <hyperlink ref="E440" r:id="rId49" xr:uid="{00000000-0004-0000-0000-000030000000}"/>
    <hyperlink ref="E396" r:id="rId50" xr:uid="{00000000-0004-0000-0000-000031000000}"/>
    <hyperlink ref="E111" r:id="rId51" display="MK rīk Nr.118 20.03.2020." xr:uid="{00000000-0004-0000-0000-000032000000}"/>
    <hyperlink ref="E113" r:id="rId52" xr:uid="{00000000-0004-0000-0000-000033000000}"/>
    <hyperlink ref="E109" r:id="rId53" display="MK 09.04.2020. rīkojums Nr.176&quot;Par apropriācijas palielināšanu Veselības ministrijai&quot;" xr:uid="{00000000-0004-0000-0000-000034000000}"/>
    <hyperlink ref="E419" r:id="rId54" xr:uid="{00000000-0004-0000-0000-000035000000}"/>
    <hyperlink ref="E35" r:id="rId55" xr:uid="{00000000-0004-0000-0000-000036000000}"/>
    <hyperlink ref="E36" r:id="rId56" xr:uid="{00000000-0004-0000-0000-000037000000}"/>
    <hyperlink ref="E39" r:id="rId57" xr:uid="{00000000-0004-0000-0000-000038000000}"/>
    <hyperlink ref="E53" r:id="rId58" xr:uid="{00000000-0004-0000-0000-000039000000}"/>
    <hyperlink ref="E276" r:id="rId59" display="MK __.07.2020. rīk. Nr.___ &quot;Par valsts akciju sabiedrības &quot;Latvijas dzelzceļš&quot; pamatkapitāla palielināšanu&quot;" xr:uid="{00000000-0004-0000-0000-00003A000000}"/>
    <hyperlink ref="E48" r:id="rId60" xr:uid="{00000000-0004-0000-0000-00003B000000}"/>
    <hyperlink ref="E67" r:id="rId61" display="Rīkojums &quot;Par finanšu līdzekļu piešķiršanu no valsts budžeta programmas &quot;Līdzekļi neparedzētiem gadījumiem&quot;&quot; " xr:uid="{00000000-0004-0000-0000-00003C000000}"/>
    <hyperlink ref="E62" r:id="rId62" xr:uid="{00000000-0004-0000-0000-00003D000000}"/>
    <hyperlink ref="E320" r:id="rId63" display="Rīkojuma projekts &quot;Par finanšu līdzekļu piešķiršanu no valsts budžeta programmas &quot;Līdzekļi neparedzētiem gadījumiem&quot;&quot;" xr:uid="{00000000-0004-0000-0000-00003E000000}"/>
    <hyperlink ref="E322" r:id="rId64" xr:uid="{00000000-0004-0000-0000-00003F000000}"/>
    <hyperlink ref="E420" r:id="rId65" xr:uid="{00000000-0004-0000-0000-000040000000}"/>
    <hyperlink ref="E73" r:id="rId66" xr:uid="{00000000-0004-0000-0000-000041000000}"/>
    <hyperlink ref="E421" r:id="rId67" xr:uid="{00000000-0004-0000-0000-000042000000}"/>
    <hyperlink ref="E134" r:id="rId68" display="Noteikumi &quot;Grozījumi Ministru kabineta 2018.gada 28.augusta noteikumos Nr.555 &quot;Veselības aprūpes pakalpojumu organizēšanas un samaksas kārtība&quot;&quot;" xr:uid="{00000000-0004-0000-0000-000043000000}"/>
    <hyperlink ref="E91" r:id="rId69" xr:uid="{00000000-0004-0000-0000-000044000000}"/>
    <hyperlink ref="E466" r:id="rId70" xr:uid="{00000000-0004-0000-0000-000045000000}"/>
    <hyperlink ref="E65" r:id="rId71" xr:uid="{00000000-0004-0000-0000-000046000000}"/>
    <hyperlink ref="E462" r:id="rId72" xr:uid="{00000000-0004-0000-0000-000047000000}"/>
    <hyperlink ref="E136" r:id="rId73" xr:uid="{00000000-0004-0000-0000-000048000000}"/>
    <hyperlink ref="E323" r:id="rId74" xr:uid="{00000000-0004-0000-0000-000049000000}"/>
    <hyperlink ref="E137" r:id="rId75" xr:uid="{00000000-0004-0000-0000-00004A000000}"/>
    <hyperlink ref="E21" r:id="rId76" xr:uid="{00000000-0004-0000-0000-00004B000000}"/>
    <hyperlink ref="E10:E19" r:id="rId77" display="&quot;Covid-19 infekcijas izplatības seku pārvarēšanas likums&quot;; Likums &quot;Par valsts apdraudējuma un tā seku novēršanas un pārvarēšanas pasākumiem sakarā ar Covid-19 izplatību&quot; [zaudējis spēku]" xr:uid="{00000000-0004-0000-0000-00004C000000}"/>
    <hyperlink ref="E23" r:id="rId78" xr:uid="{00000000-0004-0000-0000-00004D000000}"/>
    <hyperlink ref="E27" r:id="rId79" display="&quot;Covid-19 infekcijas izplatības seku pārvarēšanas likums&quot;; Likums &quot;Par valsts apdraudējuma un tā seku novēršanas un pārvarēšanas pasākumiem sakarā ar Covid-19 izplatību&quot; [zaudējis spēku]" xr:uid="{00000000-0004-0000-0000-00004E000000}"/>
    <hyperlink ref="E60" r:id="rId80" xr:uid="{00000000-0004-0000-0000-00004F000000}"/>
    <hyperlink ref="E68" r:id="rId81" xr:uid="{00000000-0004-0000-0000-000050000000}"/>
    <hyperlink ref="E56" r:id="rId82" xr:uid="{00000000-0004-0000-0000-000051000000}"/>
    <hyperlink ref="E57" r:id="rId83" xr:uid="{00000000-0004-0000-0000-000052000000}"/>
    <hyperlink ref="E71" r:id="rId84" display="Noteikumi Nr.294 &quot;Grozījums Ministru kabineta 2009.gada 22.decembra noteikumos Nr.1517 &quot;Noteikumi par ģimenes valsts pabalstu un piemaksām pie ģimenes valsts pabalsta&quot;" xr:uid="{00000000-0004-0000-0000-000053000000}"/>
    <hyperlink ref="E72" r:id="rId85" display="MK rīk. Nr.368 &quot;Par finanšu līdzekļu piešķiršanu no valsts budžeta programmas &quot;Līdzekļi neparedzētiem gadījumiem&quot;&quot; " xr:uid="{00000000-0004-0000-0000-000054000000}"/>
    <hyperlink ref="E112" r:id="rId86" xr:uid="{00000000-0004-0000-0000-000055000000}"/>
    <hyperlink ref="E135" r:id="rId87" display="Noteikumi &quot;Grozījumi Ministru kabineta 2018.gada 28.augusta noteikumos Nr.555 &quot;Veselības aprūpes pakalpojumu organizēšanas un samaksas kārtība&quot;&quot;" xr:uid="{00000000-0004-0000-0000-000056000000}"/>
    <hyperlink ref="E133" r:id="rId88" xr:uid="{00000000-0004-0000-0000-000057000000}"/>
    <hyperlink ref="E285" r:id="rId89" xr:uid="{00000000-0004-0000-0000-000058000000}"/>
    <hyperlink ref="E141" r:id="rId90" xr:uid="{00000000-0004-0000-0000-000059000000}"/>
    <hyperlink ref="E52" r:id="rId91" xr:uid="{00000000-0004-0000-0000-00005A000000}"/>
    <hyperlink ref="E63" r:id="rId92" xr:uid="{00000000-0004-0000-0000-00005B000000}"/>
    <hyperlink ref="E142" r:id="rId93" xr:uid="{00000000-0004-0000-0000-00005C000000}"/>
    <hyperlink ref="E40" r:id="rId94" xr:uid="{00000000-0004-0000-0000-00005D000000}"/>
    <hyperlink ref="E282" r:id="rId95" xr:uid="{00000000-0004-0000-0000-00005E000000}"/>
    <hyperlink ref="E292" r:id="rId96" xr:uid="{00000000-0004-0000-0000-00005F000000}"/>
    <hyperlink ref="E293" r:id="rId97" xr:uid="{00000000-0004-0000-0000-000060000000}"/>
    <hyperlink ref="E294" r:id="rId98" xr:uid="{00000000-0004-0000-0000-000061000000}"/>
    <hyperlink ref="E295" r:id="rId99" xr:uid="{00000000-0004-0000-0000-000062000000}"/>
    <hyperlink ref="E297" r:id="rId100" xr:uid="{00000000-0004-0000-0000-000063000000}"/>
    <hyperlink ref="E296" r:id="rId101" xr:uid="{00000000-0004-0000-0000-000064000000}"/>
    <hyperlink ref="E143" r:id="rId102" xr:uid="{00000000-0004-0000-0000-000065000000}"/>
    <hyperlink ref="E324" r:id="rId103" xr:uid="{00000000-0004-0000-0000-000066000000}"/>
    <hyperlink ref="E406" r:id="rId104" xr:uid="{00000000-0004-0000-0000-000067000000}"/>
    <hyperlink ref="E472" r:id="rId105" xr:uid="{00000000-0004-0000-0000-000068000000}"/>
    <hyperlink ref="E145" r:id="rId106" xr:uid="{00000000-0004-0000-0000-000069000000}"/>
    <hyperlink ref="E146" r:id="rId107" xr:uid="{00000000-0004-0000-0000-00006A000000}"/>
    <hyperlink ref="E286" r:id="rId108" xr:uid="{00000000-0004-0000-0000-00006B000000}"/>
    <hyperlink ref="E417" r:id="rId109" xr:uid="{00000000-0004-0000-0000-00006C000000}"/>
    <hyperlink ref="E321" r:id="rId110" xr:uid="{00000000-0004-0000-0000-00006D000000}"/>
    <hyperlink ref="E422" r:id="rId111" xr:uid="{00000000-0004-0000-0000-00006E000000}"/>
    <hyperlink ref="E467" r:id="rId112" xr:uid="{00000000-0004-0000-0000-00006F000000}"/>
    <hyperlink ref="E397" r:id="rId113" xr:uid="{00000000-0004-0000-0000-000070000000}"/>
    <hyperlink ref="E132" r:id="rId114" display="Informatīvais ziņojums “ Veselības nozares kapacitātes celšana un noturības stiprināšana Covid-19 apstākļos Latvijā”" xr:uid="{00000000-0004-0000-0000-000071000000}"/>
    <hyperlink ref="E138" r:id="rId115" display="Informatīvais ziņojums &quot;Par Covid-19 vakcīnu iepirkšanu&quot;" xr:uid="{00000000-0004-0000-0000-000072000000}"/>
    <hyperlink ref="E140" r:id="rId116" display="Informatīvais ziņojums “Par Moderna ražoto vakcīnu pret Covid-19 iegādi" xr:uid="{00000000-0004-0000-0000-000073000000}"/>
    <hyperlink ref="E144" r:id="rId117" display="Informatīvais ziņojums &quot;Par CureVac ražoto vakcīnu pret Covid-19 devu iegādi&quot; " xr:uid="{00000000-0004-0000-0000-000074000000}"/>
    <hyperlink ref="E147" r:id="rId118" display="http://tap.mk.gov.lv/lv/mk/tap/?pid=40497627&amp;mode=mk&amp;date=2021-01-28" xr:uid="{00000000-0004-0000-0000-000075000000}"/>
    <hyperlink ref="E148" r:id="rId119" display="http://tap.mk.gov.lv/lv/mk/tap/?pid=40497627&amp;mode=mk&amp;date=2021-01-28" xr:uid="{00000000-0004-0000-0000-000076000000}"/>
    <hyperlink ref="E149" r:id="rId120" xr:uid="{00000000-0004-0000-0000-000077000000}"/>
    <hyperlink ref="E150" r:id="rId121" display="Informatīvais ziņojums &quot;Par vakcīnām pret Covid-19&quot;" xr:uid="{00000000-0004-0000-0000-000078000000}"/>
    <hyperlink ref="E151" r:id="rId122" xr:uid="{00000000-0004-0000-0000-000079000000}"/>
    <hyperlink ref="E152" r:id="rId123" xr:uid="{00000000-0004-0000-0000-00007A000000}"/>
    <hyperlink ref="E287" r:id="rId124" xr:uid="{00000000-0004-0000-0000-00007B000000}"/>
    <hyperlink ref="E325" r:id="rId125" xr:uid="{00000000-0004-0000-0000-00007C000000}"/>
    <hyperlink ref="E154" r:id="rId126" xr:uid="{00000000-0004-0000-0000-00007D000000}"/>
    <hyperlink ref="E155" r:id="rId127" xr:uid="{00000000-0004-0000-0000-00007E000000}"/>
    <hyperlink ref="E153" r:id="rId128" xr:uid="{00000000-0004-0000-0000-00007F000000}"/>
    <hyperlink ref="E86" r:id="rId129" xr:uid="{00000000-0004-0000-0000-000080000000}"/>
    <hyperlink ref="E139" r:id="rId130" xr:uid="{00000000-0004-0000-0000-000081000000}"/>
    <hyperlink ref="E157" r:id="rId131" xr:uid="{00000000-0004-0000-0000-000082000000}"/>
    <hyperlink ref="E398" r:id="rId132" display="MK rīk. Nr.60 &quot;Par finanšu līdzekļu piešķiršanu no valsts budžeta programmas &quot;Līdzekļi neparedzētiem gadījumiem&quot;&quot;" xr:uid="{00000000-0004-0000-0000-000083000000}"/>
    <hyperlink ref="E327" r:id="rId133" xr:uid="{00000000-0004-0000-0000-000084000000}"/>
    <hyperlink ref="E407" r:id="rId134" xr:uid="{00000000-0004-0000-0000-000085000000}"/>
    <hyperlink ref="E326" r:id="rId135" xr:uid="{00000000-0004-0000-0000-000086000000}"/>
    <hyperlink ref="E424" r:id="rId136" xr:uid="{00000000-0004-0000-0000-000087000000}"/>
    <hyperlink ref="E423" r:id="rId137" xr:uid="{00000000-0004-0000-0000-000088000000}"/>
    <hyperlink ref="E399" r:id="rId138" xr:uid="{00000000-0004-0000-0000-000089000000}"/>
    <hyperlink ref="E473" r:id="rId139" display="Rīkojums &quot;Par finansējuma sadalījumu pašvaldībām Covid-19 izraisītās krīzes pārvarēšanas un seku novēršanas pasākumu īstenošanai&quot;" xr:uid="{00000000-0004-0000-0000-00008A000000}"/>
    <hyperlink ref="E298" r:id="rId140" xr:uid="{00000000-0004-0000-0000-00008B000000}"/>
    <hyperlink ref="E131" r:id="rId141" xr:uid="{00000000-0004-0000-0000-00008C000000}"/>
    <hyperlink ref="E158" r:id="rId142" xr:uid="{00000000-0004-0000-0000-00008D000000}"/>
    <hyperlink ref="E299" r:id="rId143" xr:uid="{00000000-0004-0000-0000-00008E000000}"/>
    <hyperlink ref="E159" r:id="rId144" xr:uid="{00000000-0004-0000-0000-000090000000}"/>
    <hyperlink ref="E267" r:id="rId145" xr:uid="{00000000-0004-0000-0000-000091000000}"/>
    <hyperlink ref="E160" r:id="rId146" xr:uid="{00000000-0004-0000-0000-000092000000}"/>
    <hyperlink ref="E64" r:id="rId147" xr:uid="{00000000-0004-0000-0000-000093000000}"/>
    <hyperlink ref="E408" r:id="rId148" xr:uid="{00000000-0004-0000-0000-000094000000}"/>
    <hyperlink ref="E400" r:id="rId149" xr:uid="{00000000-0004-0000-0000-000095000000}"/>
    <hyperlink ref="E414" r:id="rId150" display="Rīkojums &quot;Par finanšu līdzekļu piešķiršanu no valsts budžeta programmas &quot;Līdzekļi neparedzētiem gadījumiem&quot; reliģisko savienību (baznīcu) garīgā un kalpojošā personāla atbalstam saistībā ar Covid-19&quot; " xr:uid="{00000000-0004-0000-0000-000096000000}"/>
    <hyperlink ref="E272" r:id="rId151" xr:uid="{00000000-0004-0000-0000-000097000000}"/>
    <hyperlink ref="E288" r:id="rId152" xr:uid="{00000000-0004-0000-0000-000098000000}"/>
    <hyperlink ref="E352" r:id="rId153" xr:uid="{00000000-0004-0000-0000-000099000000}"/>
    <hyperlink ref="E441" r:id="rId154" xr:uid="{00000000-0004-0000-0000-00009A000000}"/>
    <hyperlink ref="E163" r:id="rId155" display="MK rīk. Nr.226 &quot;Par finanšu līdzekļu piešķiršanu no valsts budžeta programmas &quot;Līdzekļi neparedzētiem gadījumiem&quot;&quot;" xr:uid="{00000000-0004-0000-0000-00009B000000}"/>
    <hyperlink ref="E43" r:id="rId156" xr:uid="{00000000-0004-0000-0000-00009C000000}"/>
    <hyperlink ref="E271" r:id="rId157" xr:uid="{00000000-0004-0000-0000-00009D000000}"/>
    <hyperlink ref="E161:E162" r:id="rId158" display="Rīkojums Nr.247 &quot;Par finanšu līdzekļu piešķiršanu no valsts budžeta programmas &quot;Līdzekļi neparedzētiem gadījumiem&quot;&quot;" xr:uid="{00000000-0004-0000-0000-00009E000000}"/>
    <hyperlink ref="E328" r:id="rId159" xr:uid="{00000000-0004-0000-0000-00009F000000}"/>
    <hyperlink ref="E329" r:id="rId160" xr:uid="{00000000-0004-0000-0000-0000A0000000}"/>
    <hyperlink ref="E425" r:id="rId161" xr:uid="{00000000-0004-0000-0000-0000A1000000}"/>
    <hyperlink ref="E305" r:id="rId162" xr:uid="{00000000-0004-0000-0000-0000A2000000}"/>
    <hyperlink ref="E95" r:id="rId163" xr:uid="{00000000-0004-0000-0000-0000A3000000}"/>
    <hyperlink ref="E110" r:id="rId164" xr:uid="{00000000-0004-0000-0000-0000A4000000}"/>
    <hyperlink ref="E409" r:id="rId165" xr:uid="{00000000-0004-0000-0000-0000A5000000}"/>
    <hyperlink ref="E167" r:id="rId166" display="Informatīvais ziņojums &quot;Par pieteikumu Janssen vakcīnai&quot;" xr:uid="{00000000-0004-0000-0000-0000A6000000}"/>
    <hyperlink ref="E166" r:id="rId167" xr:uid="{00000000-0004-0000-0000-0000A7000000}"/>
    <hyperlink ref="E300" r:id="rId168" display="Rīkojuma projekts &quot;Par finanšu līdzekļu piešķiršanu no valsts budžeta programmas &quot;Līdzekļi neparedzētiem gadījumiem&quot;&quot;" xr:uid="{00000000-0004-0000-0000-0000A8000000}"/>
    <hyperlink ref="E277" r:id="rId169" display="Rīkojums &quot;Par finanšu līdzekļu piešķiršanu no valsts budžeta programmas 02.00.00 &quot;Līdzekļi neparedzētiem gadījumiem&quot;&quot;" xr:uid="{00000000-0004-0000-0000-0000A9000000}"/>
    <hyperlink ref="E353" r:id="rId170" xr:uid="{00000000-0004-0000-0000-0000AA000000}"/>
    <hyperlink ref="E96" r:id="rId171" xr:uid="{00000000-0004-0000-0000-0000AB000000}"/>
    <hyperlink ref="E97" r:id="rId172" xr:uid="{00000000-0004-0000-0000-0000AC000000}"/>
    <hyperlink ref="E410" r:id="rId173" xr:uid="{00000000-0004-0000-0000-0000AD000000}"/>
    <hyperlink ref="E165" r:id="rId174" xr:uid="{00000000-0004-0000-0000-0000AE000000}"/>
    <hyperlink ref="E168" r:id="rId175" xr:uid="{00000000-0004-0000-0000-0000AF000000}"/>
    <hyperlink ref="E169" r:id="rId176" xr:uid="{00000000-0004-0000-0000-0000B0000000}"/>
    <hyperlink ref="E301" r:id="rId177" xr:uid="{00000000-0004-0000-0000-0000B1000000}"/>
    <hyperlink ref="E354" r:id="rId178" xr:uid="{00000000-0004-0000-0000-0000B2000000}"/>
    <hyperlink ref="E426" r:id="rId179" xr:uid="{00000000-0004-0000-0000-0000B3000000}"/>
    <hyperlink ref="E411" r:id="rId180" xr:uid="{00000000-0004-0000-0000-0000B4000000}"/>
    <hyperlink ref="E330" r:id="rId181" xr:uid="{00000000-0004-0000-0000-0000B5000000}"/>
    <hyperlink ref="E427" r:id="rId182" xr:uid="{00000000-0004-0000-0000-0000B6000000}"/>
    <hyperlink ref="E302" r:id="rId183" xr:uid="{00000000-0004-0000-0000-0000B7000000}"/>
    <hyperlink ref="E428" r:id="rId184" display="Rīkojuma projekts &quot;Par finanšu līdzekļu piešķiršanu no valsts budžeta programmas &quot;Līdzekļi neparedzētiem gadījumiem&quot;&quot;" xr:uid="{00000000-0004-0000-0000-0000B8000000}"/>
    <hyperlink ref="E355" r:id="rId185" xr:uid="{00000000-0004-0000-0000-0000B9000000}"/>
    <hyperlink ref="E170" r:id="rId186" xr:uid="{00000000-0004-0000-0000-0000BA000000}"/>
    <hyperlink ref="E130" r:id="rId187" xr:uid="{00000000-0004-0000-0000-0000BB000000}"/>
    <hyperlink ref="E129" r:id="rId188" xr:uid="{00000000-0004-0000-0000-0000BC000000}"/>
    <hyperlink ref="E124" r:id="rId189" display="MK rīkojums Nr. 614 &quot;Par finanšu līdzekļu piešķiršanu no valsts budžeta programmas &quot;Līdzekļi neparedzētiem gadījumiem&quot;&quot; " xr:uid="{00000000-0004-0000-0000-0000BD000000}"/>
    <hyperlink ref="E122" r:id="rId190" xr:uid="{00000000-0004-0000-0000-0000BE000000}"/>
    <hyperlink ref="E121" r:id="rId191" xr:uid="{00000000-0004-0000-0000-0000BF000000}"/>
    <hyperlink ref="E119" r:id="rId192" display="Noteikumu projekts &quot;Grozījumi Ministru kabineta 2018.gada 28.augusta noteikumos Nr.555 &quot;Veselības aprūpes pakalpojumu organizēšanas un samaksas kārtība&quot;&quot;" xr:uid="{00000000-0004-0000-0000-0000C0000000}"/>
    <hyperlink ref="E128" r:id="rId193" xr:uid="{00000000-0004-0000-0000-0000C1000000}"/>
    <hyperlink ref="E118" r:id="rId194" xr:uid="{00000000-0004-0000-0000-0000C2000000}"/>
    <hyperlink ref="E127" r:id="rId195" xr:uid="{00000000-0004-0000-0000-0000C3000000}"/>
    <hyperlink ref="E126" r:id="rId196" xr:uid="{00000000-0004-0000-0000-0000C4000000}"/>
    <hyperlink ref="E123" r:id="rId197" xr:uid="{00000000-0004-0000-0000-0000C5000000}"/>
    <hyperlink ref="E120" r:id="rId198" xr:uid="{00000000-0004-0000-0000-0000C6000000}"/>
    <hyperlink ref="E117" r:id="rId199" xr:uid="{00000000-0004-0000-0000-0000C7000000}"/>
    <hyperlink ref="E116" r:id="rId200" xr:uid="{00000000-0004-0000-0000-0000C8000000}"/>
    <hyperlink ref="E331" r:id="rId201" xr:uid="{00000000-0004-0000-0000-0000C9000000}"/>
    <hyperlink ref="E356" r:id="rId202" display="Rīkojuma projekts &quot;Par finanšu līdzekļu piešķiršanu no valsts budžeta programmas &quot;Līdzekļi neparedzētiem gadījumiem&quot;&quot;" xr:uid="{00000000-0004-0000-0000-0000CA000000}"/>
    <hyperlink ref="E332" r:id="rId203" xr:uid="{00000000-0004-0000-0000-0000CB000000}"/>
    <hyperlink ref="E477" r:id="rId204" xr:uid="{00000000-0004-0000-0000-0000CC000000}"/>
    <hyperlink ref="E357" r:id="rId205" xr:uid="{00000000-0004-0000-0000-0000CD000000}"/>
    <hyperlink ref="E358" r:id="rId206" xr:uid="{00000000-0004-0000-0000-0000CE000000}"/>
    <hyperlink ref="E359" r:id="rId207" xr:uid="{00000000-0004-0000-0000-0000CF000000}"/>
    <hyperlink ref="E360" r:id="rId208" xr:uid="{00000000-0004-0000-0000-0000D0000000}"/>
    <hyperlink ref="E361" r:id="rId209" xr:uid="{00000000-0004-0000-0000-0000D1000000}"/>
    <hyperlink ref="E362" r:id="rId210" xr:uid="{00000000-0004-0000-0000-0000D2000000}"/>
    <hyperlink ref="E363" r:id="rId211" xr:uid="{00000000-0004-0000-0000-0000D3000000}"/>
    <hyperlink ref="E333" r:id="rId212" xr:uid="{00000000-0004-0000-0000-0000D4000000}"/>
    <hyperlink ref="E171" r:id="rId213" display="http://tap.mk.gov.lv/mk/mksedes/saraksts/protokols/?protokols=2021-06-08" xr:uid="{00000000-0004-0000-0000-0000D5000000}"/>
    <hyperlink ref="E442" r:id="rId214" xr:uid="{00000000-0004-0000-0000-0000D6000000}"/>
    <hyperlink ref="E476" r:id="rId215" xr:uid="{00000000-0004-0000-0000-0000D7000000}"/>
    <hyperlink ref="E334" r:id="rId216" xr:uid="{00000000-0004-0000-0000-0000D8000000}"/>
    <hyperlink ref="E172" r:id="rId217" xr:uid="{00000000-0004-0000-0000-0000D9000000}"/>
    <hyperlink ref="E468" r:id="rId218" xr:uid="{00000000-0004-0000-0000-0000DA000000}"/>
    <hyperlink ref="E173" r:id="rId219" xr:uid="{00000000-0004-0000-0000-0000DB000000}"/>
    <hyperlink ref="E303" r:id="rId220" xr:uid="{00000000-0004-0000-0000-0000DC000000}"/>
    <hyperlink ref="E174" r:id="rId221" display="http://tap.mk.gov.lv/lv/mk/tap/?pid=40505400&amp;mode=mk&amp;date=2021-07-14" xr:uid="{00000000-0004-0000-0000-0000DD000000}"/>
    <hyperlink ref="E176" r:id="rId222" xr:uid="{00000000-0004-0000-0000-0000DE000000}"/>
    <hyperlink ref="E88" r:id="rId223" xr:uid="{00000000-0004-0000-0000-0000DF000000}"/>
    <hyperlink ref="E177" r:id="rId224" xr:uid="{00000000-0004-0000-0000-0000E0000000}"/>
    <hyperlink ref="E98" r:id="rId225" xr:uid="{00000000-0004-0000-0000-0000E1000000}"/>
    <hyperlink ref="E412" r:id="rId226" xr:uid="{00000000-0004-0000-0000-0000E2000000}"/>
    <hyperlink ref="E179" r:id="rId227" xr:uid="{00000000-0004-0000-0000-0000E3000000}"/>
    <hyperlink ref="E335" r:id="rId228" xr:uid="{00000000-0004-0000-0000-0000E4000000}"/>
    <hyperlink ref="E478" r:id="rId229" xr:uid="{00000000-0004-0000-0000-0000E5000000}"/>
    <hyperlink ref="E304" r:id="rId230" display="http://tap.mk.gov.lv/lv/mk/tap/?pid=40504828&amp;mode=mk&amp;date=2021-07-14" xr:uid="{00000000-0004-0000-0000-0000E6000000}"/>
    <hyperlink ref="E366" r:id="rId231" xr:uid="{00000000-0004-0000-0000-0000E7000000}"/>
    <hyperlink ref="E367" r:id="rId232" display="https://likumi.lv/ta/id/325314-par-apropriacijas-palielinasanu-izglitibas-un-zinatnes-ministrijai" xr:uid="{00000000-0004-0000-0000-0000E8000000}"/>
    <hyperlink ref="E99" r:id="rId233" xr:uid="{00000000-0004-0000-0000-0000E9000000}"/>
    <hyperlink ref="E401" r:id="rId234" xr:uid="{00000000-0004-0000-0000-0000EA000000}"/>
    <hyperlink ref="E268" r:id="rId235" xr:uid="{00000000-0004-0000-0000-0000EB000000}"/>
    <hyperlink ref="E269" r:id="rId236" xr:uid="{00000000-0004-0000-0000-0000EC000000}"/>
    <hyperlink ref="E368" r:id="rId237" display="https://www.vestnesis.lv/op/2021/154.36" xr:uid="{00000000-0004-0000-0000-0000ED000000}"/>
    <hyperlink ref="E100" r:id="rId238" xr:uid="{00000000-0004-0000-0000-0000EE000000}"/>
    <hyperlink ref="E183" r:id="rId239" display="https://likumi.lv/ta/id/325325-par-finansu-lidzeklu-pieskirsanu-no-valsts-budzeta-programmas-lidzekli-neparedzetiem-gadijumiem" xr:uid="{00000000-0004-0000-0000-0000EF000000}"/>
    <hyperlink ref="E435" r:id="rId240" display="http://tap.mk.gov.lv/lv/mk/tap/?pid=40507007&amp;mode=mk&amp;date=2021-09-07" xr:uid="{00000000-0004-0000-0000-0000F0000000}"/>
    <hyperlink ref="E443" r:id="rId241" xr:uid="{00000000-0004-0000-0000-0000F1000000}"/>
    <hyperlink ref="E370" r:id="rId242" display="https://likumi.lv/ta/id/325670-par-apropriacijas-palielinasanu-veselibas-ministrijai" xr:uid="{00000000-0004-0000-0000-0000F2000000}"/>
    <hyperlink ref="E404" r:id="rId243" display="MK 02.04.2020. noteikumu Nr.180 &quot;Noteikumi par publiskas personas un publiskas personas kontrolētas kapitālsabiedrības mantas nomas maksas atbrīvojuma vai samazinājuma piemērošanu sakarā ar Covid-19 izplatību&quot;" xr:uid="{00000000-0004-0000-0000-0000F3000000}"/>
    <hyperlink ref="E365" r:id="rId244" xr:uid="{00000000-0004-0000-0000-0000F4000000}"/>
    <hyperlink ref="E378" r:id="rId245" xr:uid="{00000000-0004-0000-0000-0000F5000000}"/>
    <hyperlink ref="E369" r:id="rId246" display="https://likumi.lv/ta/id/325671-par-finansu-lidzeklu-pieskirsanu-no-valsts-budzeta-programmas-lidzekli-neparedzetiem-gadijumiem" xr:uid="{00000000-0004-0000-0000-0000F6000000}"/>
    <hyperlink ref="E379" r:id="rId247" display="https://likumi.lv/ta/id/325494-par-finansu-lidzeklu-pieskirsanu-no-valsts-budzeta-programmas-lidzekli-neparedzetiem-gadijumiem" xr:uid="{00000000-0004-0000-0000-0000F7000000}"/>
    <hyperlink ref="E380" r:id="rId248" display="https://likumi.lv/ta/id/325935-par-finansu-lidzeklu-pieskirsanu-no-valsts-budzeta-programmas-lidzekli-neparedzetiem-gadijumiem" xr:uid="{00000000-0004-0000-0000-0000F8000000}"/>
    <hyperlink ref="E336" r:id="rId249" display="MK rīkojums Nr. 521 Par finanšu līdzekļu piešķiršanu no valsts budžeta programmas &quot;Līdzekļi neparedzētiem gadījumiem&quot;" xr:uid="{00000000-0004-0000-0000-0000F9000000}"/>
    <hyperlink ref="E372" r:id="rId250" xr:uid="{00000000-0004-0000-0000-0000FA000000}"/>
    <hyperlink ref="E413" r:id="rId251" xr:uid="{00000000-0004-0000-0000-0000FB000000}"/>
    <hyperlink ref="E185" r:id="rId252" xr:uid="{00000000-0004-0000-0000-0000FC000000}"/>
    <hyperlink ref="E184" r:id="rId253" xr:uid="{00000000-0004-0000-0000-0000FD000000}"/>
    <hyperlink ref="E182" r:id="rId254" xr:uid="{00000000-0004-0000-0000-0000FE000000}"/>
    <hyperlink ref="E186" r:id="rId255" xr:uid="{00000000-0004-0000-0000-0000FF000000}"/>
    <hyperlink ref="E187" r:id="rId256" xr:uid="{00000000-0004-0000-0000-000000010000}"/>
    <hyperlink ref="E188" r:id="rId257" xr:uid="{00000000-0004-0000-0000-000001010000}"/>
    <hyperlink ref="E189" r:id="rId258" xr:uid="{00000000-0004-0000-0000-000002010000}"/>
    <hyperlink ref="E402" r:id="rId259" display="https://likumi.lv/ta/id/325497-par-finansu-lidzeklu-pieskirsanu-no-valsts-budzeta-programmas-lidzekli-neparedzetiem-gadijumiem" xr:uid="{00000000-0004-0000-0000-000003010000}"/>
    <hyperlink ref="E403" r:id="rId260" display="https://tapportals.mk.gov.lv/structuralizer/data/nodes/bbfa6f6c-e8d2-460c-95c5-b228928846d2/preview" xr:uid="{00000000-0004-0000-0000-000004010000}"/>
    <hyperlink ref="E479" r:id="rId261" display="https://likumi.lv/ta/id/325321-par-finansu-lidzeklu-pieskirsanu-no-valsts-budzeta-programmas-lidzekli-neparedzetiem-gadijumiem" xr:uid="{00000000-0004-0000-0000-000005010000}"/>
    <hyperlink ref="E487" r:id="rId262" display="Rīkojuma projekts &quot;Par finanšu līdzekļu piešķiršanu no valsts budžeta programmas &quot;Līdzekļi neparedzētiem gadījumiem&quot;&quot;" xr:uid="{00000000-0004-0000-0000-000006010000}"/>
    <hyperlink ref="E190" r:id="rId263" xr:uid="{00000000-0004-0000-0000-000007010000}"/>
    <hyperlink ref="E45" r:id="rId264" xr:uid="{00000000-0004-0000-0000-000008010000}"/>
    <hyperlink ref="E444" r:id="rId265" display="https://likumi.lv/ta/id/325936-par-finansu-lidzeklu-pieskirsanu-no-valsts-budzeta-programmas-lidzekli-neparedzetiem-gadijumiem" xr:uid="{00000000-0004-0000-0000-000009010000}"/>
    <hyperlink ref="E387" r:id="rId266" xr:uid="{00000000-0004-0000-0000-00000A010000}"/>
    <hyperlink ref="E50" r:id="rId267" display="https://likumi.lv/ta/id/315287-covid-19-infekcijas-izplatibas-seku-parvaresanas-likums" xr:uid="{00000000-0004-0000-0000-00000B010000}"/>
    <hyperlink ref="E41" r:id="rId268" xr:uid="{00000000-0004-0000-0000-00000C010000}"/>
    <hyperlink ref="E193" r:id="rId269" display="https://likumi.lv/ta/id/327007-par-finansu-lidzeklu-pieskirsanu-no-valsts-budzeta-programmas-lidzekli-neparedzetiem-gadijumiem" xr:uid="{00000000-0004-0000-0000-00000D010000}"/>
    <hyperlink ref="E194" r:id="rId270" display="https://likumi.lv/ta/id/327238-par-finansu-lidzeklu-pieskirsanu-no-valsts-budzeta-programmas-lidzekli-neparedzetiem-gadijumiem" xr:uid="{00000000-0004-0000-0000-00000E010000}"/>
    <hyperlink ref="E289" r:id="rId271" xr:uid="{00000000-0004-0000-0000-00000F010000}"/>
    <hyperlink ref="E278" r:id="rId272" xr:uid="{00000000-0004-0000-0000-000010010000}"/>
    <hyperlink ref="E25" r:id="rId273" xr:uid="{00000000-0004-0000-0000-000012010000}"/>
    <hyperlink ref="F27" r:id="rId274" display="https://tapportals.mk.gov.lv/annotation/d8638392-7c02-40cb-911a-f2466af8203e" xr:uid="{00000000-0004-0000-0000-000013010000}"/>
    <hyperlink ref="E445" r:id="rId275" display="https://likumi.lv/ta/id/327010-par-finansu-lidzeklu-pieskirsanu-no-valsts-budzeta-programmaslidzekli-neparedzetiem-gadijumiem" xr:uid="{00000000-0004-0000-0000-000014010000}"/>
    <hyperlink ref="E306" r:id="rId276" xr:uid="{00000000-0004-0000-0000-000015010000}"/>
    <hyperlink ref="E307" r:id="rId277" display="https://likumi.lv/ta/id/327584-par-finansu-lidzeklu-pieskirsanu-no-valsts-budzeta-programmas-lidzekli-neparedzetiem-gadijumiem" xr:uid="{00000000-0004-0000-0000-000016010000}"/>
    <hyperlink ref="E481" r:id="rId278" display="https://likumi.lv/ta/id/327247-par-finansu-lidzeklu-pieskirsanu-no-valsts-budzeta-programmas-lidzekli-neparedzetiem-gadijumiem" xr:uid="{00000000-0004-0000-0000-000017010000}"/>
    <hyperlink ref="E337" r:id="rId279" xr:uid="{00000000-0004-0000-0000-000018010000}"/>
    <hyperlink ref="E264" r:id="rId280" display="Informatīvais ziņojums &quot;Par COVID-19 pandēmijas ietekmi uz airBaltic darbību&quot; (IP) un MK __.05.2020. rīk.___ &quot;Par akciju sabiedrības &quot;Air Baltic Corporation&quot; pamatkapitāla palielināšanu&quot;" xr:uid="{00000000-0004-0000-0000-000019010000}"/>
    <hyperlink ref="E446" r:id="rId281" display="https://likumi.lv/ta/id/327591-par-finansu-lidzeklu-pieskirsanu-no-valsts-budzeta-programmas-lidzekli-neparedzetiem-gadijumiem" xr:uid="{00000000-0004-0000-0000-00001A010000}"/>
    <hyperlink ref="E429" r:id="rId282" xr:uid="{00000000-0004-0000-0000-00001B010000}"/>
    <hyperlink ref="E436" r:id="rId283" xr:uid="{00000000-0004-0000-0000-00001C010000}"/>
    <hyperlink ref="E437" r:id="rId284" display="https://likumi.lv/ta/id/327539-par-apropriacijas-pardali" xr:uid="{00000000-0004-0000-0000-00001D010000}"/>
    <hyperlink ref="E290" r:id="rId285" display="https://likumi.lv/ta/id/327383-par-finansu-lidzeklu-pieskirsanu-no-valsts-budzeta-programmas-lidzekli-neparedzetiem-gadijumiem" xr:uid="{00000000-0004-0000-0000-00001E010000}"/>
    <hyperlink ref="E195" r:id="rId286" display="Ministru kabineta  rīkojums Nr.799 02.11.2021 (prot. Nr.73 39.§)" xr:uid="{00000000-0004-0000-0000-00001F010000}"/>
    <hyperlink ref="E196" r:id="rId287" display="https://likumi.lv/ta/id/327384-par-finansu-lidzeklu-pieskirsanu-no-valsts-budzeta-programmas-lidzekli-neparedzetiem-gadijumiem" xr:uid="{00000000-0004-0000-0000-000020010000}"/>
    <hyperlink ref="E199" r:id="rId288" display="https://likumi.lv/ta/id/327738-par-finansu-lidzeklu-pieskirsanu-no-valsts-budzeta-programmas-lidzekli-neparedzetiem-gadijumiem" xr:uid="{00000000-0004-0000-0000-000021010000}"/>
    <hyperlink ref="E197" r:id="rId289" display="https://likumi.lv/ta/id/327387-par-finansu-lidzeklu-pieskirsanu-no-valsts-budzeta-programmas-lidzekli-neparedzetiem-gadijumiem" xr:uid="{00000000-0004-0000-0000-000022010000}"/>
    <hyperlink ref="E198" r:id="rId290" display="https://likumi.lv/ta/id/327453-par-apropriacijas-palielinasanu-veselibas-ministrijai" xr:uid="{00000000-0004-0000-0000-000023010000}"/>
    <hyperlink ref="E200" r:id="rId291" display="https://likumi.lv/ta/id/327761-par-finansu-lidzeklu-pieskirsanu-no-valsts-budzeta-programmas-lidzekli-neparedzetiem-gadijumiem" xr:uid="{00000000-0004-0000-0000-000024010000}"/>
    <hyperlink ref="E201" r:id="rId292" display="https://likumi.lv/ta/id/328033-par-apropriacijas-palielinasanu-veselibas-ministrijai" xr:uid="{00000000-0004-0000-0000-000025010000}"/>
    <hyperlink ref="E205" r:id="rId293" display="https://likumi.lv/ta/id/328040-par-apropriacijas-palielinasanu-veselibas-ministrijai" xr:uid="{00000000-0004-0000-0000-000026010000}"/>
    <hyperlink ref="E202" r:id="rId294" display="https://likumi.lv/ta/id/328027-par-finansu-lidzeklu-pieskirsanu-no-valsts-budzeta-programmas-lidzekli-neparedzetiem-gadijumiem" xr:uid="{00000000-0004-0000-0000-000027010000}"/>
    <hyperlink ref="E102" r:id="rId295" display="https://likumi.lv/ta/id/326629-par-atbalstitajiem-pasvaldibu-investiciju-projektiem-valsts-aizdevumu-pieskirsanai-covid-19-izraisitas-krizes-seku-mazinasanai" xr:uid="{00000000-0004-0000-0000-000028010000}"/>
    <hyperlink ref="E103" r:id="rId296" display="https://likumi.lv/ta/id/327218-par-atbalstitajiem-pasvaldibu-investiciju-projektiem-valsts-aizdevumu-pieskirsanai-covid-19-izraisitas-krizes-seku-mazinasanai" xr:uid="{00000000-0004-0000-0000-000029010000}"/>
    <hyperlink ref="E447" r:id="rId297" display="https://likumi.lv/ta/id/328024-par-finansu-lidzeklu-pieskirsanu-no-valsts-budzeta-programmaslidzekli-neparedzetiem-gadijumiem" xr:uid="{00000000-0004-0000-0000-00002A010000}"/>
    <hyperlink ref="E461" r:id="rId298" xr:uid="{00000000-0004-0000-0000-00002B010000}"/>
    <hyperlink ref="E460" r:id="rId299" xr:uid="{00000000-0004-0000-0000-00002C010000}"/>
    <hyperlink ref="E459" r:id="rId300" xr:uid="{00000000-0004-0000-0000-00002D010000}"/>
    <hyperlink ref="E482" r:id="rId301" display="https://likumi.lv/ta/id/327744-par-finansu-lidzeklu-pieskirsanu-no-valsts-budzeta-programmas-lidzekli-neparedzetiem-gadijumiem" xr:uid="{00000000-0004-0000-0000-00002E010000}"/>
    <hyperlink ref="E389" r:id="rId302" display="https://likumi.lv/ta/id/327589-par-finansu-lidzeklu-pieskirsanu-no-valsts-budzeta-programmas-lidzekli-neparedzetiem-gadijumiem" xr:uid="{00000000-0004-0000-0000-00002F010000}"/>
    <hyperlink ref="E388" r:id="rId303" display="https://likumi.lv/ta/id/327589-par-finansu-lidzeklu-pieskirsanu-no-valsts-budzeta-programmas-lidzekli-neparedzetiem-gadijumiem" xr:uid="{00000000-0004-0000-0000-000030010000}"/>
    <hyperlink ref="E448" r:id="rId304" display="https://likumi.lv/ta/id/328023-par-finansu-lidzeklu-pieskirsanu-no-valsts-budzeta-programmas-lidzekli-neparedzetiem-gadijumiem" xr:uid="{00000000-0004-0000-0000-000031010000}"/>
    <hyperlink ref="E381" r:id="rId305" display="https://likumi.lv/ta/id/326215-par-finansu-lidzeklu-pieskirsanu-no-valsts-budzeta-programmas-lidzekli-neparedzetiem-gadijumiem" xr:uid="{00000000-0004-0000-0000-000032010000}"/>
    <hyperlink ref="E490" r:id="rId306" display="https://likumi.lv/ta/id/327527-par-finansu-lidzeklu-pieskirsanu-no-valsts-budzeta-programmas-lidzekli-neparedzetiem-gadijumiem" xr:uid="{00000000-0004-0000-0000-000033010000}"/>
    <hyperlink ref="E207" r:id="rId307" display="https://likumi.lv/ta/id/328039-par-finansu-lidzeklu-pieskirsanu-no-valsts-budzeta-programmas-lidzekli-neparedzetiem-gadijumiem" xr:uid="{00000000-0004-0000-0000-000034010000}"/>
    <hyperlink ref="E208" r:id="rId308" display="https://likumi.lv/ta/id/326813-par-finansu-lidzeklu-pieskirsanu-no-valsts-budzeta-programmas-lidzekli-neparedzetiem-gadijumiem" xr:uid="{00000000-0004-0000-0000-000035010000}"/>
    <hyperlink ref="E209" r:id="rId309" display="https://tapportals.mk.gov.lv/meetings/protocols/a4e0d281-9a87-4959-b3ed-b8a0fbed0a55" xr:uid="{00000000-0004-0000-0000-000036010000}"/>
    <hyperlink ref="E434" r:id="rId310" xr:uid="{00000000-0004-0000-0000-000037010000}"/>
    <hyperlink ref="E433" r:id="rId311" xr:uid="{00000000-0004-0000-0000-000038010000}"/>
    <hyperlink ref="E432" r:id="rId312" xr:uid="{00000000-0004-0000-0000-000039010000}"/>
    <hyperlink ref="E430" r:id="rId313" display="https://likumi.lv/ta/id/328015-par-finansu-lidzeklu-pieskirsanu-no-valsts-budzeta-programmas-lidzekli-neparedzetiem-gadijumiem" xr:uid="{00000000-0004-0000-0000-00003A010000}"/>
    <hyperlink ref="E338" r:id="rId314" xr:uid="{00000000-0004-0000-0000-00003B010000}"/>
    <hyperlink ref="E474" r:id="rId315" xr:uid="{00000000-0004-0000-0000-00003C010000}"/>
    <hyperlink ref="E475" r:id="rId316" display="https://likumi.lv/ta/id/327899-noteikumi-par-atbalstu-covid-19-krizes-skartajiem-tirdzniecibas-un-sporta-centriem-un-kulturas-atputas-un-izklaides-vietam" xr:uid="{00000000-0004-0000-0000-00003D010000}"/>
    <hyperlink ref="E339" r:id="rId317" display="https://likumi.lv/ta/id/328443-par-finansu-lidzeklu-pieskirsanu-no-valsts-budzeta-programmas-lidzekli-neparedzetiem-gadijumiem" xr:uid="{00000000-0004-0000-0000-00003E010000}"/>
    <hyperlink ref="E203" r:id="rId318" display="https://likumi.lv/ta/id/328030-par-finansu-lidzeklu-pieskirsanu-no-valsts-budzeta-programmas-lidzekli-neparedzetiem-gadijumiem" xr:uid="{00000000-0004-0000-0000-00003F010000}"/>
    <hyperlink ref="E219" r:id="rId319" display="https://tapportals.mk.gov.lv/legal_acts/f788829b-9593-4706-ba5b-f4f645572a14" xr:uid="{00000000-0004-0000-0000-000040010000}"/>
    <hyperlink ref="E156" r:id="rId320" display="MK rīk. Nr.100 &quot;Par finanšu līdzekļu piešķiršanu no valsts budžeta programmas &quot;Līdzekļi neparedzētiem gadījumiem&quot;&quot;" xr:uid="{00000000-0004-0000-0000-000041010000}"/>
    <hyperlink ref="E449" r:id="rId321" display="https://likumi.lv/ta/id/328254-par-finansu-lidzeklu-pieskirsanu-no-valsts-budzeta-programmaslidzekli-neparedzetiem-gadijumiem" xr:uid="{00000000-0004-0000-0000-000042010000}"/>
    <hyperlink ref="E74" r:id="rId322" display="https://likumi.lv/ta/id/329092-par-finansu-lidzeklu-pieskirsanu-no-valsts-budzeta-programmas-lidzekli-neparedzetiem-gadijumiem" xr:uid="{00000000-0004-0000-0000-000043010000}"/>
    <hyperlink ref="E450" r:id="rId323" display="https://likumi.lv/ta/id/329143-par-finansu-lidzeklu-pieskirsanu-no-valsts-budzeta-programmas-lidzekli-neparedzetiem-gadijumiem" xr:uid="{00000000-0004-0000-0000-000044010000}"/>
    <hyperlink ref="E220" r:id="rId324" display="https://tapportals.mk.gov.lv/meetings/protocols/d5a852c0-a7fc-44d2-9aa0-a9c70df6890c" xr:uid="{00000000-0004-0000-0000-000045010000}"/>
    <hyperlink ref="E92" r:id="rId325" xr:uid="{00000000-0004-0000-0000-000046010000}"/>
    <hyperlink ref="E93" r:id="rId326" xr:uid="{00000000-0004-0000-0000-000047010000}"/>
    <hyperlink ref="E382" r:id="rId327" display="https://likumi.lv/ta/id/326819-par-finansu-lidzeklu-pieskirsanu-no-valsts-budzeta-programmas-lidzekli-neparedzetiem-gadijumiem" xr:uid="{00000000-0004-0000-0000-000048010000}"/>
    <hyperlink ref="E451" r:id="rId328" display="https://m.likumi.lv/ta/id/329090-par-finansu-lidzeklu-pieskirsanu-no-valsts-budzeta-programmaslidzekli-neparedzetiem-gadijumiem" xr:uid="{00000000-0004-0000-0000-00004A010000}"/>
    <hyperlink ref="E221" r:id="rId329" display="https://likumi.lv/ta/id/329448-par-finansu-lidzeklu-pieskirsanu-no-valsts-budzeta-programmas-lidzekli-neparedzetiem-gadijumiem" xr:uid="{00000000-0004-0000-0000-00004B010000}"/>
    <hyperlink ref="E222" r:id="rId330" display="https://likumi.lv/ta/id/329599-par-finansu-lidzeklu-pieskirsanu-no-valsts-budzeta-programmas-lidzekli-neparedzetiem-gadijumiem" xr:uid="{00000000-0004-0000-0000-00004C010000}"/>
    <hyperlink ref="E223" r:id="rId331" display="https://www.vestnesis.lv/op/2022/24.16" xr:uid="{00000000-0004-0000-0000-00004D010000}"/>
    <hyperlink ref="E483" r:id="rId332" display="https://likumi.lv/ta/id/328231-par-finansu-lidzeklu-pieskirsanu-no-valsts-budzeta-programmas-lidzekli-neparedzetiem-gadijumiem" xr:uid="{00000000-0004-0000-0000-00004E010000}"/>
    <hyperlink ref="E224" r:id="rId333" display="https://tapportals.mk.gov.lv/structuralizer/data/nodes/f89b42f5-b5c8-43a3-969d-229a120e977e/preview" xr:uid="{00000000-0004-0000-0000-00004F010000}"/>
    <hyperlink ref="E181" r:id="rId334" display="https://www.vestnesis.lv/op/2022/30.17" xr:uid="{00000000-0004-0000-0000-000050010000}"/>
    <hyperlink ref="E347" r:id="rId335" display="MK 14.04.2020 TA-602" xr:uid="{00000000-0004-0000-0000-000051010000}"/>
    <hyperlink ref="E225" r:id="rId336" display="https://tapportals.mk.gov.lv/structuralizer/data/nodes/a56b2b25-048b-40fc-b546-5617559d18d6/preview" xr:uid="{00000000-0004-0000-0000-000053010000}"/>
    <hyperlink ref="E226" r:id="rId337" display="https://likumi.lv/ta/id/329606-par-finansu-lidzeklu-pieskirsanu-no-valsts-budzeta-programmas-lidzekli-neparedzetiem-gadijumiem" xr:uid="{00000000-0004-0000-0000-000054010000}"/>
    <hyperlink ref="E489" r:id="rId338" display="https://likumi.lv/ta/id/329597-par-finansu-lidzeklu-pieskirsanu-no-valsts-budzeta-programmas-lidzekli-neparedzetiem-gadijumiem" xr:uid="{00000000-0004-0000-0000-000055010000}"/>
    <hyperlink ref="E348" r:id="rId339" display="MK 14.04.2020 TA-602" xr:uid="{00000000-0004-0000-0000-000056010000}"/>
    <hyperlink ref="E452" r:id="rId340" display="https://likumi.lv/ta/id/329607-par-finansu-lidzeklu-pieskirsanu-no-valsts-budzeta-programmas-lidzekli-neparedzetiem-gadijumiem" xr:uid="{00000000-0004-0000-0000-000057010000}"/>
    <hyperlink ref="E312" r:id="rId341" display="https://likumi.lv/ta/id/327584-par-finansu-lidzeklu-pieskirsanu-no-valsts-budzeta-programmas-lidzekli-neparedzetiem-gadijumiem" xr:uid="{00000000-0004-0000-0000-000058010000}"/>
    <hyperlink ref="E469" r:id="rId342" xr:uid="{00000000-0004-0000-0000-000059010000}"/>
    <hyperlink ref="E470" r:id="rId343" xr:uid="{00000000-0004-0000-0000-00005A010000}"/>
    <hyperlink ref="E453" r:id="rId344" display="https://m.likumi.lv/ta/id/330233-par-finansu-lidzeklu-pieskirsanu-no-valsts-budzeta-programmaslidzekli-neparedzetiem-gadijumiem" xr:uid="{00000000-0004-0000-0000-00005B010000}"/>
    <hyperlink ref="E313" r:id="rId345" xr:uid="{00000000-0004-0000-0000-00005C010000}"/>
    <hyperlink ref="E315" r:id="rId346" display="https://likumi.lv/ta/id/331406-par-finansu-lidzeklu-pieskirsanu-no-valsts-budzeta-programmas-lidzekli-neparedzetiem-gadijumiem" xr:uid="{00000000-0004-0000-0000-00005D010000}"/>
    <hyperlink ref="E454" r:id="rId347" display="https://tapportals.mk.gov.lv/structuralizer/data/nodes/450f5105-7692-4330-82b7-6e6a0f24294e/preview" xr:uid="{00000000-0004-0000-0000-00005E010000}"/>
    <hyperlink ref="E455" r:id="rId348" display="https://likumi.lv/ta/id/330821-par-finansu-lidzeklu-pieskirsanu-no-valsts-budzeta-programmaslidzekli-neparedzetiem-gadijumiem" xr:uid="{00000000-0004-0000-0000-00005F010000}"/>
    <hyperlink ref="E228" r:id="rId349" display="https://www.vestnesis.lv/op/2022/39.26" xr:uid="{00000000-0004-0000-0000-000060010000}"/>
    <hyperlink ref="E229" r:id="rId350" display="https://tapportals.mk.gov.lv/annotation/47dc02aa-cabf-4bf5-9fea-add392e72793" xr:uid="{00000000-0004-0000-0000-000061010000}"/>
    <hyperlink ref="E230" r:id="rId351" display="https://tapportals.mk.gov.lv/structuralizer/data/nodes/5fde73da-d851-4c13-801d-8a4bedcce5f5/preview" xr:uid="{00000000-0004-0000-0000-000062010000}"/>
    <hyperlink ref="E232" r:id="rId352" display="https://likumi.lv/ta/id/330811" xr:uid="{00000000-0004-0000-0000-000063010000}"/>
    <hyperlink ref="E233" r:id="rId353" display="https://likumi.lv/ta/id/330812" xr:uid="{00000000-0004-0000-0000-000064010000}"/>
    <hyperlink ref="E234" r:id="rId354" xr:uid="{00000000-0004-0000-0000-000065010000}"/>
    <hyperlink ref="E237" r:id="rId355" display="https://likumi.lv/ta/id/331014-par-finansu-lidzeklu-pieskirsanu-no-valsts-budzeta-programmas-lidzekli-neparedzetiem-gadijumiem" xr:uid="{00000000-0004-0000-0000-000066010000}"/>
    <hyperlink ref="E238" r:id="rId356" display="https://likumi.lv/ta/id/331016-par-finansu-lidzeklu-pieskirsanu-no-valsts-budzeta-programmas-lidzekli-neparedzetiem-gadijumiem" xr:uid="{00000000-0004-0000-0000-000067010000}"/>
    <hyperlink ref="E239" r:id="rId357" display="https://likumi.lv/ta/id/331017-par-finansu-lidzeklu-pieskirsanu-no-valsts-budzeta-programmas-lidzekli-neparedzetiem-gadijumiem" xr:uid="{00000000-0004-0000-0000-000068010000}"/>
    <hyperlink ref="E240" r:id="rId358" display="https://likumi.lv/ta/id/331210-par-finansu-lidzeklu-pieskirsanu-no-valsts-budzeta-programmas-lidzekli-neparedzetiem-gadijumiem" xr:uid="{00000000-0004-0000-0000-000069010000}"/>
    <hyperlink ref="E484" r:id="rId359" display="https://likumi.lv/ta/id/329961-par-finansu-lidzeklu-pieskirsanu-no-valsts-budzeta-programmas-lidzekli-neparedzetiem-gadijumiem" xr:uid="{00000000-0004-0000-0000-00006A010000}"/>
    <hyperlink ref="E314" r:id="rId360" display="https://tapportals.mk.gov.lv/structuralizer/data/nodes/b9d30727-0210-474b-92ff-031949118671/preview" xr:uid="{00000000-0004-0000-0000-00006C010000}"/>
    <hyperlink ref="E341" r:id="rId361" display="https://m.likumi.lv/ta/id/330054-par-finansu-lidzeklu-pieskirsanu-no-valsts-budzeta-programmas-lidzekli-neparedzetiem-gadijumiem" xr:uid="{00000000-0004-0000-0000-00006D010000}"/>
    <hyperlink ref="E456" r:id="rId362" display="https://likumi.lv/ta/id/331223-par-finansu-lidzeklu-pieskirsanu-no-valsts-budzeta-programmaslidzekli-neparedzetiem-gadijumiem" xr:uid="{00000000-0004-0000-0000-00006E010000}"/>
    <hyperlink ref="E241" r:id="rId363" display="https://likumi.lv/ta/id/331664-par-finansu-lidzeklu-pieskirsanu-no-valsts-budzeta-programmas-lidzekli-neparedzetiem-gadijumiem" xr:uid="{00000000-0004-0000-0000-000070010000}"/>
    <hyperlink ref="E236" r:id="rId364" xr:uid="{00000000-0004-0000-0000-000071010000}"/>
    <hyperlink ref="E217" r:id="rId365" xr:uid="{00000000-0004-0000-0000-000072010000}"/>
    <hyperlink ref="E242" r:id="rId366" display="https://likumi.lv/ta/id/331764-par-finansu-lidzeklu-pieskirsanu-no-valsts-budzeta-programmas-lidzekli-neparedzetiem-gadijumiem" xr:uid="{00000000-0004-0000-0000-000073010000}"/>
    <hyperlink ref="E431" r:id="rId367" xr:uid="{00000000-0004-0000-0000-000075010000}"/>
    <hyperlink ref="E104" r:id="rId368" display="https://likumi.lv/ta/id/328010-par-atbalstitajiem-pasvaldibu-investiciju-projektiem-valsts-aizdevumu-pieskirsanai-covid-19-izraisitas-krizes-seku-mazinasanai" xr:uid="{00000000-0004-0000-0000-000076010000}"/>
    <hyperlink ref="E383" r:id="rId369" display="https://likumi.lv/ta/id/329513-par-finansu-lidzeklu-pieskirsanu-no-valsts-budzeta-programmas-lidzekli-neparedzetiem-gadijumiem" xr:uid="{EF275E56-9DE1-4826-895B-BC67384EAACA}"/>
    <hyperlink ref="E385" r:id="rId370" display="https://www.vestnesis.lv/op/2022/116.7" xr:uid="{141B816A-637D-462F-9B6D-75332AECF10D}"/>
    <hyperlink ref="E342" r:id="rId371" display="https://likumi.lv/ta/id/331651-par-finansu-lidzeklu-pieskirsanu-no-valsts-budzeta-programmas-lidzekli-neparedzetiem-gadijumiem" xr:uid="{454AF5F8-F3C7-4FF3-B0FA-9AA4F30221EC}"/>
    <hyperlink ref="E244" r:id="rId372" display="https://likumi.lv/ta/id/332071-par-finansu-lidzeklu-pieskirsanu-no-valsts-budzeta-programmas-lidzekli-neparedzetiem-gadijumiem" xr:uid="{EA5760CA-82E8-4432-A332-72E43EB803D8}"/>
    <hyperlink ref="E279" r:id="rId373" display="https://likumi.lv/ta/id/327375-par-finansu-lidzeklu-pieskirsanu-no-valsts-budzeta-programmas-02-00-00-lidzekli-neparedzetiem-gadijumiem" xr:uid="{B03A4B94-ED96-491B-B8F1-52BCB72FE967}"/>
    <hyperlink ref="E245" r:id="rId374" display="https://likumi.lv/ta/id/331199-par-finansu-lidzeklu-pieskirsanu-no-valsts-budzeta-programmas-lidzekli-neparedzetiem-gadijumiem" xr:uid="{219E1659-3BE0-44CD-9CB8-40FED51E939F}"/>
    <hyperlink ref="E485" r:id="rId375" display="https://likumi.lv/ta/id/331430-par-finansu-lidzeklu-pieskirsanu-no-valsts-budzeta-programmas-lidzekli-neparedzetiem-gadijumiem" xr:uid="{77353743-4B5E-4B37-827D-423BAF8F2D88}"/>
    <hyperlink ref="E486" r:id="rId376" display="https://likumi.lv/ta/id/332677-par-finansu-lidzeklu-pieskirsanu-no-valsts-budzeta-programmas-lidzekli-neparedzetiem-gadijumiem" xr:uid="{03094F92-3BDB-413D-9492-24594ECB1DEA}"/>
    <hyperlink ref="E105" r:id="rId377" display="https://tapportals.mk.gov.lv/structuralizer/data/nodes/aa2056a0-d1b7-4244-9b27-1fbb0c6409b5/preview" xr:uid="{121BE54C-77ED-48AF-8281-42306D85E7C7}"/>
    <hyperlink ref="E457" r:id="rId378" display="https://likumi.lv/ta/id/331673-par-finansu-lidzeklu-pieskirsanu-no-valsts-budzeta-programmaslidzekli-neparedzetiem-gadijumiem" xr:uid="{5846C8A1-B649-4CEC-A909-FDAE09794DAB}"/>
    <hyperlink ref="E458" r:id="rId379" display="https://m.likumi.lv/ta/id/332669-par-finansu-lidzeklu-pieskirsanu-no-valsts-budzeta-programmaslidzekli-neparedzetiem-gadijumiem" xr:uid="{C91AC26D-5F34-4E34-B601-EDDCEBCAB231}"/>
    <hyperlink ref="E270" r:id="rId380" xr:uid="{89575E32-D8F5-4CBB-8E68-F375DC08AF7B}"/>
    <hyperlink ref="E384" r:id="rId381" display="MK 18.03.2022 sēdes prot. Nr. 28., https://tap.mk.gov.lv/mk/mksedes/saraksts/protokols/?protokols=2021-03-18" xr:uid="{3802A114-A7C5-424D-80F3-6B96E591414D}"/>
    <hyperlink ref="E243" r:id="rId382" display="https://likumi.lv/ta/id/331944-par-finansu-lidzeklu-pieskirsanu-no-valsts-budzeta-programmas-lidzekli-neparedzetiem-gadijumiem" xr:uid="{D90B9E87-E493-4208-9D72-17FDC32D0F2C}"/>
    <hyperlink ref="E246" r:id="rId383" display="https://likumi.lv/ta/id/332495-par-finansu-lidzeklu-pieskirsanu-no-valsts-budzeta-programmas-lidzekli-neparedzetiem-gadijumiem" xr:uid="{BD9295AF-7DEE-4F46-A2FD-4D24CF813A13}"/>
    <hyperlink ref="E247" r:id="rId384" display="https://likumi.lv/ta/id/332880-par-finansu-lidzeklu-pieskirsanu-no-valsts-budzeta-programmas-lidzekli-neparedzetiem-gadijumiem" xr:uid="{24D8B706-387A-4B0A-BE3F-C3564E81AD3D}"/>
    <hyperlink ref="E248" r:id="rId385" display="https://likumi.lv/ta/id/334045-par-finansu-lidzeklu-pieskirsanu-no-valsts-budzeta-programmas-lidzekli-neparedzetiem-gadijumiem" xr:uid="{19D78568-DBB9-4497-87CC-762153CBE6D2}"/>
    <hyperlink ref="E343" r:id="rId386" display="https://likumi.lv/ta/id/329604-par-finansu-lidzeklu-pieskirsanu-no-valsts-budzeta-programmas-lidzekli-neparedzetiem-gadijumiem" xr:uid="{168A5647-5D03-44E4-B23F-A5FD75D1570C}"/>
    <hyperlink ref="E345" r:id="rId387" display="https://tapportals.mk.gov.lv/structuralizer/data/nodes/d7f85dd9-6254-49a5-b03b-80dd6354a4ae/preview" xr:uid="{A43B73DF-6427-4C2A-853C-C409111DA2E1}"/>
    <hyperlink ref="E350" r:id="rId388" display="https://likumi.lv/ta/id/334699-par-finansu-lidzeklu-pieskirsanu-no-valsts-budzeta-programmas-lidzekli-neparedzetiem-gadijumiem" xr:uid="{791449BD-1D03-432A-A5C3-4CFE0B342342}"/>
    <hyperlink ref="E249" r:id="rId389" display="https://likumi.lv/ta/id/334045-par-finansu-lidzeklu-pieskirsanu-no-valsts-budzeta-programmas-lidzekli-neparedzetiem-gadijumiem" xr:uid="{857C7C23-DD98-4C0C-992D-CE2239D1DEFC}"/>
    <hyperlink ref="E206" r:id="rId390" xr:uid="{D7BF0266-6FD7-470F-967A-2F818355DD8C}"/>
    <hyperlink ref="E250" r:id="rId391" display="https://www.vestnesis.lv/op/2022/130.23" xr:uid="{2FD1E7E8-4E26-42B0-A4CB-67858E935CA9}"/>
    <hyperlink ref="E251" r:id="rId392" display="https://likumi.lv/ta/id/335324-par-finansu-lidzeklu-pieskirsanu-no-valsts-budzeta-programmas-lidzekli-neparedzetiem-gadijumiem" xr:uid="{C176D0E1-A759-4FEA-8C43-279A14AFD08D}"/>
    <hyperlink ref="E252" r:id="rId393" display="https://tapportals.mk.gov.lv/structuralizer/data/nodes/d8aac442-7340-417d-a7a5-f5d1b58e6533/preview" xr:uid="{E865B597-9578-4F71-9709-E83247312A09}"/>
    <hyperlink ref="E344" r:id="rId394" display="https://tapportals.mk.gov.lv/structuralizer/data/nodes/83d65707-3bf9-4a4e-a3a4-972bdf97a3f4/preview" xr:uid="{82C466EC-8120-4632-872C-6C8A7015D5DA}"/>
    <hyperlink ref="E253" r:id="rId395" display="https://tapportals.mk.gov.lv/structuralizer/data/nodes/874cb006-dcd1-47bf-b872-074b8a8d7ccc/preview" xr:uid="{921C1101-3D1B-4967-A37D-376425194AD0}"/>
    <hyperlink ref="E254" r:id="rId396" display="https://www.vestnesis.lv/op/2022/190.7" xr:uid="{A4A2923F-F8CD-401B-B28C-2B8426F1893A}"/>
    <hyperlink ref="E255" r:id="rId397" display="https://tapportals.mk.gov.lv/structuralizer/data/nodes/87b021a5-ccf0-485f-97c1-3385e798a528/preview" xr:uid="{E996255F-D78F-4AB9-8D27-35241A60E072}"/>
    <hyperlink ref="E256" r:id="rId398" display="https://tapportals.mk.gov.lv/structuralizer/data/nodes/5bf7ff40-83f8-40ef-b3f1-8252ce7d1502/preview" xr:uid="{9644950C-F4F6-4419-B942-8CEC2FDDF11B}"/>
    <hyperlink ref="F105" r:id="rId399" xr:uid="{A73A5F4D-193F-4E26-93BD-830EA890AA65}"/>
    <hyperlink ref="E257" r:id="rId400" display="https://tapportals.mk.gov.lv/structuralizer/data/nodes/5bf7ff40-83f8-40ef-b3f1-8252ce7d1502/preview" xr:uid="{2ABB6DAB-D2A1-4070-98F0-272DCFEDAC62}"/>
    <hyperlink ref="E258" r:id="rId401" display="https://likumi.lv/ta/id/337979-par-finansu-lidzeklu-pieskirsanu-no-valsts-budzeta-programmas-lidzekli-neparedzetiem-gadijumiem" xr:uid="{2F8F81B3-26BD-4B2B-BE8A-041B5E3D5D92}"/>
    <hyperlink ref="E259" r:id="rId402" display="https://likumi.lv/ta/id/337985-par-finansu-lidzeklu-pieskirsanu-no-valsts-budzeta-programmas-lidzekli-neparedzetiem-gadijumiem" xr:uid="{8D8B1767-740D-475A-A398-DE34373224C7}"/>
    <hyperlink ref="E260" r:id="rId403" display="https://likumi.lv/ta/id/338252-par-finansu-lidzeklu-pieskirsanu-no-valsts-budzeta-programmas-lidzekli-neparedzetiem-gadijumiem" xr:uid="{54D61F12-D04B-49B4-9299-1F800BF27E4D}"/>
    <hyperlink ref="E261" r:id="rId404" display="https://likumi.lv/ta/id/337369-par-finansu-lidzeklu-pieskirsanu-no-valsts-budzeta-programmas-lidzekli-neparedzetiem-gadijumiem" xr:uid="{937003B6-39FF-4DD7-B9A3-A2DDEA28940D}"/>
  </hyperlinks>
  <pageMargins left="0.7" right="0.7" top="0.75" bottom="0.75" header="0.3" footer="0.3"/>
  <pageSetup scale="38" orientation="landscape" r:id="rId405"/>
  <ignoredErrors>
    <ignoredError sqref="AD12 T37:U37 AS37 W78:X78 Z78:AB78 W80:X80 Z80:AC80 AR80 AS42:AS44 T46:U46 AS46 AS49:AS51 L50:L51 X50 AC50 N82 W82:X82 Z82:AB82 O84:P84 N86 T86:U87 T263:U263 AS263 T281:U281 AS281 X311 T316:U316 AS316 T346:U346 AS346 T351:U351 AS351 T386:U386 AS386 T42:U44 X43 N50:N51 T390:U390 AS390 K49:P49 K21:K26 K78:K87 AC175:AF175 K42:P44 W86:X86 AB86:AC86 AD178 X210 AC383 K51 M51 T55:U55 AS55 P94 AS94 K94 T49:U51 K55:P55 O51:P51 K390:P390 K386:P386 K351:P351 K346:P346 L316:P316 K281:P281 K263:P263 K46:P46 K37:P37 R55 R51 R390 R49 R42:R44 R386 R351 R346 R316 R281 R263 R46 R37" formula="1"/>
  </ignoredErrors>
  <legacyDrawing r:id="rId40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50"/>
  <sheetViews>
    <sheetView topLeftCell="A17" zoomScale="70" zoomScaleNormal="70" workbookViewId="0">
      <selection activeCell="B20" sqref="B20"/>
    </sheetView>
  </sheetViews>
  <sheetFormatPr defaultColWidth="9.1796875" defaultRowHeight="14.5" outlineLevelRow="1" outlineLevelCol="1" x14ac:dyDescent="0.35"/>
  <cols>
    <col min="1" max="1" width="6.54296875" customWidth="1"/>
    <col min="2" max="2" width="18.1796875" customWidth="1"/>
    <col min="3" max="3" width="11.1796875" customWidth="1"/>
    <col min="4" max="4" width="31.81640625" customWidth="1"/>
    <col min="5" max="5" width="49" customWidth="1"/>
    <col min="6" max="6" width="13.1796875" style="2" hidden="1" customWidth="1" outlineLevel="1"/>
    <col min="7" max="7" width="12.81640625" style="2" customWidth="1" collapsed="1"/>
    <col min="8" max="9" width="12.1796875" style="2" customWidth="1"/>
    <col min="10" max="10" width="9.1796875" style="2" customWidth="1" collapsed="1"/>
    <col min="11" max="11" width="13.54296875" style="2" hidden="1" customWidth="1" outlineLevel="1"/>
    <col min="12" max="12" width="9.1796875" style="2" customWidth="1" collapsed="1"/>
    <col min="13" max="14" width="9.1796875" style="2" customWidth="1"/>
    <col min="15" max="15" width="10.81640625" customWidth="1"/>
    <col min="16" max="16" width="12.81640625" customWidth="1"/>
    <col min="17" max="17" width="13.54296875" hidden="1" customWidth="1" outlineLevel="1"/>
    <col min="18" max="18" width="9" customWidth="1" collapsed="1"/>
    <col min="19" max="19" width="9" customWidth="1"/>
    <col min="20" max="20" width="13.81640625" customWidth="1"/>
    <col min="21" max="21" width="9" customWidth="1"/>
    <col min="22" max="22" width="9" hidden="1" customWidth="1" outlineLevel="1"/>
    <col min="23" max="23" width="13.54296875" hidden="1" customWidth="1" outlineLevel="1"/>
    <col min="24" max="24" width="10.1796875" customWidth="1" collapsed="1"/>
    <col min="25" max="25" width="10.81640625" customWidth="1"/>
    <col min="26" max="26" width="14.81640625" customWidth="1"/>
    <col min="27" max="27" width="9.1796875" customWidth="1"/>
    <col min="28" max="28" width="9.1796875" hidden="1" customWidth="1" outlineLevel="1"/>
    <col min="29" max="29" width="17.54296875" style="4" customWidth="1" collapsed="1"/>
    <col min="30" max="30" width="15" style="4" customWidth="1"/>
    <col min="31" max="31" width="88.1796875" customWidth="1"/>
  </cols>
  <sheetData>
    <row r="1" spans="1:31" ht="18.5" x14ac:dyDescent="0.45">
      <c r="A1" s="30" t="s">
        <v>1407</v>
      </c>
      <c r="B1" s="30"/>
      <c r="C1" s="30"/>
      <c r="D1" s="30"/>
      <c r="E1" s="1213"/>
      <c r="F1" s="1213"/>
      <c r="G1" s="1213"/>
      <c r="H1" s="1213"/>
      <c r="I1" s="1213"/>
      <c r="J1" s="1213"/>
      <c r="K1" s="1213"/>
      <c r="L1" s="1213"/>
      <c r="M1" s="1213"/>
      <c r="N1" s="1213"/>
      <c r="O1" s="1213"/>
      <c r="P1" s="1213"/>
      <c r="Q1" s="1213"/>
      <c r="R1" s="1213"/>
      <c r="S1" s="1213"/>
      <c r="T1" s="1213"/>
      <c r="U1" s="1213"/>
      <c r="V1" s="1213"/>
      <c r="W1" s="1213"/>
      <c r="X1" s="1213"/>
      <c r="Y1" s="1213"/>
      <c r="Z1" s="1213"/>
      <c r="AA1" s="1213"/>
      <c r="AB1" s="1213"/>
      <c r="AC1" s="1213"/>
      <c r="AD1" s="196"/>
      <c r="AE1" s="31"/>
    </row>
    <row r="2" spans="1:31" ht="21.5" thickBot="1" x14ac:dyDescent="0.4">
      <c r="A2" s="1214" t="s">
        <v>730</v>
      </c>
      <c r="B2" s="1214"/>
      <c r="C2" s="1214"/>
      <c r="D2" s="1214"/>
      <c r="E2" s="1214"/>
      <c r="F2" s="1214"/>
      <c r="G2" s="1214"/>
      <c r="H2" s="1214"/>
      <c r="I2" s="1214"/>
      <c r="J2" s="1214"/>
      <c r="K2" s="1214"/>
      <c r="L2" s="1214"/>
      <c r="M2" s="1214"/>
      <c r="N2" s="1214"/>
      <c r="O2" s="1214"/>
      <c r="P2" s="1214"/>
      <c r="Q2" s="1214"/>
      <c r="R2" s="1214"/>
      <c r="S2" s="1214"/>
      <c r="T2" s="1214"/>
      <c r="U2" s="1214"/>
      <c r="V2" s="1214"/>
      <c r="W2" s="1214"/>
      <c r="X2" s="1214"/>
      <c r="Y2" s="1214"/>
      <c r="Z2" s="1214"/>
      <c r="AA2" s="1214"/>
      <c r="AB2" s="1214"/>
      <c r="AC2" s="1214"/>
      <c r="AD2" s="1214"/>
      <c r="AE2" s="1214"/>
    </row>
    <row r="3" spans="1:31" ht="15.75" customHeight="1" x14ac:dyDescent="0.35">
      <c r="A3" s="1215" t="s">
        <v>372</v>
      </c>
      <c r="B3" s="1113" t="s">
        <v>15</v>
      </c>
      <c r="C3" s="1113" t="s">
        <v>731</v>
      </c>
      <c r="D3" s="1113" t="s">
        <v>81</v>
      </c>
      <c r="E3" s="1113" t="s">
        <v>14</v>
      </c>
      <c r="F3" s="1382" t="s">
        <v>732</v>
      </c>
      <c r="G3" s="1383"/>
      <c r="H3" s="1383"/>
      <c r="I3" s="1384"/>
      <c r="J3" s="1382" t="s">
        <v>733</v>
      </c>
      <c r="K3" s="1383"/>
      <c r="L3" s="1383"/>
      <c r="M3" s="1383"/>
      <c r="N3" s="1384"/>
      <c r="O3" s="1113" t="s">
        <v>734</v>
      </c>
      <c r="P3" s="1373" t="s">
        <v>370</v>
      </c>
      <c r="Q3" s="1374"/>
      <c r="R3" s="1374"/>
      <c r="S3" s="1374"/>
      <c r="T3" s="1374"/>
      <c r="U3" s="1374"/>
      <c r="V3" s="1374"/>
      <c r="W3" s="1374"/>
      <c r="X3" s="1374"/>
      <c r="Y3" s="1374"/>
      <c r="Z3" s="1374"/>
      <c r="AA3" s="1374"/>
      <c r="AB3" s="1374"/>
      <c r="AC3" s="1375"/>
      <c r="AD3" s="1113" t="s">
        <v>1409</v>
      </c>
      <c r="AE3" s="1111" t="s">
        <v>174</v>
      </c>
    </row>
    <row r="4" spans="1:31" ht="16.5" customHeight="1" x14ac:dyDescent="0.35">
      <c r="A4" s="1216"/>
      <c r="B4" s="1114"/>
      <c r="C4" s="1114"/>
      <c r="D4" s="1114"/>
      <c r="E4" s="1114"/>
      <c r="F4" s="1385"/>
      <c r="G4" s="1386"/>
      <c r="H4" s="1386"/>
      <c r="I4" s="1387"/>
      <c r="J4" s="1388"/>
      <c r="K4" s="1389"/>
      <c r="L4" s="1389"/>
      <c r="M4" s="1389"/>
      <c r="N4" s="1390"/>
      <c r="O4" s="1114"/>
      <c r="P4" s="1376" t="s">
        <v>735</v>
      </c>
      <c r="Q4" s="1251" t="s">
        <v>307</v>
      </c>
      <c r="R4" s="1252"/>
      <c r="S4" s="1252"/>
      <c r="T4" s="1252"/>
      <c r="U4" s="1252"/>
      <c r="V4" s="1253"/>
      <c r="W4" s="1229" t="s">
        <v>736</v>
      </c>
      <c r="X4" s="1254"/>
      <c r="Y4" s="1254"/>
      <c r="Z4" s="1254"/>
      <c r="AA4" s="1254"/>
      <c r="AB4" s="1230"/>
      <c r="AC4" s="1377" t="s">
        <v>1408</v>
      </c>
      <c r="AD4" s="1114"/>
      <c r="AE4" s="1112"/>
    </row>
    <row r="5" spans="1:31" ht="13.5" customHeight="1" x14ac:dyDescent="0.35">
      <c r="A5" s="1216"/>
      <c r="B5" s="1114"/>
      <c r="C5" s="1114"/>
      <c r="D5" s="1114"/>
      <c r="E5" s="1114"/>
      <c r="F5" s="1226">
        <v>2020</v>
      </c>
      <c r="G5" s="1226"/>
      <c r="H5" s="197">
        <v>2021</v>
      </c>
      <c r="I5" s="197">
        <v>2022</v>
      </c>
      <c r="J5" s="1391" t="s">
        <v>737</v>
      </c>
      <c r="K5" s="1229">
        <v>2020</v>
      </c>
      <c r="L5" s="1230"/>
      <c r="M5" s="197">
        <v>2021</v>
      </c>
      <c r="N5" s="197">
        <v>2022</v>
      </c>
      <c r="O5" s="1114"/>
      <c r="P5" s="1114"/>
      <c r="Q5" s="1232">
        <v>2020</v>
      </c>
      <c r="R5" s="1232"/>
      <c r="S5" s="1251">
        <v>2021</v>
      </c>
      <c r="T5" s="1253"/>
      <c r="U5" s="198">
        <v>2022</v>
      </c>
      <c r="V5" s="198">
        <v>2023</v>
      </c>
      <c r="W5" s="1232">
        <v>2020</v>
      </c>
      <c r="X5" s="1232"/>
      <c r="Y5" s="1251">
        <v>2021</v>
      </c>
      <c r="Z5" s="1253"/>
      <c r="AA5" s="198">
        <v>2022</v>
      </c>
      <c r="AB5" s="198">
        <v>2023</v>
      </c>
      <c r="AC5" s="1378"/>
      <c r="AD5" s="1114"/>
      <c r="AE5" s="1112"/>
    </row>
    <row r="6" spans="1:31" ht="29.25" customHeight="1" thickBot="1" x14ac:dyDescent="0.4">
      <c r="A6" s="1219"/>
      <c r="B6" s="1115"/>
      <c r="C6" s="1115"/>
      <c r="D6" s="1115"/>
      <c r="E6" s="1115"/>
      <c r="F6" s="159" t="s">
        <v>738</v>
      </c>
      <c r="G6" s="46" t="s">
        <v>1240</v>
      </c>
      <c r="H6" s="46" t="s">
        <v>739</v>
      </c>
      <c r="I6" s="46" t="s">
        <v>739</v>
      </c>
      <c r="J6" s="1392"/>
      <c r="K6" s="159" t="s">
        <v>738</v>
      </c>
      <c r="L6" s="46" t="s">
        <v>1240</v>
      </c>
      <c r="M6" s="46" t="s">
        <v>739</v>
      </c>
      <c r="N6" s="46" t="s">
        <v>739</v>
      </c>
      <c r="O6" s="1115"/>
      <c r="P6" s="1115"/>
      <c r="Q6" s="159" t="s">
        <v>738</v>
      </c>
      <c r="R6" s="46" t="s">
        <v>1240</v>
      </c>
      <c r="S6" s="46" t="s">
        <v>739</v>
      </c>
      <c r="T6" s="139" t="s">
        <v>1241</v>
      </c>
      <c r="U6" s="46" t="s">
        <v>739</v>
      </c>
      <c r="V6" s="46" t="s">
        <v>739</v>
      </c>
      <c r="W6" s="159" t="s">
        <v>738</v>
      </c>
      <c r="X6" s="46" t="s">
        <v>1240</v>
      </c>
      <c r="Y6" s="46" t="s">
        <v>739</v>
      </c>
      <c r="Z6" s="139" t="s">
        <v>1241</v>
      </c>
      <c r="AA6" s="46" t="s">
        <v>739</v>
      </c>
      <c r="AB6" s="46" t="s">
        <v>739</v>
      </c>
      <c r="AC6" s="1379"/>
      <c r="AD6" s="1115"/>
      <c r="AE6" s="1250"/>
    </row>
    <row r="7" spans="1:31" ht="17.25" customHeight="1" x14ac:dyDescent="0.35">
      <c r="A7" s="1380" t="s">
        <v>306</v>
      </c>
      <c r="B7" s="1381"/>
      <c r="C7" s="1381"/>
      <c r="D7" s="1381"/>
      <c r="E7" s="140"/>
      <c r="F7" s="160">
        <f t="shared" ref="F7:N7" si="0">F9+F23+F57+F68+F235</f>
        <v>9.4697049478612474E-2</v>
      </c>
      <c r="G7" s="141">
        <f t="shared" si="0"/>
        <v>4.3827658668417716E-2</v>
      </c>
      <c r="H7" s="141">
        <f t="shared" si="0"/>
        <v>0.11119052608936003</v>
      </c>
      <c r="I7" s="141">
        <f t="shared" si="0"/>
        <v>9.3976913372966434E-3</v>
      </c>
      <c r="J7" s="142">
        <f t="shared" si="0"/>
        <v>4999.6946382099995</v>
      </c>
      <c r="K7" s="162">
        <f t="shared" si="0"/>
        <v>2676.1755859999994</v>
      </c>
      <c r="L7" s="142">
        <f t="shared" si="0"/>
        <v>1285.6407146900003</v>
      </c>
      <c r="M7" s="142">
        <f t="shared" si="0"/>
        <v>3405.6433085199997</v>
      </c>
      <c r="N7" s="142">
        <f t="shared" si="0"/>
        <v>308.41061500000001</v>
      </c>
      <c r="O7" s="235"/>
      <c r="P7" s="235"/>
      <c r="Q7" s="164">
        <f t="shared" ref="Q7:AD7" si="1">Q9+Q23+Q57+Q68+Q235</f>
        <v>-4.2898155068454278</v>
      </c>
      <c r="R7" s="143">
        <f t="shared" si="1"/>
        <v>-3.3265331332129082</v>
      </c>
      <c r="S7" s="143">
        <f t="shared" si="1"/>
        <v>-8.0662493296568059</v>
      </c>
      <c r="T7" s="144">
        <f t="shared" si="1"/>
        <v>-6.1819879904322548</v>
      </c>
      <c r="U7" s="143">
        <f t="shared" si="1"/>
        <v>-0.2284366515630285</v>
      </c>
      <c r="V7" s="143">
        <f t="shared" si="1"/>
        <v>-5.037618807666247E-4</v>
      </c>
      <c r="W7" s="164">
        <f t="shared" si="1"/>
        <v>-1209.4705839999997</v>
      </c>
      <c r="X7" s="143">
        <f t="shared" si="1"/>
        <v>-975.80536235800014</v>
      </c>
      <c r="Y7" s="143">
        <f t="shared" si="1"/>
        <v>-2470.3002025119995</v>
      </c>
      <c r="Z7" s="144">
        <f t="shared" si="1"/>
        <v>-1893.1717144000002</v>
      </c>
      <c r="AA7" s="143">
        <f t="shared" si="1"/>
        <v>-74.967654999999993</v>
      </c>
      <c r="AB7" s="142">
        <f t="shared" si="1"/>
        <v>-0.17395199999999988</v>
      </c>
      <c r="AC7" s="145">
        <f t="shared" si="1"/>
        <v>-970.83672875999991</v>
      </c>
      <c r="AD7" s="145">
        <f t="shared" si="1"/>
        <v>1050.0967617599997</v>
      </c>
      <c r="AE7" s="1364" t="s">
        <v>1181</v>
      </c>
    </row>
    <row r="8" spans="1:31" s="3" customFormat="1" ht="25.5" customHeight="1" thickBot="1" x14ac:dyDescent="0.4">
      <c r="A8" s="37" t="s">
        <v>371</v>
      </c>
      <c r="B8" s="38"/>
      <c r="C8" s="39"/>
      <c r="D8" s="39"/>
      <c r="E8" s="40"/>
      <c r="F8" s="41"/>
      <c r="G8" s="41"/>
      <c r="H8" s="41"/>
      <c r="I8" s="41"/>
      <c r="J8" s="42"/>
      <c r="K8" s="42"/>
      <c r="L8" s="42"/>
      <c r="M8" s="42"/>
      <c r="N8" s="42"/>
      <c r="O8" s="39"/>
      <c r="P8" s="39"/>
      <c r="Q8" s="43">
        <v>28194</v>
      </c>
      <c r="R8" s="106">
        <v>29334.004000000004</v>
      </c>
      <c r="S8" s="43">
        <v>30628.898237094418</v>
      </c>
      <c r="T8" s="146">
        <v>30628.898237094418</v>
      </c>
      <c r="U8" s="43">
        <v>32817.699999999997</v>
      </c>
      <c r="V8" s="43">
        <v>34530.6</v>
      </c>
      <c r="W8" s="43"/>
      <c r="X8" s="43"/>
      <c r="Y8" s="43"/>
      <c r="Z8" s="146"/>
      <c r="AA8" s="43"/>
      <c r="AB8" s="44"/>
      <c r="AC8" s="45"/>
      <c r="AD8" s="102"/>
      <c r="AE8" s="1365"/>
    </row>
    <row r="9" spans="1:31" ht="18.5" x14ac:dyDescent="0.35">
      <c r="A9" s="5" t="s">
        <v>82</v>
      </c>
      <c r="B9" s="6"/>
      <c r="C9" s="6"/>
      <c r="D9" s="7"/>
      <c r="E9" s="8"/>
      <c r="F9" s="161">
        <f t="shared" ref="F9:H9" si="2">SUM(F10:F22)</f>
        <v>8.3063772433851161E-3</v>
      </c>
      <c r="G9" s="33">
        <f>SUM(G10:G22)</f>
        <v>8.7609246934035982E-3</v>
      </c>
      <c r="H9" s="33">
        <f t="shared" si="2"/>
        <v>3.591379590232203E-3</v>
      </c>
      <c r="I9" s="33">
        <f>SUM(I10:I22)</f>
        <v>0</v>
      </c>
      <c r="J9" s="34">
        <f>SUM(J10:J22)</f>
        <v>366.99299999999999</v>
      </c>
      <c r="K9" s="163">
        <f t="shared" ref="K9:M9" si="3">SUM(K10:K22)</f>
        <v>234.19</v>
      </c>
      <c r="L9" s="34">
        <f t="shared" si="3"/>
        <v>256.99299999999999</v>
      </c>
      <c r="M9" s="34">
        <f t="shared" si="3"/>
        <v>110</v>
      </c>
      <c r="N9" s="34">
        <f>SUM(N10:N22)</f>
        <v>0</v>
      </c>
      <c r="O9" s="35"/>
      <c r="P9" s="36"/>
      <c r="Q9" s="163">
        <f t="shared" ref="Q9:AD9" si="4">SUM(Q10:Q22)</f>
        <v>-0.49631127190182311</v>
      </c>
      <c r="R9" s="34">
        <f t="shared" si="4"/>
        <v>-0.48483234678770748</v>
      </c>
      <c r="S9" s="34">
        <f t="shared" si="4"/>
        <v>-7.8460543418749265E-2</v>
      </c>
      <c r="T9" s="147">
        <f>SUM(T10:T22)</f>
        <v>-7.8461549005034534E-2</v>
      </c>
      <c r="U9" s="34">
        <f t="shared" si="4"/>
        <v>0.11110601900803531</v>
      </c>
      <c r="V9" s="34">
        <f t="shared" si="4"/>
        <v>8.4668323168436109E-3</v>
      </c>
      <c r="W9" s="163">
        <f t="shared" si="4"/>
        <v>-139.93</v>
      </c>
      <c r="X9" s="34">
        <f t="shared" si="4"/>
        <v>-142.22074000000001</v>
      </c>
      <c r="Y9" s="34">
        <f t="shared" si="4"/>
        <v>-24.031599999999997</v>
      </c>
      <c r="Z9" s="147">
        <f>SUM(Z10:Z22)</f>
        <v>-24.031907999999998</v>
      </c>
      <c r="AA9" s="34">
        <f t="shared" si="4"/>
        <v>36.462440000000001</v>
      </c>
      <c r="AB9" s="34">
        <f t="shared" si="4"/>
        <v>2.923648</v>
      </c>
      <c r="AC9" s="34">
        <f>SUM(AC10:AC22)</f>
        <v>-16.160999999999998</v>
      </c>
      <c r="AD9" s="34">
        <f t="shared" si="4"/>
        <v>53.87</v>
      </c>
      <c r="AE9" s="61"/>
    </row>
    <row r="10" spans="1:31" ht="19.5" customHeight="1" outlineLevel="1" x14ac:dyDescent="0.35">
      <c r="A10" s="1335">
        <v>1</v>
      </c>
      <c r="B10" s="1354" t="s">
        <v>740</v>
      </c>
      <c r="C10" s="1357" t="s">
        <v>420</v>
      </c>
      <c r="D10" s="1360" t="s">
        <v>741</v>
      </c>
      <c r="E10" s="1289" t="s">
        <v>83</v>
      </c>
      <c r="F10" s="1116">
        <f>K10/$Q$8</f>
        <v>4.9368659998581255E-3</v>
      </c>
      <c r="G10" s="1116">
        <f>L10/$R$8</f>
        <v>5.5223623750784235E-3</v>
      </c>
      <c r="H10" s="1116">
        <f>M10/$S$8</f>
        <v>0</v>
      </c>
      <c r="I10" s="1116">
        <f>N10/$S$8</f>
        <v>0</v>
      </c>
      <c r="J10" s="1311">
        <f>L10+M10+N10</f>
        <v>161.99299999999999</v>
      </c>
      <c r="K10" s="1311">
        <v>139.19</v>
      </c>
      <c r="L10" s="1311">
        <v>161.99299999999999</v>
      </c>
      <c r="M10" s="1311">
        <v>0</v>
      </c>
      <c r="N10" s="1311">
        <v>0</v>
      </c>
      <c r="O10" s="1366" t="s">
        <v>450</v>
      </c>
      <c r="P10" s="54" t="s">
        <v>123</v>
      </c>
      <c r="Q10" s="56">
        <f t="shared" ref="Q10:V22" si="5">W10/Q$8*100</f>
        <v>-1.7521458466340355E-2</v>
      </c>
      <c r="R10" s="56">
        <f t="shared" si="5"/>
        <v>-2.4780115254637584E-2</v>
      </c>
      <c r="S10" s="56">
        <f>Y10/S$8*100</f>
        <v>0</v>
      </c>
      <c r="T10" s="135">
        <f>Z10/T$8*100</f>
        <v>0</v>
      </c>
      <c r="U10" s="56">
        <f>AA10/U$8*100</f>
        <v>0</v>
      </c>
      <c r="V10" s="56">
        <f>AB10/V$8*100</f>
        <v>0</v>
      </c>
      <c r="W10" s="57">
        <f>-16.45+11.51</f>
        <v>-4.9399999999999995</v>
      </c>
      <c r="X10" s="57">
        <f>-24.23*30%</f>
        <v>-7.2690000000000001</v>
      </c>
      <c r="Y10" s="57">
        <f>1.64-1.64</f>
        <v>0</v>
      </c>
      <c r="Z10" s="129">
        <f>1.64-1.64</f>
        <v>0</v>
      </c>
      <c r="AA10" s="57">
        <f>3.29-3.29</f>
        <v>0</v>
      </c>
      <c r="AB10" s="57">
        <f>6.58-6.58</f>
        <v>0</v>
      </c>
      <c r="AC10" s="1092">
        <v>0</v>
      </c>
      <c r="AD10" s="1092">
        <f>-AC10</f>
        <v>0</v>
      </c>
      <c r="AE10" s="1289" t="s">
        <v>742</v>
      </c>
    </row>
    <row r="11" spans="1:31" ht="19.5" customHeight="1" outlineLevel="1" x14ac:dyDescent="0.35">
      <c r="A11" s="1342"/>
      <c r="B11" s="1355"/>
      <c r="C11" s="1358"/>
      <c r="D11" s="1361"/>
      <c r="E11" s="1363"/>
      <c r="F11" s="1132"/>
      <c r="G11" s="1132"/>
      <c r="H11" s="1132"/>
      <c r="I11" s="1132"/>
      <c r="J11" s="1307"/>
      <c r="K11" s="1307"/>
      <c r="L11" s="1307"/>
      <c r="M11" s="1307"/>
      <c r="N11" s="1349"/>
      <c r="O11" s="1296"/>
      <c r="P11" s="54" t="s">
        <v>124</v>
      </c>
      <c r="Q11" s="56">
        <f t="shared" si="5"/>
        <v>-5.8842306873802951E-2</v>
      </c>
      <c r="R11" s="56">
        <f t="shared" si="5"/>
        <v>-5.3988538352964015E-2</v>
      </c>
      <c r="S11" s="56">
        <f t="shared" si="5"/>
        <v>0</v>
      </c>
      <c r="T11" s="135">
        <f t="shared" si="5"/>
        <v>0</v>
      </c>
      <c r="U11" s="56">
        <f t="shared" si="5"/>
        <v>0</v>
      </c>
      <c r="V11" s="56">
        <f t="shared" si="5"/>
        <v>0</v>
      </c>
      <c r="W11" s="57">
        <f>-55.32+38.73</f>
        <v>-16.590000000000003</v>
      </c>
      <c r="X11" s="57">
        <f>-52.79*30%</f>
        <v>-15.837</v>
      </c>
      <c r="Y11" s="57">
        <f>5.53-5.53</f>
        <v>0</v>
      </c>
      <c r="Z11" s="129">
        <f>5.53-5.53</f>
        <v>0</v>
      </c>
      <c r="AA11" s="57">
        <f>11.07-11.07</f>
        <v>0</v>
      </c>
      <c r="AB11" s="57">
        <f>22.13-22.13</f>
        <v>0</v>
      </c>
      <c r="AC11" s="1105"/>
      <c r="AD11" s="1105"/>
      <c r="AE11" s="1363"/>
    </row>
    <row r="12" spans="1:31" ht="19.5" customHeight="1" outlineLevel="1" x14ac:dyDescent="0.35">
      <c r="A12" s="1342"/>
      <c r="B12" s="1355"/>
      <c r="C12" s="1358"/>
      <c r="D12" s="1361"/>
      <c r="E12" s="1363"/>
      <c r="F12" s="1132"/>
      <c r="G12" s="1132"/>
      <c r="H12" s="1132"/>
      <c r="I12" s="1132"/>
      <c r="J12" s="1307"/>
      <c r="K12" s="1307"/>
      <c r="L12" s="1307"/>
      <c r="M12" s="1307"/>
      <c r="N12" s="1349"/>
      <c r="O12" s="1296"/>
      <c r="P12" s="55" t="s">
        <v>125</v>
      </c>
      <c r="Q12" s="56">
        <f t="shared" si="5"/>
        <v>-6.1254167553380159E-2</v>
      </c>
      <c r="R12" s="56">
        <f t="shared" si="5"/>
        <v>-6.2830631645103732E-2</v>
      </c>
      <c r="S12" s="56">
        <f t="shared" si="5"/>
        <v>6.7100030307683863E-4</v>
      </c>
      <c r="T12" s="135">
        <f t="shared" si="5"/>
        <v>6.6999471679157362E-4</v>
      </c>
      <c r="U12" s="56">
        <f t="shared" si="5"/>
        <v>1.252494842722068E-3</v>
      </c>
      <c r="V12" s="56">
        <f t="shared" si="5"/>
        <v>2.3771611266528822E-3</v>
      </c>
      <c r="W12" s="57">
        <f>-53.96+36.69</f>
        <v>-17.270000000000003</v>
      </c>
      <c r="X12" s="57">
        <f>-73.4*30%*83.7%</f>
        <v>-18.43074</v>
      </c>
      <c r="Y12" s="57">
        <f>73.4*10%*0.028</f>
        <v>0.20552000000000004</v>
      </c>
      <c r="Z12" s="129">
        <f>73.29*10%*0.028</f>
        <v>0.20521200000000003</v>
      </c>
      <c r="AA12" s="57">
        <f>73.4*20%*0.028</f>
        <v>0.41104000000000007</v>
      </c>
      <c r="AB12" s="57">
        <f>73.29*40%*0.028</f>
        <v>0.82084800000000013</v>
      </c>
      <c r="AC12" s="1105"/>
      <c r="AD12" s="1105"/>
      <c r="AE12" s="1363"/>
    </row>
    <row r="13" spans="1:31" ht="35.25" customHeight="1" outlineLevel="1" x14ac:dyDescent="0.35">
      <c r="A13" s="1342"/>
      <c r="B13" s="1355"/>
      <c r="C13" s="1358"/>
      <c r="D13" s="1361"/>
      <c r="E13" s="1363"/>
      <c r="F13" s="1132"/>
      <c r="G13" s="1132"/>
      <c r="H13" s="1132"/>
      <c r="I13" s="1132"/>
      <c r="J13" s="1307"/>
      <c r="K13" s="1307"/>
      <c r="L13" s="1307"/>
      <c r="M13" s="1307"/>
      <c r="N13" s="1349"/>
      <c r="O13" s="1296"/>
      <c r="P13" s="55" t="s">
        <v>124</v>
      </c>
      <c r="Q13" s="56">
        <f t="shared" si="5"/>
        <v>-1.0605093282258638E-2</v>
      </c>
      <c r="R13" s="56">
        <f t="shared" si="5"/>
        <v>-1.274970849530122E-2</v>
      </c>
      <c r="S13" s="56">
        <f t="shared" si="5"/>
        <v>1.2210690606789493E-3</v>
      </c>
      <c r="T13" s="135">
        <f t="shared" si="5"/>
        <v>1.2210690606789493E-3</v>
      </c>
      <c r="U13" s="56">
        <f t="shared" si="5"/>
        <v>2.2792578395195284E-3</v>
      </c>
      <c r="V13" s="56">
        <f t="shared" si="5"/>
        <v>4.3323892431640348E-3</v>
      </c>
      <c r="W13" s="57">
        <f>-2.99</f>
        <v>-2.99</v>
      </c>
      <c r="X13" s="57">
        <f>-3.74</f>
        <v>-3.74</v>
      </c>
      <c r="Y13" s="57">
        <f>3.74*10%</f>
        <v>0.37400000000000005</v>
      </c>
      <c r="Z13" s="129">
        <f>3.74*10%</f>
        <v>0.37400000000000005</v>
      </c>
      <c r="AA13" s="57">
        <f>3.74*20%</f>
        <v>0.74800000000000011</v>
      </c>
      <c r="AB13" s="57">
        <f>3.74*40%</f>
        <v>1.4960000000000002</v>
      </c>
      <c r="AC13" s="1105"/>
      <c r="AD13" s="1105"/>
      <c r="AE13" s="1363"/>
    </row>
    <row r="14" spans="1:31" ht="29.25" customHeight="1" outlineLevel="1" x14ac:dyDescent="0.35">
      <c r="A14" s="1342"/>
      <c r="B14" s="1355"/>
      <c r="C14" s="1358"/>
      <c r="D14" s="1361"/>
      <c r="E14" s="1363"/>
      <c r="F14" s="1117"/>
      <c r="G14" s="1117"/>
      <c r="H14" s="1117"/>
      <c r="I14" s="1117"/>
      <c r="J14" s="1304"/>
      <c r="K14" s="1304"/>
      <c r="L14" s="1304"/>
      <c r="M14" s="1304"/>
      <c r="N14" s="1312"/>
      <c r="O14" s="1296"/>
      <c r="P14" s="54" t="s">
        <v>124</v>
      </c>
      <c r="Q14" s="56">
        <f t="shared" si="5"/>
        <v>-1.1137121373341849E-2</v>
      </c>
      <c r="R14" s="56">
        <f t="shared" si="5"/>
        <v>-6.6271212071833075E-3</v>
      </c>
      <c r="S14" s="56">
        <f t="shared" si="5"/>
        <v>0</v>
      </c>
      <c r="T14" s="135">
        <f t="shared" si="5"/>
        <v>0</v>
      </c>
      <c r="U14" s="56">
        <f t="shared" si="5"/>
        <v>0</v>
      </c>
      <c r="V14" s="56">
        <f t="shared" si="5"/>
        <v>0</v>
      </c>
      <c r="W14" s="57">
        <f>-10.47+7.33</f>
        <v>-3.1400000000000006</v>
      </c>
      <c r="X14" s="57">
        <f>-6.48*30%</f>
        <v>-1.944</v>
      </c>
      <c r="Y14" s="57">
        <f>1.05-1.05</f>
        <v>0</v>
      </c>
      <c r="Z14" s="129">
        <f>1.05-1.05</f>
        <v>0</v>
      </c>
      <c r="AA14" s="57">
        <f>2.09-2.09</f>
        <v>0</v>
      </c>
      <c r="AB14" s="57">
        <f>4.19-4.19</f>
        <v>0</v>
      </c>
      <c r="AC14" s="1105"/>
      <c r="AD14" s="1105"/>
      <c r="AE14" s="1363"/>
    </row>
    <row r="15" spans="1:31" ht="15" customHeight="1" outlineLevel="1" x14ac:dyDescent="0.35">
      <c r="A15" s="1342"/>
      <c r="B15" s="1355"/>
      <c r="C15" s="1358"/>
      <c r="D15" s="1361"/>
      <c r="E15" s="1363"/>
      <c r="F15" s="1116">
        <f>K15/$Q$8</f>
        <v>0</v>
      </c>
      <c r="G15" s="1116">
        <f>L15/$R$8</f>
        <v>0</v>
      </c>
      <c r="H15" s="1116">
        <f>M15/$S$8</f>
        <v>2.4486679024310477E-3</v>
      </c>
      <c r="I15" s="1116">
        <f>N15/$S$8</f>
        <v>0</v>
      </c>
      <c r="J15" s="1311">
        <f>L15+M15+N15</f>
        <v>75</v>
      </c>
      <c r="K15" s="1311">
        <v>0</v>
      </c>
      <c r="L15" s="1311">
        <v>0</v>
      </c>
      <c r="M15" s="1311">
        <v>75</v>
      </c>
      <c r="N15" s="1311">
        <v>0</v>
      </c>
      <c r="O15" s="1296"/>
      <c r="P15" s="54" t="s">
        <v>123</v>
      </c>
      <c r="Q15" s="56">
        <f t="shared" si="5"/>
        <v>0</v>
      </c>
      <c r="R15" s="56">
        <f t="shared" si="5"/>
        <v>0</v>
      </c>
      <c r="S15" s="56">
        <f t="shared" si="5"/>
        <v>-1.1525063594108795E-2</v>
      </c>
      <c r="T15" s="135">
        <f t="shared" si="5"/>
        <v>-1.1525063594108795E-2</v>
      </c>
      <c r="U15" s="56">
        <f t="shared" si="5"/>
        <v>0</v>
      </c>
      <c r="V15" s="56">
        <f t="shared" si="5"/>
        <v>0</v>
      </c>
      <c r="W15" s="57">
        <v>0</v>
      </c>
      <c r="X15" s="57">
        <v>0</v>
      </c>
      <c r="Y15" s="57">
        <f>-11.76+8.23</f>
        <v>-3.5299999999999994</v>
      </c>
      <c r="Z15" s="129">
        <f>-11.76+8.23</f>
        <v>-3.5299999999999994</v>
      </c>
      <c r="AA15" s="57">
        <f>1.18-1.18</f>
        <v>0</v>
      </c>
      <c r="AB15" s="57">
        <f>2.35-2.35</f>
        <v>0</v>
      </c>
      <c r="AC15" s="1094">
        <f>-AD15*0.3</f>
        <v>-16.160999999999998</v>
      </c>
      <c r="AD15" s="1094">
        <v>53.87</v>
      </c>
      <c r="AE15" s="1289" t="s">
        <v>448</v>
      </c>
    </row>
    <row r="16" spans="1:31" ht="15" customHeight="1" outlineLevel="1" x14ac:dyDescent="0.35">
      <c r="A16" s="1342"/>
      <c r="B16" s="1355"/>
      <c r="C16" s="1358"/>
      <c r="D16" s="1361"/>
      <c r="E16" s="1363"/>
      <c r="F16" s="1132"/>
      <c r="G16" s="1132"/>
      <c r="H16" s="1132"/>
      <c r="I16" s="1132"/>
      <c r="J16" s="1349"/>
      <c r="K16" s="1349"/>
      <c r="L16" s="1349"/>
      <c r="M16" s="1349"/>
      <c r="N16" s="1349"/>
      <c r="O16" s="1296"/>
      <c r="P16" s="54" t="s">
        <v>124</v>
      </c>
      <c r="Q16" s="56">
        <f t="shared" si="5"/>
        <v>0</v>
      </c>
      <c r="R16" s="56">
        <f t="shared" si="5"/>
        <v>0</v>
      </c>
      <c r="S16" s="56">
        <f t="shared" si="5"/>
        <v>-2.3866349822361275E-2</v>
      </c>
      <c r="T16" s="135">
        <f t="shared" si="5"/>
        <v>-2.3866349822361275E-2</v>
      </c>
      <c r="U16" s="56">
        <f t="shared" si="5"/>
        <v>0</v>
      </c>
      <c r="V16" s="56">
        <f t="shared" si="5"/>
        <v>0</v>
      </c>
      <c r="W16" s="57">
        <v>0</v>
      </c>
      <c r="X16" s="57">
        <v>0</v>
      </c>
      <c r="Y16" s="57">
        <f>-24.38+17.07</f>
        <v>-7.3099999999999987</v>
      </c>
      <c r="Z16" s="129">
        <f>-24.38+17.07</f>
        <v>-7.3099999999999987</v>
      </c>
      <c r="AA16" s="57">
        <f>2.44-2.44</f>
        <v>0</v>
      </c>
      <c r="AB16" s="57">
        <f>4.88-4.88</f>
        <v>0</v>
      </c>
      <c r="AC16" s="1094"/>
      <c r="AD16" s="1094"/>
      <c r="AE16" s="1363"/>
    </row>
    <row r="17" spans="1:33" ht="15" customHeight="1" outlineLevel="1" x14ac:dyDescent="0.35">
      <c r="A17" s="1342"/>
      <c r="B17" s="1355"/>
      <c r="C17" s="1358"/>
      <c r="D17" s="1361"/>
      <c r="E17" s="1363"/>
      <c r="F17" s="1132"/>
      <c r="G17" s="1132"/>
      <c r="H17" s="1132"/>
      <c r="I17" s="1132"/>
      <c r="J17" s="1349"/>
      <c r="K17" s="1349"/>
      <c r="L17" s="1349"/>
      <c r="M17" s="1349"/>
      <c r="N17" s="1349"/>
      <c r="O17" s="1296"/>
      <c r="P17" s="55" t="s">
        <v>125</v>
      </c>
      <c r="Q17" s="56">
        <f t="shared" si="5"/>
        <v>0</v>
      </c>
      <c r="R17" s="56">
        <f t="shared" si="5"/>
        <v>0</v>
      </c>
      <c r="S17" s="56">
        <f t="shared" si="5"/>
        <v>-3.5884803674357243E-2</v>
      </c>
      <c r="T17" s="135">
        <f t="shared" si="5"/>
        <v>-3.5884803674357243E-2</v>
      </c>
      <c r="U17" s="56">
        <f t="shared" si="5"/>
        <v>3.4554523930683747E-4</v>
      </c>
      <c r="V17" s="56">
        <f t="shared" si="5"/>
        <v>6.5680874354919979E-4</v>
      </c>
      <c r="W17" s="57">
        <v>0</v>
      </c>
      <c r="X17" s="57">
        <v>0</v>
      </c>
      <c r="Y17" s="57">
        <f>-34.0032+23.01208</f>
        <v>-10.991119999999999</v>
      </c>
      <c r="Z17" s="129">
        <f>-34.0032+23.01208</f>
        <v>-10.991119999999999</v>
      </c>
      <c r="AA17" s="57">
        <v>0.1134</v>
      </c>
      <c r="AB17" s="57">
        <v>0.2268</v>
      </c>
      <c r="AC17" s="1094"/>
      <c r="AD17" s="1094"/>
      <c r="AE17" s="1363"/>
    </row>
    <row r="18" spans="1:33" ht="15" customHeight="1" outlineLevel="1" x14ac:dyDescent="0.35">
      <c r="A18" s="1342"/>
      <c r="B18" s="1355"/>
      <c r="C18" s="1358"/>
      <c r="D18" s="1361"/>
      <c r="E18" s="1363"/>
      <c r="F18" s="1132"/>
      <c r="G18" s="1132"/>
      <c r="H18" s="1132"/>
      <c r="I18" s="1132"/>
      <c r="J18" s="1349"/>
      <c r="K18" s="1349"/>
      <c r="L18" s="1349"/>
      <c r="M18" s="1349"/>
      <c r="N18" s="1349"/>
      <c r="O18" s="1296"/>
      <c r="P18" s="55" t="s">
        <v>124</v>
      </c>
      <c r="Q18" s="56">
        <f t="shared" si="5"/>
        <v>0</v>
      </c>
      <c r="R18" s="56">
        <f t="shared" si="5"/>
        <v>0</v>
      </c>
      <c r="S18" s="56">
        <f t="shared" si="5"/>
        <v>-6.1706431141262405E-3</v>
      </c>
      <c r="T18" s="135">
        <f t="shared" si="5"/>
        <v>-6.1706431141262405E-3</v>
      </c>
      <c r="U18" s="56">
        <f t="shared" si="5"/>
        <v>5.7895586832715283E-4</v>
      </c>
      <c r="V18" s="56">
        <f t="shared" si="5"/>
        <v>1.1004732034774953E-3</v>
      </c>
      <c r="W18" s="57">
        <v>0</v>
      </c>
      <c r="X18" s="57">
        <v>0</v>
      </c>
      <c r="Y18" s="57">
        <v>-1.89</v>
      </c>
      <c r="Z18" s="129">
        <v>-1.89</v>
      </c>
      <c r="AA18" s="57">
        <v>0.19</v>
      </c>
      <c r="AB18" s="57">
        <v>0.38</v>
      </c>
      <c r="AC18" s="1094"/>
      <c r="AD18" s="1094"/>
      <c r="AE18" s="1363"/>
    </row>
    <row r="19" spans="1:33" ht="15" customHeight="1" outlineLevel="1" x14ac:dyDescent="0.35">
      <c r="A19" s="1336"/>
      <c r="B19" s="1356"/>
      <c r="C19" s="1359"/>
      <c r="D19" s="1362"/>
      <c r="E19" s="1290"/>
      <c r="F19" s="1117"/>
      <c r="G19" s="1117"/>
      <c r="H19" s="1117"/>
      <c r="I19" s="1117"/>
      <c r="J19" s="1312"/>
      <c r="K19" s="1312"/>
      <c r="L19" s="1312"/>
      <c r="M19" s="1312"/>
      <c r="N19" s="1312"/>
      <c r="O19" s="1296"/>
      <c r="P19" s="54" t="s">
        <v>124</v>
      </c>
      <c r="Q19" s="56">
        <f t="shared" si="5"/>
        <v>0</v>
      </c>
      <c r="R19" s="56">
        <f t="shared" si="5"/>
        <v>0</v>
      </c>
      <c r="S19" s="56">
        <f t="shared" si="5"/>
        <v>-2.9057525775515103E-3</v>
      </c>
      <c r="T19" s="135">
        <f t="shared" si="5"/>
        <v>-2.9057525775515103E-3</v>
      </c>
      <c r="U19" s="56">
        <f t="shared" si="5"/>
        <v>0</v>
      </c>
      <c r="V19" s="56">
        <f t="shared" si="5"/>
        <v>0</v>
      </c>
      <c r="W19" s="58">
        <v>0</v>
      </c>
      <c r="X19" s="58">
        <v>0</v>
      </c>
      <c r="Y19" s="57">
        <f>-2.97+2.08</f>
        <v>-0.89000000000000012</v>
      </c>
      <c r="Z19" s="129">
        <f>-2.97+2.08</f>
        <v>-0.89000000000000012</v>
      </c>
      <c r="AA19" s="57">
        <f>0.3-0.3</f>
        <v>0</v>
      </c>
      <c r="AB19" s="57">
        <f>0.59-0.59</f>
        <v>0</v>
      </c>
      <c r="AC19" s="1094"/>
      <c r="AD19" s="1094"/>
      <c r="AE19" s="1290"/>
    </row>
    <row r="20" spans="1:33" ht="105.75" customHeight="1" outlineLevel="1" x14ac:dyDescent="0.35">
      <c r="A20" s="210">
        <v>2</v>
      </c>
      <c r="B20" s="47" t="s">
        <v>743</v>
      </c>
      <c r="C20" s="243" t="s">
        <v>420</v>
      </c>
      <c r="D20" s="48" t="s">
        <v>744</v>
      </c>
      <c r="E20" s="49" t="s">
        <v>446</v>
      </c>
      <c r="F20" s="52">
        <f>K20/$Q$8</f>
        <v>1.2413988791941549E-3</v>
      </c>
      <c r="G20" s="52">
        <f>L20/$R$8</f>
        <v>1.1931545383303279E-3</v>
      </c>
      <c r="H20" s="52">
        <f>M20/$S$8</f>
        <v>1.1427116878011555E-3</v>
      </c>
      <c r="I20" s="52">
        <f>N20/$U$8</f>
        <v>0</v>
      </c>
      <c r="J20" s="53">
        <f>L20+M20+N20</f>
        <v>70</v>
      </c>
      <c r="K20" s="53">
        <v>35</v>
      </c>
      <c r="L20" s="53">
        <v>35</v>
      </c>
      <c r="M20" s="53">
        <v>35</v>
      </c>
      <c r="N20" s="53">
        <v>0</v>
      </c>
      <c r="O20" s="209" t="s">
        <v>450</v>
      </c>
      <c r="P20" s="54" t="s">
        <v>123</v>
      </c>
      <c r="Q20" s="56">
        <f t="shared" si="5"/>
        <v>-0.12413988791941549</v>
      </c>
      <c r="R20" s="56">
        <f t="shared" si="5"/>
        <v>-0.11931545383303278</v>
      </c>
      <c r="S20" s="56">
        <f t="shared" si="5"/>
        <v>0</v>
      </c>
      <c r="T20" s="135">
        <f t="shared" si="5"/>
        <v>0</v>
      </c>
      <c r="U20" s="56">
        <f t="shared" si="5"/>
        <v>0.10664976521815972</v>
      </c>
      <c r="V20" s="56">
        <f t="shared" si="5"/>
        <v>0</v>
      </c>
      <c r="W20" s="59">
        <v>-35</v>
      </c>
      <c r="X20" s="59">
        <v>-35</v>
      </c>
      <c r="Y20" s="59">
        <v>0</v>
      </c>
      <c r="Z20" s="130">
        <v>0</v>
      </c>
      <c r="AA20" s="59">
        <v>35</v>
      </c>
      <c r="AB20" s="59">
        <v>0</v>
      </c>
      <c r="AC20" s="60">
        <v>0</v>
      </c>
      <c r="AD20" s="60">
        <v>0</v>
      </c>
      <c r="AE20" s="208" t="s">
        <v>449</v>
      </c>
    </row>
    <row r="21" spans="1:33" ht="111" customHeight="1" outlineLevel="1" x14ac:dyDescent="0.35">
      <c r="A21" s="206">
        <v>3</v>
      </c>
      <c r="B21" s="47" t="s">
        <v>745</v>
      </c>
      <c r="C21" s="243" t="s">
        <v>324</v>
      </c>
      <c r="D21" s="48" t="s">
        <v>744</v>
      </c>
      <c r="E21" s="49" t="s">
        <v>13</v>
      </c>
      <c r="F21" s="52">
        <f>K21/$Q$8</f>
        <v>2.1281123643328366E-3</v>
      </c>
      <c r="G21" s="52">
        <f>L21/$R$8</f>
        <v>2.0454077799948482E-3</v>
      </c>
      <c r="H21" s="52">
        <f>M21/$S$8</f>
        <v>0</v>
      </c>
      <c r="I21" s="52">
        <f t="shared" ref="I21:I22" si="6">N21/$U$8</f>
        <v>0</v>
      </c>
      <c r="J21" s="53">
        <f>L21+M21+N21</f>
        <v>60</v>
      </c>
      <c r="K21" s="53">
        <v>60</v>
      </c>
      <c r="L21" s="53">
        <v>60</v>
      </c>
      <c r="M21" s="53">
        <v>0</v>
      </c>
      <c r="N21" s="53">
        <v>0</v>
      </c>
      <c r="O21" s="209" t="s">
        <v>450</v>
      </c>
      <c r="P21" s="54" t="s">
        <v>124</v>
      </c>
      <c r="Q21" s="56">
        <f t="shared" si="5"/>
        <v>-0.21281123643328367</v>
      </c>
      <c r="R21" s="56">
        <f t="shared" si="5"/>
        <v>-0.20454077799948481</v>
      </c>
      <c r="S21" s="56">
        <f t="shared" si="5"/>
        <v>0</v>
      </c>
      <c r="T21" s="135">
        <f t="shared" si="5"/>
        <v>0</v>
      </c>
      <c r="U21" s="56">
        <f t="shared" si="5"/>
        <v>0</v>
      </c>
      <c r="V21" s="56">
        <f t="shared" si="5"/>
        <v>0</v>
      </c>
      <c r="W21" s="59">
        <v>-60</v>
      </c>
      <c r="X21" s="59">
        <v>-60</v>
      </c>
      <c r="Y21" s="59">
        <v>0</v>
      </c>
      <c r="Z21" s="130">
        <v>0</v>
      </c>
      <c r="AA21" s="59">
        <v>0</v>
      </c>
      <c r="AB21" s="59">
        <v>0</v>
      </c>
      <c r="AC21" s="207">
        <v>0</v>
      </c>
      <c r="AD21" s="207">
        <v>0</v>
      </c>
      <c r="AE21" s="51" t="s">
        <v>746</v>
      </c>
    </row>
    <row r="22" spans="1:33" ht="109.5" customHeight="1" outlineLevel="1" x14ac:dyDescent="0.35">
      <c r="A22" s="206">
        <v>4</v>
      </c>
      <c r="B22" s="171" t="s">
        <v>84</v>
      </c>
      <c r="C22" s="243" t="s">
        <v>420</v>
      </c>
      <c r="D22" s="48" t="s">
        <v>744</v>
      </c>
      <c r="E22" s="51" t="s">
        <v>447</v>
      </c>
      <c r="F22" s="52">
        <f>K22/$Q$8</f>
        <v>0</v>
      </c>
      <c r="G22" s="52">
        <f>L22/$R$8</f>
        <v>0</v>
      </c>
      <c r="H22" s="52">
        <f>M22/$S$8</f>
        <v>0</v>
      </c>
      <c r="I22" s="52">
        <f t="shared" si="6"/>
        <v>0</v>
      </c>
      <c r="J22" s="53">
        <f>L22+M22+N22</f>
        <v>0</v>
      </c>
      <c r="K22" s="53">
        <v>0</v>
      </c>
      <c r="L22" s="53">
        <v>0</v>
      </c>
      <c r="M22" s="53">
        <v>0</v>
      </c>
      <c r="N22" s="53">
        <v>0</v>
      </c>
      <c r="O22" s="209" t="s">
        <v>451</v>
      </c>
      <c r="P22" s="54" t="s">
        <v>123</v>
      </c>
      <c r="Q22" s="56">
        <f>W22/Q$8*100</f>
        <v>0</v>
      </c>
      <c r="R22" s="56">
        <v>0</v>
      </c>
      <c r="S22" s="56">
        <f t="shared" si="5"/>
        <v>0</v>
      </c>
      <c r="T22" s="135">
        <f>Z22/T$8*100</f>
        <v>0</v>
      </c>
      <c r="U22" s="56">
        <f t="shared" si="5"/>
        <v>0</v>
      </c>
      <c r="V22" s="56">
        <f t="shared" si="5"/>
        <v>0</v>
      </c>
      <c r="W22" s="59">
        <v>0</v>
      </c>
      <c r="X22" s="59">
        <v>0</v>
      </c>
      <c r="Y22" s="59">
        <v>0</v>
      </c>
      <c r="Z22" s="130">
        <v>0</v>
      </c>
      <c r="AA22" s="59">
        <v>0</v>
      </c>
      <c r="AB22" s="59">
        <v>0</v>
      </c>
      <c r="AC22" s="60">
        <v>0</v>
      </c>
      <c r="AD22" s="60">
        <v>0</v>
      </c>
      <c r="AE22" s="51" t="s">
        <v>118</v>
      </c>
    </row>
    <row r="23" spans="1:33" ht="18.5" x14ac:dyDescent="0.35">
      <c r="A23" s="5" t="s">
        <v>85</v>
      </c>
      <c r="B23" s="6"/>
      <c r="C23" s="6"/>
      <c r="D23" s="7"/>
      <c r="E23" s="8"/>
      <c r="F23" s="111">
        <f>SUM(F24:F56)</f>
        <v>7.2541205575654402E-3</v>
      </c>
      <c r="G23" s="26">
        <f t="shared" ref="G23" si="7">SUM(G24:G56)</f>
        <v>4.4176642915846054E-3</v>
      </c>
      <c r="H23" s="26">
        <f>SUM(H24:H56)</f>
        <v>1.853928099549778E-2</v>
      </c>
      <c r="I23" s="26">
        <f>SUM(I24:I56)</f>
        <v>0</v>
      </c>
      <c r="J23" s="9">
        <f>SUM(J24:J56)</f>
        <v>697.42553300000009</v>
      </c>
      <c r="K23" s="112">
        <f t="shared" ref="K23:L23" si="8">SUM(K24:K56)</f>
        <v>204.52267500000002</v>
      </c>
      <c r="L23" s="9">
        <f t="shared" si="8"/>
        <v>129.58778200000003</v>
      </c>
      <c r="M23" s="9">
        <f>SUM(M24:M56)</f>
        <v>567.83775100000003</v>
      </c>
      <c r="N23" s="9">
        <f>SUM(N24:N56)</f>
        <v>0</v>
      </c>
      <c r="O23" s="25"/>
      <c r="P23" s="18"/>
      <c r="Q23" s="112">
        <f>SUM(Q24:Q56)</f>
        <v>-0.72541205575654388</v>
      </c>
      <c r="R23" s="9">
        <f t="shared" ref="R23:U23" si="9">SUM(R24:R56)</f>
        <v>-0.44176642915846048</v>
      </c>
      <c r="S23" s="9">
        <f t="shared" si="9"/>
        <v>-1.853928099549778</v>
      </c>
      <c r="T23" s="148">
        <f>SUM(T24:T56)</f>
        <v>-1.4886056673361185</v>
      </c>
      <c r="U23" s="9">
        <f t="shared" si="9"/>
        <v>0</v>
      </c>
      <c r="V23" s="9">
        <f>SUM(V24:V56)</f>
        <v>0</v>
      </c>
      <c r="W23" s="112">
        <f>SUM(W24:W56)</f>
        <v>-204.52267500000002</v>
      </c>
      <c r="X23" s="9">
        <f t="shared" ref="X23:AB23" si="10">SUM(X24:X56)</f>
        <v>-129.58778200000003</v>
      </c>
      <c r="Y23" s="9">
        <f t="shared" si="10"/>
        <v>-567.83775100000003</v>
      </c>
      <c r="Z23" s="148">
        <f>SUM(Z24:Z56)</f>
        <v>-455.94351499999999</v>
      </c>
      <c r="AA23" s="9">
        <f t="shared" si="10"/>
        <v>0</v>
      </c>
      <c r="AB23" s="9">
        <f t="shared" si="10"/>
        <v>0</v>
      </c>
      <c r="AC23" s="9">
        <f>SUM(AC24:AC56)</f>
        <v>-465.32086199999998</v>
      </c>
      <c r="AD23" s="9">
        <f>SUM(AD24:AD56)</f>
        <v>465.32086199999998</v>
      </c>
      <c r="AE23" s="61"/>
    </row>
    <row r="24" spans="1:33" ht="77.25" hidden="1" customHeight="1" outlineLevel="1" x14ac:dyDescent="0.35">
      <c r="A24" s="1335">
        <v>1</v>
      </c>
      <c r="B24" s="1337" t="s">
        <v>314</v>
      </c>
      <c r="C24" s="1194" t="s">
        <v>711</v>
      </c>
      <c r="D24" s="48" t="s">
        <v>747</v>
      </c>
      <c r="E24" s="1289" t="s">
        <v>748</v>
      </c>
      <c r="F24" s="1116">
        <f>K24/$Q$8</f>
        <v>2.1031318720295096E-5</v>
      </c>
      <c r="G24" s="1116">
        <f>L24/$R$8</f>
        <v>1.1757515271355385E-5</v>
      </c>
      <c r="H24" s="1116">
        <f>M24/$S$8</f>
        <v>3.9736329742543729E-5</v>
      </c>
      <c r="I24" s="1116">
        <f>N24/$U$8</f>
        <v>0</v>
      </c>
      <c r="J24" s="1311">
        <f>L24+M24</f>
        <v>1.5619750000000001</v>
      </c>
      <c r="K24" s="1329">
        <f>-W24</f>
        <v>0.59295699999999996</v>
      </c>
      <c r="L24" s="1329">
        <f t="shared" ref="L24:M24" si="11">-X24</f>
        <v>0.34489500000000001</v>
      </c>
      <c r="M24" s="1329">
        <f t="shared" si="11"/>
        <v>1.2170800000000002</v>
      </c>
      <c r="N24" s="1329">
        <f>-AA24</f>
        <v>0</v>
      </c>
      <c r="O24" s="1347" t="s">
        <v>454</v>
      </c>
      <c r="P24" s="1194" t="s">
        <v>127</v>
      </c>
      <c r="Q24" s="1280">
        <f t="shared" ref="Q24:V24" si="12">W24/Q$8*100</f>
        <v>-2.1031318720295096E-3</v>
      </c>
      <c r="R24" s="1280">
        <f t="shared" si="12"/>
        <v>-1.1757515271355384E-3</v>
      </c>
      <c r="S24" s="1280">
        <f t="shared" si="12"/>
        <v>-3.9736329742543729E-3</v>
      </c>
      <c r="T24" s="1283">
        <f t="shared" si="12"/>
        <v>-3.9736329742543729E-3</v>
      </c>
      <c r="U24" s="1280">
        <f t="shared" si="12"/>
        <v>0</v>
      </c>
      <c r="V24" s="1280">
        <f t="shared" si="12"/>
        <v>0</v>
      </c>
      <c r="W24" s="1294">
        <v>-0.59295699999999996</v>
      </c>
      <c r="X24" s="1294">
        <f>-0.342956-0.001939</f>
        <v>-0.34489500000000001</v>
      </c>
      <c r="Y24" s="1294">
        <f>-0.375-0.84208</f>
        <v>-1.2170800000000002</v>
      </c>
      <c r="Z24" s="1299">
        <f>-0.375-0.84208</f>
        <v>-1.2170800000000002</v>
      </c>
      <c r="AA24" s="1294">
        <v>0</v>
      </c>
      <c r="AB24" s="1294">
        <v>0</v>
      </c>
      <c r="AC24" s="1092">
        <f>-0.123334</f>
        <v>-0.123334</v>
      </c>
      <c r="AD24" s="1092">
        <f>-AC24</f>
        <v>0.123334</v>
      </c>
      <c r="AE24" s="51" t="s">
        <v>749</v>
      </c>
    </row>
    <row r="25" spans="1:33" ht="57.75" hidden="1" customHeight="1" outlineLevel="1" x14ac:dyDescent="0.35">
      <c r="A25" s="1336"/>
      <c r="B25" s="1338"/>
      <c r="C25" s="1195"/>
      <c r="D25" s="48" t="s">
        <v>750</v>
      </c>
      <c r="E25" s="1290"/>
      <c r="F25" s="1117"/>
      <c r="G25" s="1117"/>
      <c r="H25" s="1117"/>
      <c r="I25" s="1117"/>
      <c r="J25" s="1312"/>
      <c r="K25" s="1330"/>
      <c r="L25" s="1330"/>
      <c r="M25" s="1330"/>
      <c r="N25" s="1330"/>
      <c r="O25" s="1348"/>
      <c r="P25" s="1195"/>
      <c r="Q25" s="1282"/>
      <c r="R25" s="1282"/>
      <c r="S25" s="1282"/>
      <c r="T25" s="1285"/>
      <c r="U25" s="1282"/>
      <c r="V25" s="1282"/>
      <c r="W25" s="1295"/>
      <c r="X25" s="1295"/>
      <c r="Y25" s="1295"/>
      <c r="Z25" s="1301"/>
      <c r="AA25" s="1295"/>
      <c r="AB25" s="1295"/>
      <c r="AC25" s="1093"/>
      <c r="AD25" s="1093"/>
      <c r="AE25" s="51" t="s">
        <v>751</v>
      </c>
    </row>
    <row r="26" spans="1:33" ht="119.25" hidden="1" customHeight="1" outlineLevel="1" x14ac:dyDescent="0.35">
      <c r="A26" s="1335">
        <v>2</v>
      </c>
      <c r="B26" s="1337" t="s">
        <v>752</v>
      </c>
      <c r="C26" s="62" t="s">
        <v>191</v>
      </c>
      <c r="D26" s="48" t="s">
        <v>86</v>
      </c>
      <c r="E26" s="51" t="s">
        <v>209</v>
      </c>
      <c r="F26" s="52">
        <f>K26/$Q$8</f>
        <v>1.0048286869546711E-4</v>
      </c>
      <c r="G26" s="52">
        <f>L26/$R$8</f>
        <v>9.657781460723874E-5</v>
      </c>
      <c r="H26" s="52">
        <f>M26/$S$8</f>
        <v>0</v>
      </c>
      <c r="I26" s="52">
        <f>N26/$U$8</f>
        <v>0</v>
      </c>
      <c r="J26" s="53">
        <f>L26+M26</f>
        <v>2.8330139999999999</v>
      </c>
      <c r="K26" s="69">
        <f t="shared" ref="K26:M27" si="13">-W26</f>
        <v>2.8330139999999999</v>
      </c>
      <c r="L26" s="69">
        <f t="shared" si="13"/>
        <v>2.8330139999999999</v>
      </c>
      <c r="M26" s="69">
        <f t="shared" si="13"/>
        <v>0</v>
      </c>
      <c r="N26" s="69">
        <f>-AA26</f>
        <v>0</v>
      </c>
      <c r="O26" s="241" t="s">
        <v>454</v>
      </c>
      <c r="P26" s="70" t="s">
        <v>126</v>
      </c>
      <c r="Q26" s="74">
        <f t="shared" ref="Q26:V28" si="14">W26/Q$8*100</f>
        <v>-1.0048286869546711E-2</v>
      </c>
      <c r="R26" s="74">
        <f t="shared" si="14"/>
        <v>-9.6577814607238747E-3</v>
      </c>
      <c r="S26" s="74">
        <f t="shared" si="14"/>
        <v>0</v>
      </c>
      <c r="T26" s="136">
        <f t="shared" si="14"/>
        <v>0</v>
      </c>
      <c r="U26" s="74">
        <f t="shared" si="14"/>
        <v>0</v>
      </c>
      <c r="V26" s="74">
        <f t="shared" si="14"/>
        <v>0</v>
      </c>
      <c r="W26" s="76">
        <v>-2.8330139999999999</v>
      </c>
      <c r="X26" s="76">
        <v>-2.8330139999999999</v>
      </c>
      <c r="Y26" s="76">
        <v>0</v>
      </c>
      <c r="Z26" s="131">
        <v>0</v>
      </c>
      <c r="AA26" s="76">
        <v>0</v>
      </c>
      <c r="AB26" s="76">
        <v>0</v>
      </c>
      <c r="AC26" s="207">
        <v>0</v>
      </c>
      <c r="AD26" s="207">
        <f>-AC26</f>
        <v>0</v>
      </c>
      <c r="AE26" s="51" t="s">
        <v>753</v>
      </c>
    </row>
    <row r="27" spans="1:33" ht="183" hidden="1" customHeight="1" outlineLevel="1" x14ac:dyDescent="0.35">
      <c r="A27" s="1342"/>
      <c r="B27" s="1338"/>
      <c r="C27" s="63">
        <v>44147</v>
      </c>
      <c r="D27" s="48" t="s">
        <v>86</v>
      </c>
      <c r="E27" s="49" t="s">
        <v>754</v>
      </c>
      <c r="F27" s="52">
        <f>K27/$Q$8</f>
        <v>9.703837695963681E-7</v>
      </c>
      <c r="G27" s="52">
        <f>L27/$R$8</f>
        <v>9.3267185754798411E-7</v>
      </c>
      <c r="H27" s="52">
        <f>M27/$S$8</f>
        <v>7.988645171169294E-4</v>
      </c>
      <c r="I27" s="52">
        <f>N27/$U$8</f>
        <v>0</v>
      </c>
      <c r="J27" s="53">
        <f>L27+M27</f>
        <v>24.495699000000002</v>
      </c>
      <c r="K27" s="69">
        <f t="shared" si="13"/>
        <v>2.7359000000000001E-2</v>
      </c>
      <c r="L27" s="69">
        <f t="shared" si="13"/>
        <v>2.7359000000000001E-2</v>
      </c>
      <c r="M27" s="69">
        <f t="shared" si="13"/>
        <v>24.468340000000001</v>
      </c>
      <c r="N27" s="69">
        <f>-AA27</f>
        <v>0</v>
      </c>
      <c r="O27" s="242" t="s">
        <v>455</v>
      </c>
      <c r="P27" s="72" t="s">
        <v>126</v>
      </c>
      <c r="Q27" s="82">
        <f t="shared" si="14"/>
        <v>-9.7038376959636806E-5</v>
      </c>
      <c r="R27" s="74">
        <f t="shared" si="14"/>
        <v>-9.3267185754798411E-5</v>
      </c>
      <c r="S27" s="75">
        <f t="shared" si="14"/>
        <v>-7.9886451711692938E-2</v>
      </c>
      <c r="T27" s="137">
        <f t="shared" si="14"/>
        <v>-4.3384342124023353E-2</v>
      </c>
      <c r="U27" s="75">
        <f t="shared" si="14"/>
        <v>0</v>
      </c>
      <c r="V27" s="75">
        <f t="shared" si="14"/>
        <v>0</v>
      </c>
      <c r="W27" s="77">
        <v>-2.7359000000000001E-2</v>
      </c>
      <c r="X27" s="77">
        <v>-2.7359000000000001E-2</v>
      </c>
      <c r="Y27" s="207">
        <v>-24.468340000000001</v>
      </c>
      <c r="Z27" s="132">
        <v>-13.288145999999999</v>
      </c>
      <c r="AA27" s="207">
        <v>0</v>
      </c>
      <c r="AB27" s="207">
        <v>0</v>
      </c>
      <c r="AC27" s="207">
        <f>-24.46834</f>
        <v>-24.468340000000001</v>
      </c>
      <c r="AD27" s="77">
        <f>-AC27</f>
        <v>24.468340000000001</v>
      </c>
      <c r="AE27" s="51" t="s">
        <v>1159</v>
      </c>
    </row>
    <row r="28" spans="1:33" ht="60.75" hidden="1" customHeight="1" outlineLevel="1" x14ac:dyDescent="0.35">
      <c r="A28" s="1342"/>
      <c r="B28" s="1309" t="s">
        <v>755</v>
      </c>
      <c r="C28" s="1121" t="s">
        <v>1211</v>
      </c>
      <c r="D28" s="48" t="s">
        <v>756</v>
      </c>
      <c r="E28" s="1333" t="s">
        <v>757</v>
      </c>
      <c r="F28" s="1116">
        <f>K28/$Q$8</f>
        <v>3.7260275235865789E-4</v>
      </c>
      <c r="G28" s="1116">
        <f>L28/$R$8</f>
        <v>2.1200992540943267E-6</v>
      </c>
      <c r="H28" s="1116">
        <f>M28/$S$8</f>
        <v>1.7969918987598983E-3</v>
      </c>
      <c r="I28" s="1116">
        <f>N28/$U$8</f>
        <v>0</v>
      </c>
      <c r="J28" s="1311">
        <f>L28+M28</f>
        <v>55.102072999999997</v>
      </c>
      <c r="K28" s="1329">
        <f>-W28</f>
        <v>10.505162</v>
      </c>
      <c r="L28" s="1329">
        <f>-X28</f>
        <v>6.2191000000000003E-2</v>
      </c>
      <c r="M28" s="1329">
        <f>-Y28</f>
        <v>55.039881999999999</v>
      </c>
      <c r="N28" s="1329">
        <f>-AA28</f>
        <v>0</v>
      </c>
      <c r="O28" s="1323" t="s">
        <v>455</v>
      </c>
      <c r="P28" s="1323" t="s">
        <v>126</v>
      </c>
      <c r="Q28" s="1331">
        <f t="shared" si="14"/>
        <v>-3.7260275235865788E-2</v>
      </c>
      <c r="R28" s="1280">
        <f t="shared" si="14"/>
        <v>-2.1200992540943266E-4</v>
      </c>
      <c r="S28" s="1293">
        <f t="shared" si="14"/>
        <v>-0.17969918987598982</v>
      </c>
      <c r="T28" s="1291">
        <f t="shared" si="14"/>
        <v>-3.68240506488096E-2</v>
      </c>
      <c r="U28" s="1293">
        <f t="shared" si="14"/>
        <v>0</v>
      </c>
      <c r="V28" s="1293">
        <f t="shared" si="14"/>
        <v>0</v>
      </c>
      <c r="W28" s="1273">
        <v>-10.505162</v>
      </c>
      <c r="X28" s="1273">
        <v>-6.2191000000000003E-2</v>
      </c>
      <c r="Y28" s="1092">
        <v>-55.039881999999999</v>
      </c>
      <c r="Z28" s="1100">
        <v>-11.278801</v>
      </c>
      <c r="AA28" s="1092">
        <v>0</v>
      </c>
      <c r="AB28" s="1092">
        <v>0</v>
      </c>
      <c r="AC28" s="1092">
        <f>-2.243266</f>
        <v>-2.2432660000000002</v>
      </c>
      <c r="AD28" s="1273">
        <f>-AC28</f>
        <v>2.2432660000000002</v>
      </c>
      <c r="AE28" s="1289" t="s">
        <v>758</v>
      </c>
    </row>
    <row r="29" spans="1:33" ht="89.25" hidden="1" customHeight="1" outlineLevel="1" x14ac:dyDescent="0.35">
      <c r="A29" s="1336"/>
      <c r="B29" s="1341"/>
      <c r="C29" s="1122"/>
      <c r="D29" s="48" t="s">
        <v>1242</v>
      </c>
      <c r="E29" s="1334"/>
      <c r="F29" s="1117"/>
      <c r="G29" s="1117"/>
      <c r="H29" s="1117"/>
      <c r="I29" s="1117"/>
      <c r="J29" s="1312"/>
      <c r="K29" s="1330"/>
      <c r="L29" s="1330"/>
      <c r="M29" s="1330"/>
      <c r="N29" s="1330"/>
      <c r="O29" s="1324"/>
      <c r="P29" s="1324"/>
      <c r="Q29" s="1332"/>
      <c r="R29" s="1282"/>
      <c r="S29" s="1148"/>
      <c r="T29" s="1292"/>
      <c r="U29" s="1148"/>
      <c r="V29" s="1148"/>
      <c r="W29" s="1275"/>
      <c r="X29" s="1275"/>
      <c r="Y29" s="1093"/>
      <c r="Z29" s="1101"/>
      <c r="AA29" s="1093"/>
      <c r="AB29" s="1093"/>
      <c r="AC29" s="1093"/>
      <c r="AD29" s="1275"/>
      <c r="AE29" s="1290"/>
      <c r="AG29" s="22"/>
    </row>
    <row r="30" spans="1:33" ht="121.5" hidden="1" customHeight="1" outlineLevel="1" x14ac:dyDescent="0.35">
      <c r="A30" s="1335">
        <v>3</v>
      </c>
      <c r="B30" s="1337" t="s">
        <v>759</v>
      </c>
      <c r="C30" s="64">
        <v>43916</v>
      </c>
      <c r="D30" s="48" t="s">
        <v>760</v>
      </c>
      <c r="E30" s="51" t="s">
        <v>90</v>
      </c>
      <c r="F30" s="1116">
        <f>K30/$Q$8</f>
        <v>1.8994684684684685E-3</v>
      </c>
      <c r="G30" s="1116">
        <f>L30/$R$8</f>
        <v>1.8244093441863577E-3</v>
      </c>
      <c r="H30" s="1116">
        <f>M30/$S$8</f>
        <v>0</v>
      </c>
      <c r="I30" s="1116">
        <f>N30/$U$8</f>
        <v>0</v>
      </c>
      <c r="J30" s="1329">
        <f>L30+M30</f>
        <v>53.517231000000002</v>
      </c>
      <c r="K30" s="1329">
        <f>-W30</f>
        <v>53.553614000000003</v>
      </c>
      <c r="L30" s="1329">
        <f t="shared" ref="L30:M30" si="15">-X30</f>
        <v>53.517231000000002</v>
      </c>
      <c r="M30" s="1329">
        <f t="shared" si="15"/>
        <v>0</v>
      </c>
      <c r="N30" s="1329">
        <f>-AA30</f>
        <v>0</v>
      </c>
      <c r="O30" s="73" t="s">
        <v>456</v>
      </c>
      <c r="P30" s="1352" t="s">
        <v>127</v>
      </c>
      <c r="Q30" s="1280">
        <f>W30/Q$8*100</f>
        <v>-0.18994684684684685</v>
      </c>
      <c r="R30" s="1280">
        <f t="shared" ref="R30" si="16">X30/R$8*100</f>
        <v>-0.18244093441863576</v>
      </c>
      <c r="S30" s="1280">
        <f>Y30/S$8*100</f>
        <v>0</v>
      </c>
      <c r="T30" s="1283">
        <f t="shared" ref="T30" si="17">Z30/T$8*100</f>
        <v>0</v>
      </c>
      <c r="U30" s="1280">
        <f>AA30/U$8*100</f>
        <v>0</v>
      </c>
      <c r="V30" s="1280">
        <f>AB30/V$8*100</f>
        <v>0</v>
      </c>
      <c r="W30" s="1294">
        <v>-53.553614000000003</v>
      </c>
      <c r="X30" s="1294">
        <v>-53.517231000000002</v>
      </c>
      <c r="Y30" s="1294">
        <v>0</v>
      </c>
      <c r="Z30" s="1299">
        <v>0</v>
      </c>
      <c r="AA30" s="1294">
        <v>0</v>
      </c>
      <c r="AB30" s="1294">
        <v>0</v>
      </c>
      <c r="AC30" s="1092">
        <v>0</v>
      </c>
      <c r="AD30" s="1092">
        <f>-AC30</f>
        <v>0</v>
      </c>
      <c r="AE30" s="51" t="s">
        <v>472</v>
      </c>
    </row>
    <row r="31" spans="1:33" ht="88.5" hidden="1" customHeight="1" outlineLevel="1" x14ac:dyDescent="0.35">
      <c r="A31" s="1342"/>
      <c r="B31" s="1343"/>
      <c r="C31" s="64">
        <v>43921</v>
      </c>
      <c r="D31" s="65" t="s">
        <v>87</v>
      </c>
      <c r="E31" s="51" t="s">
        <v>91</v>
      </c>
      <c r="F31" s="1132"/>
      <c r="G31" s="1132"/>
      <c r="H31" s="1132"/>
      <c r="I31" s="1132"/>
      <c r="J31" s="1351"/>
      <c r="K31" s="1351"/>
      <c r="L31" s="1351"/>
      <c r="M31" s="1351"/>
      <c r="N31" s="1351"/>
      <c r="O31" s="73" t="s">
        <v>457</v>
      </c>
      <c r="P31" s="1353"/>
      <c r="Q31" s="1281"/>
      <c r="R31" s="1281"/>
      <c r="S31" s="1281"/>
      <c r="T31" s="1284"/>
      <c r="U31" s="1281"/>
      <c r="V31" s="1281"/>
      <c r="W31" s="1302"/>
      <c r="X31" s="1302"/>
      <c r="Y31" s="1302"/>
      <c r="Z31" s="1300"/>
      <c r="AA31" s="1302"/>
      <c r="AB31" s="1302"/>
      <c r="AC31" s="1105"/>
      <c r="AD31" s="1105"/>
      <c r="AE31" s="51" t="s">
        <v>473</v>
      </c>
    </row>
    <row r="32" spans="1:33" ht="132.75" hidden="1" customHeight="1" outlineLevel="1" x14ac:dyDescent="0.35">
      <c r="A32" s="1342"/>
      <c r="B32" s="1343"/>
      <c r="C32" s="64">
        <v>43923</v>
      </c>
      <c r="D32" s="48" t="s">
        <v>88</v>
      </c>
      <c r="E32" s="51" t="s">
        <v>92</v>
      </c>
      <c r="F32" s="1132"/>
      <c r="G32" s="1132"/>
      <c r="H32" s="1132"/>
      <c r="I32" s="1132"/>
      <c r="J32" s="1351"/>
      <c r="K32" s="1351"/>
      <c r="L32" s="1351"/>
      <c r="M32" s="1351"/>
      <c r="N32" s="1351"/>
      <c r="O32" s="73" t="s">
        <v>456</v>
      </c>
      <c r="P32" s="1353"/>
      <c r="Q32" s="1281"/>
      <c r="R32" s="1281"/>
      <c r="S32" s="1281"/>
      <c r="T32" s="1284"/>
      <c r="U32" s="1281"/>
      <c r="V32" s="1281"/>
      <c r="W32" s="1302"/>
      <c r="X32" s="1302"/>
      <c r="Y32" s="1302"/>
      <c r="Z32" s="1300"/>
      <c r="AA32" s="1302"/>
      <c r="AB32" s="1302"/>
      <c r="AC32" s="1105"/>
      <c r="AD32" s="1105"/>
      <c r="AE32" s="51" t="s">
        <v>119</v>
      </c>
    </row>
    <row r="33" spans="1:31" ht="132.75" hidden="1" customHeight="1" outlineLevel="1" x14ac:dyDescent="0.35">
      <c r="A33" s="1342"/>
      <c r="B33" s="1343"/>
      <c r="C33" s="64">
        <v>43930</v>
      </c>
      <c r="D33" s="65" t="s">
        <v>89</v>
      </c>
      <c r="E33" s="51" t="s">
        <v>761</v>
      </c>
      <c r="F33" s="1132"/>
      <c r="G33" s="1132"/>
      <c r="H33" s="1132"/>
      <c r="I33" s="1132"/>
      <c r="J33" s="1351"/>
      <c r="K33" s="1351"/>
      <c r="L33" s="1351"/>
      <c r="M33" s="1351"/>
      <c r="N33" s="1351"/>
      <c r="O33" s="73" t="s">
        <v>456</v>
      </c>
      <c r="P33" s="1353"/>
      <c r="Q33" s="1281"/>
      <c r="R33" s="1281"/>
      <c r="S33" s="1281"/>
      <c r="T33" s="1284"/>
      <c r="U33" s="1281"/>
      <c r="V33" s="1281"/>
      <c r="W33" s="1302"/>
      <c r="X33" s="1302"/>
      <c r="Y33" s="1302"/>
      <c r="Z33" s="1300"/>
      <c r="AA33" s="1302"/>
      <c r="AB33" s="1302"/>
      <c r="AC33" s="1105"/>
      <c r="AD33" s="1105"/>
      <c r="AE33" s="51" t="s">
        <v>136</v>
      </c>
    </row>
    <row r="34" spans="1:31" ht="87.75" hidden="1" customHeight="1" outlineLevel="1" x14ac:dyDescent="0.35">
      <c r="A34" s="1342"/>
      <c r="B34" s="1343"/>
      <c r="C34" s="64">
        <v>43944</v>
      </c>
      <c r="D34" s="48" t="s">
        <v>244</v>
      </c>
      <c r="E34" s="51" t="s">
        <v>172</v>
      </c>
      <c r="F34" s="1132"/>
      <c r="G34" s="1132"/>
      <c r="H34" s="1132"/>
      <c r="I34" s="1132"/>
      <c r="J34" s="1351"/>
      <c r="K34" s="1351"/>
      <c r="L34" s="1351"/>
      <c r="M34" s="1351"/>
      <c r="N34" s="1351"/>
      <c r="O34" s="73" t="s">
        <v>457</v>
      </c>
      <c r="P34" s="1353"/>
      <c r="Q34" s="1281"/>
      <c r="R34" s="1281"/>
      <c r="S34" s="1281"/>
      <c r="T34" s="1284"/>
      <c r="U34" s="1281"/>
      <c r="V34" s="1281"/>
      <c r="W34" s="1302"/>
      <c r="X34" s="1302"/>
      <c r="Y34" s="1302"/>
      <c r="Z34" s="1300"/>
      <c r="AA34" s="1302"/>
      <c r="AB34" s="1302"/>
      <c r="AC34" s="1105"/>
      <c r="AD34" s="1105"/>
      <c r="AE34" s="51" t="s">
        <v>175</v>
      </c>
    </row>
    <row r="35" spans="1:31" ht="87.75" hidden="1" customHeight="1" outlineLevel="1" x14ac:dyDescent="0.35">
      <c r="A35" s="1342"/>
      <c r="B35" s="1343"/>
      <c r="C35" s="64">
        <v>43949</v>
      </c>
      <c r="D35" s="48" t="s">
        <v>762</v>
      </c>
      <c r="E35" s="51" t="s">
        <v>173</v>
      </c>
      <c r="F35" s="1117"/>
      <c r="G35" s="1117"/>
      <c r="H35" s="1117"/>
      <c r="I35" s="1117"/>
      <c r="J35" s="1351"/>
      <c r="K35" s="1351"/>
      <c r="L35" s="1351"/>
      <c r="M35" s="1351"/>
      <c r="N35" s="1351"/>
      <c r="O35" s="73" t="s">
        <v>456</v>
      </c>
      <c r="P35" s="1353"/>
      <c r="Q35" s="1281"/>
      <c r="R35" s="1281"/>
      <c r="S35" s="1281"/>
      <c r="T35" s="1284"/>
      <c r="U35" s="1281"/>
      <c r="V35" s="1281"/>
      <c r="W35" s="1302"/>
      <c r="X35" s="1302"/>
      <c r="Y35" s="1302"/>
      <c r="Z35" s="1300"/>
      <c r="AA35" s="1302"/>
      <c r="AB35" s="1302"/>
      <c r="AC35" s="1105"/>
      <c r="AD35" s="1105"/>
      <c r="AE35" s="51" t="s">
        <v>136</v>
      </c>
    </row>
    <row r="36" spans="1:31" ht="137.25" hidden="1" customHeight="1" outlineLevel="1" x14ac:dyDescent="0.35">
      <c r="A36" s="1342"/>
      <c r="B36" s="1343"/>
      <c r="C36" s="64" t="s">
        <v>531</v>
      </c>
      <c r="D36" s="48" t="s">
        <v>763</v>
      </c>
      <c r="E36" s="51" t="s">
        <v>764</v>
      </c>
      <c r="F36" s="52">
        <f>K36/$Q$8</f>
        <v>7.2016280059587138E-4</v>
      </c>
      <c r="G36" s="52">
        <f>L36/$R$8</f>
        <v>2.3814358926248184E-4</v>
      </c>
      <c r="H36" s="52">
        <f>M36/$S$8</f>
        <v>3.1852148988449841E-3</v>
      </c>
      <c r="I36" s="52">
        <f>N36/$U$8</f>
        <v>0</v>
      </c>
      <c r="J36" s="53">
        <f t="shared" ref="J36:J49" si="18">L36+M36</f>
        <v>104.545328</v>
      </c>
      <c r="K36" s="69">
        <f t="shared" ref="K36:M49" si="19">-W36</f>
        <v>20.304269999999999</v>
      </c>
      <c r="L36" s="69">
        <f t="shared" si="19"/>
        <v>6.9857050000000003</v>
      </c>
      <c r="M36" s="69">
        <f t="shared" si="19"/>
        <v>97.559623000000002</v>
      </c>
      <c r="N36" s="69">
        <f>-AA36</f>
        <v>0</v>
      </c>
      <c r="O36" s="73" t="s">
        <v>456</v>
      </c>
      <c r="P36" s="1353"/>
      <c r="Q36" s="74">
        <f t="shared" ref="Q36:V52" si="20">W36/Q$8*100</f>
        <v>-7.2016280059587143E-2</v>
      </c>
      <c r="R36" s="74">
        <f t="shared" si="20"/>
        <v>-2.3814358926248183E-2</v>
      </c>
      <c r="S36" s="74">
        <f t="shared" si="20"/>
        <v>-0.31852148988449841</v>
      </c>
      <c r="T36" s="136">
        <f t="shared" si="20"/>
        <v>-0.31852148988449841</v>
      </c>
      <c r="U36" s="74">
        <f t="shared" si="20"/>
        <v>0</v>
      </c>
      <c r="V36" s="74">
        <f t="shared" si="20"/>
        <v>0</v>
      </c>
      <c r="W36" s="76">
        <f>-20.30427</f>
        <v>-20.304269999999999</v>
      </c>
      <c r="X36" s="76">
        <v>-6.9857050000000003</v>
      </c>
      <c r="Y36" s="76">
        <f>-97.559623</f>
        <v>-97.559623000000002</v>
      </c>
      <c r="Z36" s="131">
        <f>-97.559623</f>
        <v>-97.559623000000002</v>
      </c>
      <c r="AA36" s="76">
        <v>0</v>
      </c>
      <c r="AB36" s="76">
        <v>0</v>
      </c>
      <c r="AC36" s="207">
        <v>-111.251271</v>
      </c>
      <c r="AD36" s="207">
        <f>-AC36</f>
        <v>111.251271</v>
      </c>
      <c r="AE36" s="51" t="s">
        <v>765</v>
      </c>
    </row>
    <row r="37" spans="1:31" ht="81" hidden="1" customHeight="1" outlineLevel="1" x14ac:dyDescent="0.35">
      <c r="A37" s="67">
        <v>4</v>
      </c>
      <c r="B37" s="68" t="s">
        <v>766</v>
      </c>
      <c r="C37" s="64">
        <v>43951</v>
      </c>
      <c r="D37" s="48" t="s">
        <v>767</v>
      </c>
      <c r="E37" s="51" t="s">
        <v>768</v>
      </c>
      <c r="F37" s="52">
        <f>K37/$Q$8</f>
        <v>5.9207278144286016E-5</v>
      </c>
      <c r="G37" s="52">
        <f>L37/$R$8</f>
        <v>5.6892881040038028E-5</v>
      </c>
      <c r="H37" s="52">
        <f>M37/$S$8</f>
        <v>0</v>
      </c>
      <c r="I37" s="52">
        <f>N37/$U$8</f>
        <v>0</v>
      </c>
      <c r="J37" s="53">
        <f t="shared" si="18"/>
        <v>1.6688959999999999</v>
      </c>
      <c r="K37" s="69">
        <f t="shared" si="19"/>
        <v>1.6692899999999999</v>
      </c>
      <c r="L37" s="69">
        <f t="shared" si="19"/>
        <v>1.6688959999999999</v>
      </c>
      <c r="M37" s="69">
        <f t="shared" si="19"/>
        <v>0</v>
      </c>
      <c r="N37" s="69">
        <f>-AA37</f>
        <v>0</v>
      </c>
      <c r="O37" s="73" t="s">
        <v>455</v>
      </c>
      <c r="P37" s="70" t="s">
        <v>127</v>
      </c>
      <c r="Q37" s="74">
        <f t="shared" si="20"/>
        <v>-5.9207278144286016E-3</v>
      </c>
      <c r="R37" s="74">
        <f t="shared" si="20"/>
        <v>-5.6892881040038028E-3</v>
      </c>
      <c r="S37" s="74">
        <f t="shared" si="20"/>
        <v>0</v>
      </c>
      <c r="T37" s="136">
        <f t="shared" si="20"/>
        <v>0</v>
      </c>
      <c r="U37" s="74">
        <f t="shared" si="20"/>
        <v>0</v>
      </c>
      <c r="V37" s="74">
        <f t="shared" si="20"/>
        <v>0</v>
      </c>
      <c r="W37" s="76">
        <v>-1.6692899999999999</v>
      </c>
      <c r="X37" s="76">
        <v>-1.6688959999999999</v>
      </c>
      <c r="Y37" s="76">
        <v>0</v>
      </c>
      <c r="Z37" s="131">
        <v>0</v>
      </c>
      <c r="AA37" s="76">
        <v>0</v>
      </c>
      <c r="AB37" s="76">
        <v>0</v>
      </c>
      <c r="AC37" s="207">
        <v>0</v>
      </c>
      <c r="AD37" s="207">
        <f>-AC37</f>
        <v>0</v>
      </c>
      <c r="AE37" s="51" t="s">
        <v>452</v>
      </c>
    </row>
    <row r="38" spans="1:31" ht="74.25" hidden="1" customHeight="1" outlineLevel="1" x14ac:dyDescent="0.35">
      <c r="A38" s="1335">
        <v>5</v>
      </c>
      <c r="B38" s="1344" t="s">
        <v>769</v>
      </c>
      <c r="C38" s="64">
        <v>43937</v>
      </c>
      <c r="D38" s="48" t="s">
        <v>770</v>
      </c>
      <c r="E38" s="51" t="s">
        <v>771</v>
      </c>
      <c r="F38" s="52">
        <f>K38/$Q$8</f>
        <v>5.6749663048875653E-5</v>
      </c>
      <c r="G38" s="52">
        <f>L38/$R$8</f>
        <v>5.396116397884175E-5</v>
      </c>
      <c r="H38" s="52">
        <f>M38/$S$8</f>
        <v>0</v>
      </c>
      <c r="I38" s="52">
        <f>N38/$U$8</f>
        <v>0</v>
      </c>
      <c r="J38" s="53">
        <f t="shared" si="18"/>
        <v>1.582897</v>
      </c>
      <c r="K38" s="69">
        <f t="shared" si="19"/>
        <v>1.6</v>
      </c>
      <c r="L38" s="69">
        <f t="shared" si="19"/>
        <v>1.582897</v>
      </c>
      <c r="M38" s="69">
        <f t="shared" si="19"/>
        <v>0</v>
      </c>
      <c r="N38" s="127">
        <f>-AA38</f>
        <v>0</v>
      </c>
      <c r="O38" s="73" t="s">
        <v>458</v>
      </c>
      <c r="P38" s="70" t="s">
        <v>127</v>
      </c>
      <c r="Q38" s="74">
        <f t="shared" si="20"/>
        <v>-5.6749663048875649E-3</v>
      </c>
      <c r="R38" s="74">
        <f t="shared" si="20"/>
        <v>-5.3961163978841747E-3</v>
      </c>
      <c r="S38" s="74">
        <f t="shared" si="20"/>
        <v>0</v>
      </c>
      <c r="T38" s="136">
        <f t="shared" si="20"/>
        <v>0</v>
      </c>
      <c r="U38" s="74">
        <f t="shared" si="20"/>
        <v>0</v>
      </c>
      <c r="V38" s="74">
        <f t="shared" si="20"/>
        <v>0</v>
      </c>
      <c r="W38" s="76">
        <v>-1.6</v>
      </c>
      <c r="X38" s="217">
        <v>-1.582897</v>
      </c>
      <c r="Y38" s="76">
        <v>0</v>
      </c>
      <c r="Z38" s="131">
        <v>0</v>
      </c>
      <c r="AA38" s="76">
        <v>0</v>
      </c>
      <c r="AB38" s="76">
        <v>0</v>
      </c>
      <c r="AC38" s="211">
        <v>0</v>
      </c>
      <c r="AD38" s="211">
        <f>-AC38</f>
        <v>0</v>
      </c>
      <c r="AE38" s="51" t="s">
        <v>772</v>
      </c>
    </row>
    <row r="39" spans="1:31" ht="72" hidden="1" customHeight="1" outlineLevel="1" x14ac:dyDescent="0.35">
      <c r="A39" s="1342"/>
      <c r="B39" s="1345"/>
      <c r="C39" s="1188" t="s">
        <v>1223</v>
      </c>
      <c r="D39" s="48" t="s">
        <v>773</v>
      </c>
      <c r="E39" s="1194" t="s">
        <v>774</v>
      </c>
      <c r="F39" s="1116">
        <f>K39/$Q$8</f>
        <v>1.5960842732496278E-5</v>
      </c>
      <c r="G39" s="1116">
        <f>L39/$R$8</f>
        <v>7.528225604660038E-6</v>
      </c>
      <c r="H39" s="1116">
        <f>M39/$S$8</f>
        <v>1.1463683652021192E-4</v>
      </c>
      <c r="I39" s="1116">
        <f>N39/$U$8</f>
        <v>0</v>
      </c>
      <c r="J39" s="1311">
        <f>L39+M39+N39</f>
        <v>3.7320329999999999</v>
      </c>
      <c r="K39" s="1137">
        <f>-W39</f>
        <v>0.45</v>
      </c>
      <c r="L39" s="1164">
        <f t="shared" si="19"/>
        <v>0.220833</v>
      </c>
      <c r="M39" s="1164">
        <f t="shared" si="19"/>
        <v>3.5112000000000001</v>
      </c>
      <c r="N39" s="1164">
        <f>-AA39</f>
        <v>0</v>
      </c>
      <c r="O39" s="1194" t="s">
        <v>455</v>
      </c>
      <c r="P39" s="1194" t="s">
        <v>127</v>
      </c>
      <c r="Q39" s="1277">
        <f t="shared" si="20"/>
        <v>-1.5960842732496278E-3</v>
      </c>
      <c r="R39" s="1277">
        <f t="shared" si="20"/>
        <v>-7.5282256046600379E-4</v>
      </c>
      <c r="S39" s="1280">
        <f t="shared" si="20"/>
        <v>-1.1463683652021193E-2</v>
      </c>
      <c r="T39" s="1283">
        <f t="shared" si="20"/>
        <v>-4.407602224375886E-3</v>
      </c>
      <c r="U39" s="1280">
        <f t="shared" si="20"/>
        <v>0</v>
      </c>
      <c r="V39" s="1280">
        <f t="shared" si="20"/>
        <v>0</v>
      </c>
      <c r="W39" s="1286">
        <v>-0.45</v>
      </c>
      <c r="X39" s="1286">
        <v>-0.220833</v>
      </c>
      <c r="Y39" s="1294">
        <f>-1.35-2.1612</f>
        <v>-3.5112000000000001</v>
      </c>
      <c r="Z39" s="1299">
        <v>-1.35</v>
      </c>
      <c r="AA39" s="1294">
        <v>0</v>
      </c>
      <c r="AB39" s="1294">
        <v>0</v>
      </c>
      <c r="AC39" s="1092">
        <v>-3.0861130000000001</v>
      </c>
      <c r="AD39" s="1273">
        <f>-AC39</f>
        <v>3.0861130000000001</v>
      </c>
      <c r="AE39" s="1194" t="s">
        <v>1284</v>
      </c>
    </row>
    <row r="40" spans="1:31" ht="67.5" hidden="1" customHeight="1" outlineLevel="1" x14ac:dyDescent="0.35">
      <c r="A40" s="1342"/>
      <c r="B40" s="1345"/>
      <c r="C40" s="1189"/>
      <c r="D40" s="48" t="s">
        <v>775</v>
      </c>
      <c r="E40" s="1276"/>
      <c r="F40" s="1132"/>
      <c r="G40" s="1132"/>
      <c r="H40" s="1132"/>
      <c r="I40" s="1132"/>
      <c r="J40" s="1349"/>
      <c r="K40" s="1350"/>
      <c r="L40" s="1165"/>
      <c r="M40" s="1165"/>
      <c r="N40" s="1165"/>
      <c r="O40" s="1276"/>
      <c r="P40" s="1276"/>
      <c r="Q40" s="1278"/>
      <c r="R40" s="1278"/>
      <c r="S40" s="1281"/>
      <c r="T40" s="1284"/>
      <c r="U40" s="1281"/>
      <c r="V40" s="1281"/>
      <c r="W40" s="1287"/>
      <c r="X40" s="1287"/>
      <c r="Y40" s="1302"/>
      <c r="Z40" s="1300"/>
      <c r="AA40" s="1302"/>
      <c r="AB40" s="1302"/>
      <c r="AC40" s="1105"/>
      <c r="AD40" s="1274"/>
      <c r="AE40" s="1276"/>
    </row>
    <row r="41" spans="1:31" ht="67.5" hidden="1" customHeight="1" outlineLevel="1" x14ac:dyDescent="0.35">
      <c r="A41" s="1336"/>
      <c r="B41" s="1346"/>
      <c r="C41" s="1190"/>
      <c r="D41" s="48" t="s">
        <v>1283</v>
      </c>
      <c r="E41" s="1195"/>
      <c r="F41" s="1117"/>
      <c r="G41" s="1117"/>
      <c r="H41" s="1117"/>
      <c r="I41" s="1117"/>
      <c r="J41" s="1312"/>
      <c r="K41" s="1138"/>
      <c r="L41" s="1166"/>
      <c r="M41" s="1166"/>
      <c r="N41" s="1166"/>
      <c r="O41" s="1195"/>
      <c r="P41" s="1195"/>
      <c r="Q41" s="1279"/>
      <c r="R41" s="1279"/>
      <c r="S41" s="1282"/>
      <c r="T41" s="1285"/>
      <c r="U41" s="1282"/>
      <c r="V41" s="1282"/>
      <c r="W41" s="1288"/>
      <c r="X41" s="1288"/>
      <c r="Y41" s="1295"/>
      <c r="Z41" s="1301"/>
      <c r="AA41" s="1295"/>
      <c r="AB41" s="1295"/>
      <c r="AC41" s="1093"/>
      <c r="AD41" s="1275"/>
      <c r="AE41" s="1195"/>
    </row>
    <row r="42" spans="1:31" ht="149.5" hidden="1" customHeight="1" outlineLevel="1" x14ac:dyDescent="0.35">
      <c r="A42" s="199">
        <v>6</v>
      </c>
      <c r="B42" s="68" t="s">
        <v>776</v>
      </c>
      <c r="C42" s="62">
        <v>43937</v>
      </c>
      <c r="D42" s="48" t="s">
        <v>777</v>
      </c>
      <c r="E42" s="51" t="s">
        <v>93</v>
      </c>
      <c r="F42" s="52">
        <f>K42/$Q$8</f>
        <v>1.230165638079024E-4</v>
      </c>
      <c r="G42" s="52">
        <f>L42/$R$8</f>
        <v>1.356958293180842E-4</v>
      </c>
      <c r="H42" s="52">
        <f>M42/$S$8</f>
        <v>0</v>
      </c>
      <c r="I42" s="52">
        <f>N42/$U$8</f>
        <v>0</v>
      </c>
      <c r="J42" s="53">
        <f t="shared" si="18"/>
        <v>3.980502</v>
      </c>
      <c r="K42" s="69">
        <f t="shared" si="19"/>
        <v>3.4683290000000002</v>
      </c>
      <c r="L42" s="69">
        <f>-X42</f>
        <v>3.980502</v>
      </c>
      <c r="M42" s="69">
        <f>-Y42</f>
        <v>0</v>
      </c>
      <c r="N42" s="69">
        <f>-AA42</f>
        <v>0</v>
      </c>
      <c r="O42" s="73" t="s">
        <v>454</v>
      </c>
      <c r="P42" s="70" t="s">
        <v>126</v>
      </c>
      <c r="Q42" s="74">
        <f t="shared" ref="Q42:S45" si="21">W42/Q$8*100</f>
        <v>-1.2301656380790241E-2</v>
      </c>
      <c r="R42" s="74">
        <f t="shared" si="20"/>
        <v>-1.3569582931808421E-2</v>
      </c>
      <c r="S42" s="74">
        <f t="shared" si="21"/>
        <v>0</v>
      </c>
      <c r="T42" s="136">
        <f t="shared" si="20"/>
        <v>0</v>
      </c>
      <c r="U42" s="74">
        <f t="shared" si="20"/>
        <v>0</v>
      </c>
      <c r="V42" s="74">
        <f t="shared" si="20"/>
        <v>0</v>
      </c>
      <c r="W42" s="76">
        <v>-3.4683290000000002</v>
      </c>
      <c r="X42" s="76">
        <v>-3.980502</v>
      </c>
      <c r="Y42" s="76">
        <v>0</v>
      </c>
      <c r="Z42" s="131">
        <v>0</v>
      </c>
      <c r="AA42" s="76">
        <v>0</v>
      </c>
      <c r="AB42" s="76">
        <v>0</v>
      </c>
      <c r="AC42" s="207">
        <v>0</v>
      </c>
      <c r="AD42" s="207">
        <f>-AC42</f>
        <v>0</v>
      </c>
      <c r="AE42" s="51" t="s">
        <v>778</v>
      </c>
    </row>
    <row r="43" spans="1:31" ht="121.5" hidden="1" customHeight="1" outlineLevel="1" x14ac:dyDescent="0.35">
      <c r="A43" s="1335">
        <v>7</v>
      </c>
      <c r="B43" s="1337" t="s">
        <v>779</v>
      </c>
      <c r="C43" s="64">
        <v>43930</v>
      </c>
      <c r="D43" s="48" t="s">
        <v>780</v>
      </c>
      <c r="E43" s="51" t="s">
        <v>781</v>
      </c>
      <c r="F43" s="52">
        <f>K43/$Q$8</f>
        <v>2.5328048520961909E-5</v>
      </c>
      <c r="G43" s="52">
        <f>L43/$R$8</f>
        <v>2.4343727504775684E-5</v>
      </c>
      <c r="H43" s="52">
        <f>M43/$S$8</f>
        <v>0</v>
      </c>
      <c r="I43" s="52">
        <f>N43/$U$8</f>
        <v>0</v>
      </c>
      <c r="J43" s="53">
        <f t="shared" si="18"/>
        <v>0.71409900000000004</v>
      </c>
      <c r="K43" s="69">
        <f t="shared" si="19"/>
        <v>0.71409900000000004</v>
      </c>
      <c r="L43" s="69">
        <f t="shared" si="19"/>
        <v>0.71409900000000004</v>
      </c>
      <c r="M43" s="69">
        <f t="shared" si="19"/>
        <v>0</v>
      </c>
      <c r="N43" s="69">
        <f>-AA43</f>
        <v>0</v>
      </c>
      <c r="O43" s="73" t="s">
        <v>454</v>
      </c>
      <c r="P43" s="70" t="s">
        <v>127</v>
      </c>
      <c r="Q43" s="74">
        <f t="shared" si="21"/>
        <v>-2.532804852096191E-3</v>
      </c>
      <c r="R43" s="74">
        <f t="shared" si="20"/>
        <v>-2.4343727504775683E-3</v>
      </c>
      <c r="S43" s="74">
        <f t="shared" si="21"/>
        <v>0</v>
      </c>
      <c r="T43" s="136">
        <f t="shared" si="20"/>
        <v>0</v>
      </c>
      <c r="U43" s="74">
        <f t="shared" si="20"/>
        <v>0</v>
      </c>
      <c r="V43" s="74">
        <f t="shared" si="20"/>
        <v>0</v>
      </c>
      <c r="W43" s="76">
        <v>-0.71409900000000004</v>
      </c>
      <c r="X43" s="76">
        <v>-0.71409900000000004</v>
      </c>
      <c r="Y43" s="76">
        <v>0</v>
      </c>
      <c r="Z43" s="131">
        <v>0</v>
      </c>
      <c r="AA43" s="76">
        <v>0</v>
      </c>
      <c r="AB43" s="76">
        <v>0</v>
      </c>
      <c r="AC43" s="207">
        <v>0</v>
      </c>
      <c r="AD43" s="207">
        <f>-AC43</f>
        <v>0</v>
      </c>
      <c r="AE43" s="51" t="s">
        <v>782</v>
      </c>
    </row>
    <row r="44" spans="1:31" ht="90" hidden="1" customHeight="1" outlineLevel="1" x14ac:dyDescent="0.35">
      <c r="A44" s="1336"/>
      <c r="B44" s="1338"/>
      <c r="C44" s="62" t="s">
        <v>627</v>
      </c>
      <c r="D44" s="48" t="s">
        <v>783</v>
      </c>
      <c r="E44" s="51" t="s">
        <v>784</v>
      </c>
      <c r="F44" s="52">
        <f>K44/$Q$8</f>
        <v>5.4621550684542808E-6</v>
      </c>
      <c r="G44" s="52">
        <f>L44/$R$8</f>
        <v>0</v>
      </c>
      <c r="H44" s="52">
        <f>M44/$S$8</f>
        <v>2.3882674275044151E-5</v>
      </c>
      <c r="I44" s="52">
        <f>N44/$U$8</f>
        <v>0</v>
      </c>
      <c r="J44" s="53">
        <f t="shared" si="18"/>
        <v>0.73150000000000004</v>
      </c>
      <c r="K44" s="69">
        <f t="shared" si="19"/>
        <v>0.154</v>
      </c>
      <c r="L44" s="69">
        <f t="shared" si="19"/>
        <v>0</v>
      </c>
      <c r="M44" s="69">
        <f t="shared" si="19"/>
        <v>0.73150000000000004</v>
      </c>
      <c r="N44" s="69">
        <f>-AA44</f>
        <v>0</v>
      </c>
      <c r="O44" s="73" t="s">
        <v>454</v>
      </c>
      <c r="P44" s="70" t="s">
        <v>127</v>
      </c>
      <c r="Q44" s="74">
        <f t="shared" si="21"/>
        <v>-5.4621550684542811E-4</v>
      </c>
      <c r="R44" s="74">
        <f t="shared" si="20"/>
        <v>0</v>
      </c>
      <c r="S44" s="74">
        <f t="shared" si="21"/>
        <v>-2.388267427504415E-3</v>
      </c>
      <c r="T44" s="136">
        <f t="shared" si="20"/>
        <v>-2.388267427504415E-3</v>
      </c>
      <c r="U44" s="74">
        <f t="shared" si="20"/>
        <v>0</v>
      </c>
      <c r="V44" s="74">
        <f t="shared" si="20"/>
        <v>0</v>
      </c>
      <c r="W44" s="76">
        <f>-0.154</f>
        <v>-0.154</v>
      </c>
      <c r="X44" s="76">
        <v>0</v>
      </c>
      <c r="Y44" s="76">
        <f>-0.7315</f>
        <v>-0.73150000000000004</v>
      </c>
      <c r="Z44" s="131">
        <f>-0.7315</f>
        <v>-0.73150000000000004</v>
      </c>
      <c r="AA44" s="76">
        <v>0</v>
      </c>
      <c r="AB44" s="76">
        <v>0</v>
      </c>
      <c r="AC44" s="207">
        <f>-1.393275</f>
        <v>-1.393275</v>
      </c>
      <c r="AD44" s="207">
        <f>-AC44</f>
        <v>1.393275</v>
      </c>
      <c r="AE44" s="51" t="s">
        <v>453</v>
      </c>
    </row>
    <row r="45" spans="1:31" ht="79.5" hidden="1" customHeight="1" outlineLevel="1" x14ac:dyDescent="0.35">
      <c r="A45" s="1335">
        <v>8</v>
      </c>
      <c r="B45" s="1337" t="s">
        <v>785</v>
      </c>
      <c r="C45" s="1339" t="s">
        <v>628</v>
      </c>
      <c r="D45" s="48" t="s">
        <v>786</v>
      </c>
      <c r="E45" s="1289" t="s">
        <v>176</v>
      </c>
      <c r="F45" s="1116">
        <f>K45/$Q$8</f>
        <v>1.8030336241753564E-4</v>
      </c>
      <c r="G45" s="1116">
        <f>L45/$R$8</f>
        <v>1.7575053852177832E-4</v>
      </c>
      <c r="H45" s="1116">
        <f>M45/$S$8</f>
        <v>4.8418378895651834E-4</v>
      </c>
      <c r="I45" s="1116">
        <f>N45/$U$8</f>
        <v>0</v>
      </c>
      <c r="J45" s="1311">
        <f>L45+M45</f>
        <v>19.985483000000002</v>
      </c>
      <c r="K45" s="1329">
        <f>-W45</f>
        <v>5.0834729999999997</v>
      </c>
      <c r="L45" s="1329">
        <f>-X45</f>
        <v>5.1554669999999998</v>
      </c>
      <c r="M45" s="1329">
        <f>-Y45</f>
        <v>14.830016000000001</v>
      </c>
      <c r="N45" s="1329">
        <f>-AA45</f>
        <v>0</v>
      </c>
      <c r="O45" s="1347" t="s">
        <v>454</v>
      </c>
      <c r="P45" s="1194" t="s">
        <v>127</v>
      </c>
      <c r="Q45" s="1280">
        <f t="shared" si="21"/>
        <v>-1.8030336241753563E-2</v>
      </c>
      <c r="R45" s="1280">
        <f t="shared" si="20"/>
        <v>-1.7575053852177832E-2</v>
      </c>
      <c r="S45" s="1280">
        <f t="shared" si="21"/>
        <v>-4.8418378895651835E-2</v>
      </c>
      <c r="T45" s="1283">
        <f t="shared" si="20"/>
        <v>-3.4942295074258847E-2</v>
      </c>
      <c r="U45" s="1280">
        <f t="shared" si="20"/>
        <v>0</v>
      </c>
      <c r="V45" s="1280">
        <f t="shared" si="20"/>
        <v>0</v>
      </c>
      <c r="W45" s="1294">
        <v>-5.0834729999999997</v>
      </c>
      <c r="X45" s="1294">
        <f>-5.083473-0.071994</f>
        <v>-5.1554669999999998</v>
      </c>
      <c r="Y45" s="1294">
        <f>-10.70244-4.127576</f>
        <v>-14.830016000000001</v>
      </c>
      <c r="Z45" s="1299">
        <v>-10.702439999999999</v>
      </c>
      <c r="AA45" s="1294">
        <v>0</v>
      </c>
      <c r="AB45" s="1294">
        <v>0</v>
      </c>
      <c r="AC45" s="1092">
        <f>-7.593021</f>
        <v>-7.5930210000000002</v>
      </c>
      <c r="AD45" s="1092">
        <f>-AC45</f>
        <v>7.5930210000000002</v>
      </c>
      <c r="AE45" s="1289" t="s">
        <v>787</v>
      </c>
    </row>
    <row r="46" spans="1:31" ht="99.75" hidden="1" customHeight="1" outlineLevel="1" x14ac:dyDescent="0.35">
      <c r="A46" s="1336"/>
      <c r="B46" s="1338"/>
      <c r="C46" s="1340"/>
      <c r="D46" s="48" t="s">
        <v>788</v>
      </c>
      <c r="E46" s="1290"/>
      <c r="F46" s="1117"/>
      <c r="G46" s="1117"/>
      <c r="H46" s="1117"/>
      <c r="I46" s="1117"/>
      <c r="J46" s="1312"/>
      <c r="K46" s="1330"/>
      <c r="L46" s="1330"/>
      <c r="M46" s="1330"/>
      <c r="N46" s="1330"/>
      <c r="O46" s="1348"/>
      <c r="P46" s="1195"/>
      <c r="Q46" s="1282"/>
      <c r="R46" s="1282"/>
      <c r="S46" s="1282"/>
      <c r="T46" s="1285"/>
      <c r="U46" s="1282"/>
      <c r="V46" s="1282"/>
      <c r="W46" s="1295"/>
      <c r="X46" s="1295"/>
      <c r="Y46" s="1295"/>
      <c r="Z46" s="1301"/>
      <c r="AA46" s="1295"/>
      <c r="AB46" s="1295"/>
      <c r="AC46" s="1093"/>
      <c r="AD46" s="1093"/>
      <c r="AE46" s="1290"/>
    </row>
    <row r="47" spans="1:31" ht="162.75" hidden="1" customHeight="1" outlineLevel="1" x14ac:dyDescent="0.35">
      <c r="A47" s="199">
        <v>9</v>
      </c>
      <c r="B47" s="68" t="s">
        <v>789</v>
      </c>
      <c r="C47" s="64">
        <v>43971</v>
      </c>
      <c r="D47" s="48" t="s">
        <v>790</v>
      </c>
      <c r="E47" s="51" t="s">
        <v>791</v>
      </c>
      <c r="F47" s="52">
        <f>K47/$Q$8</f>
        <v>1.2010211392494857E-4</v>
      </c>
      <c r="G47" s="52">
        <f t="shared" ref="G47:G53" si="22">L47/$R$8</f>
        <v>1.1543459938165957E-4</v>
      </c>
      <c r="H47" s="52">
        <f>M47/$S$8</f>
        <v>0</v>
      </c>
      <c r="I47" s="52">
        <f t="shared" ref="I47:I53" si="23">N47/$U$8</f>
        <v>0</v>
      </c>
      <c r="J47" s="53">
        <f t="shared" si="18"/>
        <v>3.3861590000000001</v>
      </c>
      <c r="K47" s="69">
        <f t="shared" si="19"/>
        <v>3.3861590000000001</v>
      </c>
      <c r="L47" s="69">
        <f t="shared" si="19"/>
        <v>3.3861590000000001</v>
      </c>
      <c r="M47" s="69">
        <f t="shared" si="19"/>
        <v>0</v>
      </c>
      <c r="N47" s="69">
        <f t="shared" ref="N47:N53" si="24">-AA47</f>
        <v>0</v>
      </c>
      <c r="O47" s="73" t="s">
        <v>454</v>
      </c>
      <c r="P47" s="70" t="s">
        <v>127</v>
      </c>
      <c r="Q47" s="74">
        <f t="shared" ref="Q47:S49" si="25">W47/Q$8*100</f>
        <v>-1.2010211392494858E-2</v>
      </c>
      <c r="R47" s="74">
        <f t="shared" si="20"/>
        <v>-1.1543459938165957E-2</v>
      </c>
      <c r="S47" s="74">
        <f t="shared" si="25"/>
        <v>0</v>
      </c>
      <c r="T47" s="136">
        <f t="shared" si="20"/>
        <v>0</v>
      </c>
      <c r="U47" s="74">
        <f t="shared" si="20"/>
        <v>0</v>
      </c>
      <c r="V47" s="74">
        <f t="shared" si="20"/>
        <v>0</v>
      </c>
      <c r="W47" s="76">
        <v>-3.3861590000000001</v>
      </c>
      <c r="X47" s="76">
        <f>-3.384779-0.00138</f>
        <v>-3.3861590000000001</v>
      </c>
      <c r="Y47" s="76">
        <v>0</v>
      </c>
      <c r="Z47" s="131">
        <v>0</v>
      </c>
      <c r="AA47" s="76">
        <v>0</v>
      </c>
      <c r="AB47" s="76">
        <v>0</v>
      </c>
      <c r="AC47" s="207">
        <v>0</v>
      </c>
      <c r="AD47" s="207">
        <v>0</v>
      </c>
      <c r="AE47" s="51" t="s">
        <v>792</v>
      </c>
    </row>
    <row r="48" spans="1:31" ht="103.5" hidden="1" customHeight="1" outlineLevel="1" x14ac:dyDescent="0.35">
      <c r="A48" s="199">
        <v>10</v>
      </c>
      <c r="B48" s="68" t="s">
        <v>793</v>
      </c>
      <c r="C48" s="62">
        <v>43956</v>
      </c>
      <c r="D48" s="48" t="s">
        <v>794</v>
      </c>
      <c r="E48" s="51" t="s">
        <v>795</v>
      </c>
      <c r="F48" s="52">
        <f>K48/$Q$8</f>
        <v>1.1998226573029723E-5</v>
      </c>
      <c r="G48" s="52">
        <f t="shared" si="22"/>
        <v>1.1531940883351621E-5</v>
      </c>
      <c r="H48" s="52">
        <f>M48/$S$8</f>
        <v>0</v>
      </c>
      <c r="I48" s="52">
        <f t="shared" si="23"/>
        <v>0</v>
      </c>
      <c r="J48" s="53">
        <f t="shared" si="18"/>
        <v>0.33827800000000002</v>
      </c>
      <c r="K48" s="69">
        <f t="shared" si="19"/>
        <v>0.33827800000000002</v>
      </c>
      <c r="L48" s="69">
        <f t="shared" si="19"/>
        <v>0.33827800000000002</v>
      </c>
      <c r="M48" s="69">
        <f t="shared" si="19"/>
        <v>0</v>
      </c>
      <c r="N48" s="69">
        <f t="shared" si="24"/>
        <v>0</v>
      </c>
      <c r="O48" s="73" t="s">
        <v>454</v>
      </c>
      <c r="P48" s="70" t="s">
        <v>127</v>
      </c>
      <c r="Q48" s="74">
        <f t="shared" si="25"/>
        <v>-1.1998226573029722E-3</v>
      </c>
      <c r="R48" s="74">
        <f t="shared" si="20"/>
        <v>-1.1531940883351621E-3</v>
      </c>
      <c r="S48" s="74">
        <f t="shared" si="25"/>
        <v>0</v>
      </c>
      <c r="T48" s="136">
        <f t="shared" si="20"/>
        <v>0</v>
      </c>
      <c r="U48" s="74">
        <f t="shared" si="20"/>
        <v>0</v>
      </c>
      <c r="V48" s="74">
        <f t="shared" si="20"/>
        <v>0</v>
      </c>
      <c r="W48" s="76">
        <v>-0.33827800000000002</v>
      </c>
      <c r="X48" s="76">
        <v>-0.33827800000000002</v>
      </c>
      <c r="Y48" s="76">
        <v>0</v>
      </c>
      <c r="Z48" s="131">
        <v>0</v>
      </c>
      <c r="AA48" s="76">
        <v>0</v>
      </c>
      <c r="AB48" s="76">
        <v>0</v>
      </c>
      <c r="AC48" s="207">
        <v>0</v>
      </c>
      <c r="AD48" s="207">
        <f t="shared" ref="AD48:AD52" si="26">-AC48</f>
        <v>0</v>
      </c>
      <c r="AE48" s="51" t="s">
        <v>474</v>
      </c>
    </row>
    <row r="49" spans="1:33" ht="135" hidden="1" customHeight="1" outlineLevel="1" x14ac:dyDescent="0.35">
      <c r="A49" s="199">
        <v>11</v>
      </c>
      <c r="B49" s="68" t="s">
        <v>796</v>
      </c>
      <c r="C49" s="62" t="s">
        <v>353</v>
      </c>
      <c r="D49" s="48" t="s">
        <v>797</v>
      </c>
      <c r="E49" s="51" t="s">
        <v>798</v>
      </c>
      <c r="F49" s="52">
        <f>K49/$Q$8</f>
        <v>4.3973717812300492E-5</v>
      </c>
      <c r="G49" s="52">
        <f t="shared" si="22"/>
        <v>4.2264772309978543E-5</v>
      </c>
      <c r="H49" s="52">
        <f>M49/$S$8</f>
        <v>0</v>
      </c>
      <c r="I49" s="52">
        <f t="shared" si="23"/>
        <v>0</v>
      </c>
      <c r="J49" s="53">
        <f t="shared" si="18"/>
        <v>1.239795</v>
      </c>
      <c r="K49" s="69">
        <f t="shared" si="19"/>
        <v>1.239795</v>
      </c>
      <c r="L49" s="69">
        <f>-X49</f>
        <v>1.239795</v>
      </c>
      <c r="M49" s="69">
        <f>-Y49</f>
        <v>0</v>
      </c>
      <c r="N49" s="69">
        <f t="shared" si="24"/>
        <v>0</v>
      </c>
      <c r="O49" s="73" t="s">
        <v>454</v>
      </c>
      <c r="P49" s="70" t="s">
        <v>127</v>
      </c>
      <c r="Q49" s="74">
        <f t="shared" si="25"/>
        <v>-4.3973717812300491E-3</v>
      </c>
      <c r="R49" s="74">
        <f t="shared" si="20"/>
        <v>-4.2264772309978547E-3</v>
      </c>
      <c r="S49" s="74">
        <f t="shared" si="25"/>
        <v>0</v>
      </c>
      <c r="T49" s="136">
        <f t="shared" si="20"/>
        <v>0</v>
      </c>
      <c r="U49" s="74">
        <f t="shared" si="20"/>
        <v>0</v>
      </c>
      <c r="V49" s="74">
        <f t="shared" si="20"/>
        <v>0</v>
      </c>
      <c r="W49" s="76">
        <v>-1.239795</v>
      </c>
      <c r="X49" s="76">
        <f>-1.2162-0.023595</f>
        <v>-1.239795</v>
      </c>
      <c r="Y49" s="76">
        <v>0</v>
      </c>
      <c r="Z49" s="131">
        <v>0</v>
      </c>
      <c r="AA49" s="76">
        <v>0</v>
      </c>
      <c r="AB49" s="76">
        <v>0</v>
      </c>
      <c r="AC49" s="207">
        <v>-2.2499999999999998E-3</v>
      </c>
      <c r="AD49" s="207">
        <f t="shared" si="26"/>
        <v>2.2499999999999998E-3</v>
      </c>
      <c r="AE49" s="51" t="s">
        <v>475</v>
      </c>
    </row>
    <row r="50" spans="1:33" ht="56.25" hidden="1" customHeight="1" outlineLevel="1" x14ac:dyDescent="0.35">
      <c r="A50" s="1335">
        <v>12</v>
      </c>
      <c r="B50" s="1337" t="s">
        <v>799</v>
      </c>
      <c r="C50" s="237" t="s">
        <v>800</v>
      </c>
      <c r="D50" s="48" t="s">
        <v>801</v>
      </c>
      <c r="E50" s="200" t="s">
        <v>802</v>
      </c>
      <c r="F50" s="1116">
        <f>K50/$Q$8</f>
        <v>2.1054124991132864E-3</v>
      </c>
      <c r="G50" s="105">
        <f t="shared" si="22"/>
        <v>4.9771589313207971E-4</v>
      </c>
      <c r="H50" s="202">
        <v>0</v>
      </c>
      <c r="I50" s="105">
        <f t="shared" si="23"/>
        <v>0</v>
      </c>
      <c r="J50" s="212">
        <v>14.6</v>
      </c>
      <c r="K50" s="1329">
        <v>59.36</v>
      </c>
      <c r="L50" s="212">
        <v>14.6</v>
      </c>
      <c r="M50" s="212">
        <v>0</v>
      </c>
      <c r="N50" s="212">
        <f t="shared" si="24"/>
        <v>0</v>
      </c>
      <c r="O50" s="236" t="s">
        <v>459</v>
      </c>
      <c r="P50" s="215" t="s">
        <v>127</v>
      </c>
      <c r="Q50" s="1280">
        <f>W50/Q$8*100</f>
        <v>-0.21054124991132864</v>
      </c>
      <c r="R50" s="74">
        <f t="shared" si="20"/>
        <v>-4.9771589313207971E-2</v>
      </c>
      <c r="S50" s="107">
        <v>0</v>
      </c>
      <c r="T50" s="136">
        <f t="shared" si="20"/>
        <v>0</v>
      </c>
      <c r="U50" s="107">
        <v>0</v>
      </c>
      <c r="V50" s="107">
        <v>0</v>
      </c>
      <c r="W50" s="1294">
        <f>-59.2-0.16</f>
        <v>-59.36</v>
      </c>
      <c r="X50" s="108">
        <v>-14.6</v>
      </c>
      <c r="Y50" s="217">
        <v>0</v>
      </c>
      <c r="Z50" s="216">
        <v>0</v>
      </c>
      <c r="AA50" s="217">
        <v>0</v>
      </c>
      <c r="AB50" s="217">
        <v>0</v>
      </c>
      <c r="AC50" s="211">
        <v>0</v>
      </c>
      <c r="AD50" s="211">
        <f t="shared" si="26"/>
        <v>0</v>
      </c>
      <c r="AE50" s="200" t="s">
        <v>803</v>
      </c>
    </row>
    <row r="51" spans="1:33" ht="117" hidden="1" customHeight="1" outlineLevel="1" x14ac:dyDescent="0.35">
      <c r="A51" s="1342"/>
      <c r="B51" s="1343"/>
      <c r="C51" s="62" t="s">
        <v>664</v>
      </c>
      <c r="D51" s="48" t="s">
        <v>801</v>
      </c>
      <c r="E51" s="51" t="s">
        <v>804</v>
      </c>
      <c r="F51" s="1117"/>
      <c r="G51" s="105">
        <f t="shared" si="22"/>
        <v>1.0359990405673905E-3</v>
      </c>
      <c r="H51" s="203">
        <v>0</v>
      </c>
      <c r="I51" s="105">
        <f t="shared" si="23"/>
        <v>0</v>
      </c>
      <c r="J51" s="213">
        <v>30.39</v>
      </c>
      <c r="K51" s="1330"/>
      <c r="L51" s="213">
        <v>30.39</v>
      </c>
      <c r="M51" s="69">
        <v>0</v>
      </c>
      <c r="N51" s="69">
        <f t="shared" si="24"/>
        <v>0</v>
      </c>
      <c r="O51" s="73" t="s">
        <v>459</v>
      </c>
      <c r="P51" s="70" t="s">
        <v>127</v>
      </c>
      <c r="Q51" s="1282"/>
      <c r="R51" s="74">
        <f>X51/R$8*100</f>
        <v>-0.10359990405673905</v>
      </c>
      <c r="S51" s="109">
        <v>0</v>
      </c>
      <c r="T51" s="136">
        <f t="shared" si="20"/>
        <v>0</v>
      </c>
      <c r="U51" s="109">
        <v>0</v>
      </c>
      <c r="V51" s="109">
        <v>0</v>
      </c>
      <c r="W51" s="1295"/>
      <c r="X51" s="110">
        <v>-30.39</v>
      </c>
      <c r="Y51" s="76">
        <v>0</v>
      </c>
      <c r="Z51" s="131">
        <v>0</v>
      </c>
      <c r="AA51" s="76">
        <v>0</v>
      </c>
      <c r="AB51" s="76">
        <v>0</v>
      </c>
      <c r="AC51" s="207">
        <v>0</v>
      </c>
      <c r="AD51" s="207">
        <f t="shared" si="26"/>
        <v>0</v>
      </c>
      <c r="AE51" s="51" t="s">
        <v>476</v>
      </c>
    </row>
    <row r="52" spans="1:33" ht="134.25" hidden="1" customHeight="1" outlineLevel="1" x14ac:dyDescent="0.35">
      <c r="A52" s="1336"/>
      <c r="B52" s="1338"/>
      <c r="C52" s="62" t="s">
        <v>531</v>
      </c>
      <c r="D52" s="48" t="s">
        <v>805</v>
      </c>
      <c r="E52" s="51" t="s">
        <v>410</v>
      </c>
      <c r="F52" s="52">
        <f>K52/$Q$8</f>
        <v>1.383273036816344E-3</v>
      </c>
      <c r="G52" s="52">
        <f t="shared" si="22"/>
        <v>7.959912325640917E-5</v>
      </c>
      <c r="H52" s="52">
        <f>M52/$S$8</f>
        <v>2.4703528156413967E-3</v>
      </c>
      <c r="I52" s="52">
        <f t="shared" si="23"/>
        <v>0</v>
      </c>
      <c r="J52" s="53">
        <f>L52+M52</f>
        <v>77.999145999999996</v>
      </c>
      <c r="K52" s="69">
        <f>-W52</f>
        <v>39</v>
      </c>
      <c r="L52" s="69">
        <f t="shared" ref="L52:M52" si="27">-X52</f>
        <v>2.3349609999999998</v>
      </c>
      <c r="M52" s="69">
        <f t="shared" si="27"/>
        <v>75.664185000000003</v>
      </c>
      <c r="N52" s="69">
        <f t="shared" si="24"/>
        <v>0</v>
      </c>
      <c r="O52" s="73" t="s">
        <v>460</v>
      </c>
      <c r="P52" s="70" t="s">
        <v>127</v>
      </c>
      <c r="Q52" s="74">
        <f t="shared" ref="Q52:S53" si="28">W52/Q$8*100</f>
        <v>-0.1383273036816344</v>
      </c>
      <c r="R52" s="74">
        <f>X52/R$8*100</f>
        <v>-7.9599123256409166E-3</v>
      </c>
      <c r="S52" s="74">
        <f t="shared" si="28"/>
        <v>-0.24703528156413967</v>
      </c>
      <c r="T52" s="136">
        <f t="shared" si="20"/>
        <v>-8.1622263414368262E-2</v>
      </c>
      <c r="U52" s="74">
        <f>AA52/U$8*100</f>
        <v>0</v>
      </c>
      <c r="V52" s="74">
        <f>AB52/V$8*100</f>
        <v>0</v>
      </c>
      <c r="W52" s="76">
        <v>-39</v>
      </c>
      <c r="X52" s="76">
        <v>-2.3349609999999998</v>
      </c>
      <c r="Y52" s="76">
        <v>-75.664185000000003</v>
      </c>
      <c r="Z52" s="131">
        <v>-25</v>
      </c>
      <c r="AA52" s="76">
        <v>0</v>
      </c>
      <c r="AB52" s="76">
        <v>0</v>
      </c>
      <c r="AC52" s="207">
        <v>-18.082170999999999</v>
      </c>
      <c r="AD52" s="207">
        <f t="shared" si="26"/>
        <v>18.082170999999999</v>
      </c>
      <c r="AE52" s="51" t="s">
        <v>806</v>
      </c>
    </row>
    <row r="53" spans="1:33" ht="55.5" hidden="1" customHeight="1" outlineLevel="1" x14ac:dyDescent="0.35">
      <c r="A53" s="1303">
        <v>13</v>
      </c>
      <c r="B53" s="1309" t="s">
        <v>807</v>
      </c>
      <c r="C53" s="1121" t="s">
        <v>633</v>
      </c>
      <c r="D53" s="48" t="s">
        <v>808</v>
      </c>
      <c r="E53" s="1333" t="s">
        <v>809</v>
      </c>
      <c r="F53" s="1116">
        <f>K53/$Q$8</f>
        <v>8.6144569766617022E-6</v>
      </c>
      <c r="G53" s="1116">
        <f t="shared" si="22"/>
        <v>7.005521646482354E-6</v>
      </c>
      <c r="H53" s="1116">
        <f>M53/$S$8</f>
        <v>7.087424376796424E-6</v>
      </c>
      <c r="I53" s="1116">
        <f t="shared" si="23"/>
        <v>0</v>
      </c>
      <c r="J53" s="1311">
        <f>L53+M53</f>
        <v>0.42257999999999996</v>
      </c>
      <c r="K53" s="1137">
        <f>-W53</f>
        <v>0.24287600000000001</v>
      </c>
      <c r="L53" s="1137">
        <f>-X53</f>
        <v>0.20549999999999999</v>
      </c>
      <c r="M53" s="1137">
        <f>-Y53</f>
        <v>0.21708</v>
      </c>
      <c r="N53" s="1164">
        <f t="shared" si="24"/>
        <v>0</v>
      </c>
      <c r="O53" s="1323" t="s">
        <v>455</v>
      </c>
      <c r="P53" s="1323" t="s">
        <v>127</v>
      </c>
      <c r="Q53" s="1331">
        <f t="shared" si="28"/>
        <v>-8.6144569766617024E-4</v>
      </c>
      <c r="R53" s="1331">
        <f>X53/R$8*100</f>
        <v>-7.0055216464823538E-4</v>
      </c>
      <c r="S53" s="1293">
        <f t="shared" si="28"/>
        <v>-7.0874243767964236E-4</v>
      </c>
      <c r="T53" s="1291">
        <f>Z53/T$8*100</f>
        <v>-7.0874243767964236E-4</v>
      </c>
      <c r="U53" s="1293">
        <f>AA53/U$8*100</f>
        <v>0</v>
      </c>
      <c r="V53" s="1293">
        <f>AB53/V$8*100</f>
        <v>0</v>
      </c>
      <c r="W53" s="1273">
        <v>-0.24287600000000001</v>
      </c>
      <c r="X53" s="1273">
        <v>-0.20549999999999999</v>
      </c>
      <c r="Y53" s="1092">
        <v>-0.21708</v>
      </c>
      <c r="Z53" s="1100">
        <v>-0.21708</v>
      </c>
      <c r="AA53" s="1092">
        <v>0</v>
      </c>
      <c r="AB53" s="1092">
        <v>0</v>
      </c>
      <c r="AC53" s="1092">
        <f>-0.102243</f>
        <v>-0.102243</v>
      </c>
      <c r="AD53" s="1273">
        <f>-AC53</f>
        <v>0.102243</v>
      </c>
      <c r="AE53" s="1289" t="s">
        <v>810</v>
      </c>
    </row>
    <row r="54" spans="1:33" ht="75" hidden="1" customHeight="1" outlineLevel="1" x14ac:dyDescent="0.35">
      <c r="A54" s="1304"/>
      <c r="B54" s="1341"/>
      <c r="C54" s="1122"/>
      <c r="D54" s="48" t="s">
        <v>811</v>
      </c>
      <c r="E54" s="1334"/>
      <c r="F54" s="1117"/>
      <c r="G54" s="1117"/>
      <c r="H54" s="1117"/>
      <c r="I54" s="1117"/>
      <c r="J54" s="1312"/>
      <c r="K54" s="1138"/>
      <c r="L54" s="1138"/>
      <c r="M54" s="1138"/>
      <c r="N54" s="1166"/>
      <c r="O54" s="1324"/>
      <c r="P54" s="1324"/>
      <c r="Q54" s="1332"/>
      <c r="R54" s="1332"/>
      <c r="S54" s="1148"/>
      <c r="T54" s="1292"/>
      <c r="U54" s="1148"/>
      <c r="V54" s="1148"/>
      <c r="W54" s="1275"/>
      <c r="X54" s="1275"/>
      <c r="Y54" s="1093"/>
      <c r="Z54" s="1101"/>
      <c r="AA54" s="1093"/>
      <c r="AB54" s="1093"/>
      <c r="AC54" s="1093"/>
      <c r="AD54" s="1275"/>
      <c r="AE54" s="1290"/>
    </row>
    <row r="55" spans="1:33" ht="75" hidden="1" customHeight="1" outlineLevel="1" x14ac:dyDescent="0.35">
      <c r="A55" s="120">
        <v>14</v>
      </c>
      <c r="B55" s="225" t="s">
        <v>1132</v>
      </c>
      <c r="C55" s="231">
        <v>44243</v>
      </c>
      <c r="D55" s="121" t="s">
        <v>1133</v>
      </c>
      <c r="E55" s="122" t="s">
        <v>1134</v>
      </c>
      <c r="F55" s="202">
        <f>K55/$Q$8</f>
        <v>0</v>
      </c>
      <c r="G55" s="202">
        <f>L55/$R$8</f>
        <v>0</v>
      </c>
      <c r="H55" s="202">
        <f>M55/$S$8</f>
        <v>5.9448397911838575E-3</v>
      </c>
      <c r="I55" s="52">
        <f>N55/$U$8</f>
        <v>0</v>
      </c>
      <c r="J55" s="204">
        <f>L55+M55</f>
        <v>182.08389299999999</v>
      </c>
      <c r="K55" s="229">
        <f t="shared" ref="K55:M56" si="29">-W55</f>
        <v>0</v>
      </c>
      <c r="L55" s="229">
        <f t="shared" si="29"/>
        <v>0</v>
      </c>
      <c r="M55" s="229">
        <f t="shared" si="29"/>
        <v>182.08389299999999</v>
      </c>
      <c r="N55" s="69">
        <f>-AA55</f>
        <v>0</v>
      </c>
      <c r="O55" s="219" t="s">
        <v>1135</v>
      </c>
      <c r="P55" s="123" t="s">
        <v>127</v>
      </c>
      <c r="Q55" s="228">
        <f t="shared" ref="Q55:T56" si="30">W55/Q$8*100</f>
        <v>0</v>
      </c>
      <c r="R55" s="74">
        <f>X55/R$8*100</f>
        <v>0</v>
      </c>
      <c r="S55" s="223">
        <f t="shared" si="30"/>
        <v>-0.5944839791183858</v>
      </c>
      <c r="T55" s="136">
        <f t="shared" si="30"/>
        <v>-0.5944839791183858</v>
      </c>
      <c r="U55" s="223">
        <f>AA55/U$8*100</f>
        <v>0</v>
      </c>
      <c r="V55" s="223">
        <f>AB55/V$8*100</f>
        <v>0</v>
      </c>
      <c r="W55" s="220">
        <v>0</v>
      </c>
      <c r="X55" s="220">
        <v>0</v>
      </c>
      <c r="Y55" s="76">
        <v>-182.08389299999999</v>
      </c>
      <c r="Z55" s="131">
        <v>-182.08389299999999</v>
      </c>
      <c r="AA55" s="214">
        <v>0</v>
      </c>
      <c r="AB55" s="214">
        <v>0</v>
      </c>
      <c r="AC55" s="207">
        <v>-187.359026</v>
      </c>
      <c r="AD55" s="207">
        <f>-AC55</f>
        <v>187.359026</v>
      </c>
      <c r="AE55" s="201" t="s">
        <v>1136</v>
      </c>
    </row>
    <row r="56" spans="1:33" ht="75" hidden="1" customHeight="1" outlineLevel="1" x14ac:dyDescent="0.35">
      <c r="A56" s="120">
        <v>15</v>
      </c>
      <c r="B56" s="225" t="s">
        <v>1172</v>
      </c>
      <c r="C56" s="231"/>
      <c r="D56" s="121"/>
      <c r="E56" s="122" t="s">
        <v>1173</v>
      </c>
      <c r="F56" s="202">
        <f>K56/$Q$8</f>
        <v>0</v>
      </c>
      <c r="G56" s="202">
        <f>L56/$R$8</f>
        <v>0</v>
      </c>
      <c r="H56" s="202">
        <f>M56/$S$8</f>
        <v>3.6734900200796001E-3</v>
      </c>
      <c r="I56" s="52">
        <f>N56/$U$8</f>
        <v>0</v>
      </c>
      <c r="J56" s="204">
        <f>L56+M56</f>
        <v>112.51495199999999</v>
      </c>
      <c r="K56" s="229">
        <f t="shared" si="29"/>
        <v>0</v>
      </c>
      <c r="L56" s="229">
        <f t="shared" si="29"/>
        <v>0</v>
      </c>
      <c r="M56" s="229">
        <f t="shared" si="29"/>
        <v>112.51495199999999</v>
      </c>
      <c r="N56" s="69">
        <f>-AA56</f>
        <v>0</v>
      </c>
      <c r="O56" s="219" t="s">
        <v>1135</v>
      </c>
      <c r="P56" s="123" t="s">
        <v>127</v>
      </c>
      <c r="Q56" s="228">
        <f t="shared" si="30"/>
        <v>0</v>
      </c>
      <c r="R56" s="74">
        <f>X56/R$8*100</f>
        <v>0</v>
      </c>
      <c r="S56" s="223">
        <f t="shared" si="30"/>
        <v>-0.36734900200796</v>
      </c>
      <c r="T56" s="136">
        <f>Z56/T$8*100</f>
        <v>-0.36734900200796</v>
      </c>
      <c r="U56" s="223">
        <f>AA56/U$8*100</f>
        <v>0</v>
      </c>
      <c r="V56" s="223">
        <f>AB56/V$8*100</f>
        <v>0</v>
      </c>
      <c r="W56" s="220">
        <v>0</v>
      </c>
      <c r="X56" s="220">
        <v>0</v>
      </c>
      <c r="Y56" s="76">
        <v>-112.51495199999999</v>
      </c>
      <c r="Z56" s="131">
        <v>-112.51495199999999</v>
      </c>
      <c r="AA56" s="214">
        <v>0</v>
      </c>
      <c r="AB56" s="214">
        <v>0</v>
      </c>
      <c r="AC56" s="207">
        <v>-109.616552</v>
      </c>
      <c r="AD56" s="207">
        <f>-AC56</f>
        <v>109.616552</v>
      </c>
      <c r="AE56" s="201"/>
    </row>
    <row r="57" spans="1:33" ht="18.5" collapsed="1" x14ac:dyDescent="0.35">
      <c r="A57" s="10" t="s">
        <v>94</v>
      </c>
      <c r="B57" s="11"/>
      <c r="C57" s="11"/>
      <c r="D57" s="16"/>
      <c r="E57" s="17"/>
      <c r="F57" s="111">
        <f t="shared" ref="F57:M57" si="31">SUM(F58:F67)</f>
        <v>2.8995530964034903E-2</v>
      </c>
      <c r="G57" s="26">
        <f t="shared" si="31"/>
        <v>8.1804037283829366E-3</v>
      </c>
      <c r="H57" s="26">
        <f t="shared" si="31"/>
        <v>3.1760489489036314E-2</v>
      </c>
      <c r="I57" s="26">
        <f>SUM(I58:I67)</f>
        <v>2.880094278392453E-4</v>
      </c>
      <c r="J57" s="9">
        <f>SUM(J58:J67)</f>
        <v>1222.2046032100002</v>
      </c>
      <c r="K57" s="112">
        <f t="shared" si="31"/>
        <v>817.5</v>
      </c>
      <c r="L57" s="9">
        <f t="shared" si="31"/>
        <v>239.96399569000002</v>
      </c>
      <c r="M57" s="9">
        <f t="shared" si="31"/>
        <v>972.78880052</v>
      </c>
      <c r="N57" s="9">
        <f>SUM(N58:N67)</f>
        <v>9.4518070000000005</v>
      </c>
      <c r="O57" s="25"/>
      <c r="P57" s="19"/>
      <c r="Q57" s="112">
        <f>SUM(Q58:Q67)</f>
        <v>-0.73419876569482867</v>
      </c>
      <c r="R57" s="9">
        <f>SUM(R58:R67)</f>
        <v>-0.2784744786221478</v>
      </c>
      <c r="S57" s="9">
        <f t="shared" ref="S57:V57" si="32">SUM(S58:S67)</f>
        <v>-0.77759663331133178</v>
      </c>
      <c r="T57" s="148">
        <f>SUM(T58:T67)</f>
        <v>-0.29178322285117231</v>
      </c>
      <c r="U57" s="9">
        <f t="shared" si="32"/>
        <v>-2.8800942783924532E-2</v>
      </c>
      <c r="V57" s="9">
        <f t="shared" si="32"/>
        <v>0</v>
      </c>
      <c r="W57" s="112">
        <f>SUM(W58:W67)</f>
        <v>-207</v>
      </c>
      <c r="X57" s="9">
        <f>SUM(X58:X67)</f>
        <v>-81.687714697999994</v>
      </c>
      <c r="Y57" s="9">
        <f t="shared" ref="Y57:AC57" si="33">SUM(Y58:Y67)</f>
        <v>-238.169281512</v>
      </c>
      <c r="Z57" s="148">
        <f>SUM(Z58:Z67)</f>
        <v>-89.369986400000002</v>
      </c>
      <c r="AA57" s="9">
        <f t="shared" si="33"/>
        <v>-9.4518070000000005</v>
      </c>
      <c r="AB57" s="9">
        <f t="shared" si="33"/>
        <v>0</v>
      </c>
      <c r="AC57" s="9">
        <f t="shared" si="33"/>
        <v>-14.994928439999999</v>
      </c>
      <c r="AD57" s="9">
        <f>SUM(AD58:AD67)</f>
        <v>36.245961440000002</v>
      </c>
      <c r="AE57" s="100"/>
    </row>
    <row r="58" spans="1:33" ht="103.5" hidden="1" customHeight="1" outlineLevel="1" x14ac:dyDescent="0.35">
      <c r="A58" s="241">
        <v>1</v>
      </c>
      <c r="B58" s="78" t="s">
        <v>95</v>
      </c>
      <c r="C58" s="244" t="s">
        <v>500</v>
      </c>
      <c r="D58" s="48" t="s">
        <v>99</v>
      </c>
      <c r="E58" s="245" t="s">
        <v>248</v>
      </c>
      <c r="F58" s="52">
        <f t="shared" ref="F58:F67" si="34">K58/$Q$8</f>
        <v>7.0937078811094557E-3</v>
      </c>
      <c r="G58" s="52">
        <f t="shared" ref="G58:G67" si="35">L58/$R$8</f>
        <v>3.1533369941587242E-3</v>
      </c>
      <c r="H58" s="52">
        <f t="shared" ref="H58:H67" si="36">M58/$S$8</f>
        <v>3.8362463804753081E-3</v>
      </c>
      <c r="I58" s="52">
        <f>N58/$U$8</f>
        <v>0</v>
      </c>
      <c r="J58" s="53">
        <f t="shared" ref="J58:J67" si="37">L58+M58+N58</f>
        <v>210</v>
      </c>
      <c r="K58" s="53">
        <v>200</v>
      </c>
      <c r="L58" s="53">
        <v>92.5</v>
      </c>
      <c r="M58" s="53">
        <v>117.5</v>
      </c>
      <c r="N58" s="53">
        <v>0</v>
      </c>
      <c r="O58" s="242" t="s">
        <v>459</v>
      </c>
      <c r="P58" s="72" t="s">
        <v>127</v>
      </c>
      <c r="Q58" s="81">
        <f t="shared" ref="Q58:V67" si="38">W58/Q$8*100</f>
        <v>-0.21281123643328367</v>
      </c>
      <c r="R58" s="81">
        <f t="shared" si="38"/>
        <v>-4.4714318577170703E-2</v>
      </c>
      <c r="S58" s="81">
        <f t="shared" si="38"/>
        <v>-5.439797367513987E-2</v>
      </c>
      <c r="T58" s="138">
        <f t="shared" si="38"/>
        <v>-3.2648905365747299E-2</v>
      </c>
      <c r="U58" s="81">
        <f t="shared" si="38"/>
        <v>0</v>
      </c>
      <c r="V58" s="81">
        <f t="shared" si="38"/>
        <v>0</v>
      </c>
      <c r="W58" s="83">
        <v>-60</v>
      </c>
      <c r="X58" s="83">
        <f>-L58*0.1418</f>
        <v>-13.1165</v>
      </c>
      <c r="Y58" s="83">
        <f>-M58*0.1418</f>
        <v>-16.6615</v>
      </c>
      <c r="Z58" s="133">
        <v>-10</v>
      </c>
      <c r="AA58" s="83">
        <v>0</v>
      </c>
      <c r="AB58" s="83">
        <v>0</v>
      </c>
      <c r="AC58" s="207">
        <f>-AD58*0.1418</f>
        <v>-1.1060400000000001</v>
      </c>
      <c r="AD58" s="207">
        <v>7.8</v>
      </c>
      <c r="AE58" s="51" t="s">
        <v>812</v>
      </c>
      <c r="AG58" s="22"/>
    </row>
    <row r="59" spans="1:33" ht="118.5" hidden="1" customHeight="1" outlineLevel="1" x14ac:dyDescent="0.35">
      <c r="A59" s="210">
        <v>2</v>
      </c>
      <c r="B59" s="78" t="s">
        <v>12</v>
      </c>
      <c r="C59" s="244" t="s">
        <v>500</v>
      </c>
      <c r="D59" s="48" t="s">
        <v>98</v>
      </c>
      <c r="E59" s="246" t="s">
        <v>249</v>
      </c>
      <c r="F59" s="52">
        <f t="shared" si="34"/>
        <v>3.298574164715897E-3</v>
      </c>
      <c r="G59" s="52">
        <f t="shared" si="35"/>
        <v>3.1294739033921174E-3</v>
      </c>
      <c r="H59" s="52">
        <f t="shared" si="36"/>
        <v>8.1034583117784807E-3</v>
      </c>
      <c r="I59" s="52">
        <f>N59/$U$8</f>
        <v>0</v>
      </c>
      <c r="J59" s="53">
        <f t="shared" si="37"/>
        <v>340</v>
      </c>
      <c r="K59" s="73">
        <v>93</v>
      </c>
      <c r="L59" s="73">
        <v>91.8</v>
      </c>
      <c r="M59" s="73">
        <v>248.2</v>
      </c>
      <c r="N59" s="73">
        <v>0</v>
      </c>
      <c r="O59" s="242" t="s">
        <v>459</v>
      </c>
      <c r="P59" s="72" t="s">
        <v>127</v>
      </c>
      <c r="Q59" s="81">
        <f t="shared" si="38"/>
        <v>-7.9804213662481374E-2</v>
      </c>
      <c r="R59" s="81">
        <f t="shared" si="38"/>
        <v>-6.0398846335467868E-2</v>
      </c>
      <c r="S59" s="81">
        <f t="shared" si="38"/>
        <v>-0.15639674541732465</v>
      </c>
      <c r="T59" s="138">
        <f t="shared" si="38"/>
        <v>0</v>
      </c>
      <c r="U59" s="81">
        <f t="shared" si="38"/>
        <v>0</v>
      </c>
      <c r="V59" s="81">
        <f t="shared" si="38"/>
        <v>0</v>
      </c>
      <c r="W59" s="83">
        <v>-22.5</v>
      </c>
      <c r="X59" s="83">
        <f>-L59*0.193</f>
        <v>-17.717400000000001</v>
      </c>
      <c r="Y59" s="83">
        <f>-M59*0.193</f>
        <v>-47.9026</v>
      </c>
      <c r="Z59" s="133">
        <v>0</v>
      </c>
      <c r="AA59" s="83">
        <v>0</v>
      </c>
      <c r="AB59" s="83">
        <v>0</v>
      </c>
      <c r="AC59" s="207">
        <f>-AD59*0.193</f>
        <v>-2.3159999999999998</v>
      </c>
      <c r="AD59" s="207">
        <v>12</v>
      </c>
      <c r="AE59" s="51" t="s">
        <v>813</v>
      </c>
    </row>
    <row r="60" spans="1:33" ht="120" hidden="1" customHeight="1" outlineLevel="1" x14ac:dyDescent="0.35">
      <c r="A60" s="210">
        <v>3</v>
      </c>
      <c r="B60" s="78" t="s">
        <v>11</v>
      </c>
      <c r="C60" s="244" t="s">
        <v>500</v>
      </c>
      <c r="D60" s="48" t="s">
        <v>97</v>
      </c>
      <c r="E60" s="246" t="s">
        <v>96</v>
      </c>
      <c r="F60" s="52">
        <f t="shared" si="34"/>
        <v>1.0640561821664184E-2</v>
      </c>
      <c r="G60" s="52">
        <f t="shared" si="35"/>
        <v>1.036299374609753E-4</v>
      </c>
      <c r="H60" s="52">
        <f t="shared" si="36"/>
        <v>9.6954228226320584E-3</v>
      </c>
      <c r="I60" s="52">
        <f t="shared" ref="I60:I67" si="39">N60/$U$8</f>
        <v>0</v>
      </c>
      <c r="J60" s="53">
        <f t="shared" si="37"/>
        <v>300</v>
      </c>
      <c r="K60" s="53">
        <v>300</v>
      </c>
      <c r="L60" s="53">
        <v>3.0398809999999998</v>
      </c>
      <c r="M60" s="53">
        <f>300-3.039881</f>
        <v>296.96011900000002</v>
      </c>
      <c r="N60" s="53">
        <v>0</v>
      </c>
      <c r="O60" s="242" t="s">
        <v>459</v>
      </c>
      <c r="P60" s="72" t="s">
        <v>127</v>
      </c>
      <c r="Q60" s="81">
        <f t="shared" si="38"/>
        <v>-8.8671348513868195E-2</v>
      </c>
      <c r="R60" s="81">
        <f t="shared" si="38"/>
        <v>-1.7409829493443855E-3</v>
      </c>
      <c r="S60" s="81">
        <f t="shared" si="38"/>
        <v>-0.16288310342021858</v>
      </c>
      <c r="T60" s="138">
        <f t="shared" si="38"/>
        <v>0</v>
      </c>
      <c r="U60" s="81">
        <f t="shared" si="38"/>
        <v>0</v>
      </c>
      <c r="V60" s="81">
        <f t="shared" si="38"/>
        <v>0</v>
      </c>
      <c r="W60" s="83">
        <v>-25</v>
      </c>
      <c r="X60" s="83">
        <f>-L60*0.168</f>
        <v>-0.51070000800000004</v>
      </c>
      <c r="Y60" s="83">
        <f>-M60*0.168</f>
        <v>-49.889299992000005</v>
      </c>
      <c r="Z60" s="133">
        <v>0</v>
      </c>
      <c r="AA60" s="83">
        <v>0</v>
      </c>
      <c r="AB60" s="83">
        <v>0</v>
      </c>
      <c r="AC60" s="207">
        <f>-AD60*0.168</f>
        <v>-9.9120000000000007E-3</v>
      </c>
      <c r="AD60" s="207">
        <v>5.8999999999999997E-2</v>
      </c>
      <c r="AE60" s="51" t="s">
        <v>814</v>
      </c>
    </row>
    <row r="61" spans="1:33" ht="270" hidden="1" customHeight="1" outlineLevel="1" x14ac:dyDescent="0.35">
      <c r="A61" s="1303">
        <v>4</v>
      </c>
      <c r="B61" s="1305" t="s">
        <v>177</v>
      </c>
      <c r="C61" s="63">
        <v>43951</v>
      </c>
      <c r="D61" s="48" t="s">
        <v>178</v>
      </c>
      <c r="E61" s="49" t="s">
        <v>318</v>
      </c>
      <c r="F61" s="52">
        <f t="shared" si="34"/>
        <v>5.3202809108320922E-3</v>
      </c>
      <c r="G61" s="52">
        <f t="shared" si="35"/>
        <v>1.7087375692046674E-3</v>
      </c>
      <c r="H61" s="52">
        <f t="shared" si="36"/>
        <v>1.3677777174910942E-3</v>
      </c>
      <c r="I61" s="52">
        <f t="shared" si="39"/>
        <v>3.2977112960384183E-5</v>
      </c>
      <c r="J61" s="53">
        <f t="shared" si="37"/>
        <v>93.099872210000001</v>
      </c>
      <c r="K61" s="80">
        <v>150</v>
      </c>
      <c r="L61" s="80">
        <v>50.124114689999999</v>
      </c>
      <c r="M61" s="80">
        <v>41.89352452</v>
      </c>
      <c r="N61" s="80">
        <v>1.082233</v>
      </c>
      <c r="O61" s="242" t="s">
        <v>185</v>
      </c>
      <c r="P61" s="72" t="s">
        <v>171</v>
      </c>
      <c r="Q61" s="82">
        <f t="shared" si="38"/>
        <v>-0.17734269702773639</v>
      </c>
      <c r="R61" s="82">
        <f t="shared" si="38"/>
        <v>-0.17087375692046675</v>
      </c>
      <c r="S61" s="75">
        <f t="shared" si="38"/>
        <v>-0.13677777174910943</v>
      </c>
      <c r="T61" s="137">
        <f t="shared" si="38"/>
        <v>-0.14486314870530947</v>
      </c>
      <c r="U61" s="75">
        <f t="shared" si="38"/>
        <v>-3.2977112960384182E-3</v>
      </c>
      <c r="V61" s="75">
        <f t="shared" si="38"/>
        <v>0</v>
      </c>
      <c r="W61" s="77">
        <v>-50</v>
      </c>
      <c r="X61" s="77">
        <v>-50.124114689999999</v>
      </c>
      <c r="Y61" s="207">
        <v>-41.89352452</v>
      </c>
      <c r="Z61" s="132">
        <v>-44.369986400000002</v>
      </c>
      <c r="AA61" s="207">
        <v>-1.082233</v>
      </c>
      <c r="AB61" s="207">
        <v>0</v>
      </c>
      <c r="AC61" s="207">
        <v>-11.277811549999999</v>
      </c>
      <c r="AD61" s="77">
        <f>-AC61</f>
        <v>11.277811549999999</v>
      </c>
      <c r="AE61" s="84" t="s">
        <v>815</v>
      </c>
    </row>
    <row r="62" spans="1:33" ht="75.75" hidden="1" customHeight="1" outlineLevel="1" x14ac:dyDescent="0.35">
      <c r="A62" s="1304"/>
      <c r="B62" s="1306"/>
      <c r="C62" s="63" t="s">
        <v>1359</v>
      </c>
      <c r="D62" s="48" t="s">
        <v>1373</v>
      </c>
      <c r="E62" s="49" t="s">
        <v>1374</v>
      </c>
      <c r="F62" s="52"/>
      <c r="G62" s="52">
        <f t="shared" si="35"/>
        <v>0</v>
      </c>
      <c r="H62" s="52">
        <f t="shared" si="36"/>
        <v>9.2184696888001749E-4</v>
      </c>
      <c r="I62" s="52">
        <f t="shared" si="39"/>
        <v>2.5503231487886114E-4</v>
      </c>
      <c r="J62" s="53">
        <f t="shared" si="37"/>
        <v>36.604731000000001</v>
      </c>
      <c r="K62" s="195">
        <v>0</v>
      </c>
      <c r="L62" s="80">
        <v>0</v>
      </c>
      <c r="M62" s="80">
        <v>28.235157000000001</v>
      </c>
      <c r="N62" s="80">
        <v>8.3695740000000001</v>
      </c>
      <c r="O62" s="242" t="s">
        <v>185</v>
      </c>
      <c r="P62" s="72" t="s">
        <v>171</v>
      </c>
      <c r="Q62" s="194">
        <f t="shared" si="38"/>
        <v>0</v>
      </c>
      <c r="R62" s="82">
        <f t="shared" si="38"/>
        <v>0</v>
      </c>
      <c r="S62" s="75">
        <f t="shared" si="38"/>
        <v>-9.2184696888001752E-2</v>
      </c>
      <c r="T62" s="137">
        <f t="shared" si="38"/>
        <v>0</v>
      </c>
      <c r="U62" s="75">
        <f t="shared" si="38"/>
        <v>-2.5503231487886115E-2</v>
      </c>
      <c r="V62" s="75">
        <f t="shared" si="38"/>
        <v>0</v>
      </c>
      <c r="W62" s="77">
        <v>0</v>
      </c>
      <c r="X62" s="77">
        <v>0</v>
      </c>
      <c r="Y62" s="207">
        <f>-17.402049-10.833108</f>
        <v>-28.235157000000001</v>
      </c>
      <c r="Z62" s="132">
        <v>0</v>
      </c>
      <c r="AA62" s="207">
        <f>-5.183348-3.186226</f>
        <v>-8.3695740000000001</v>
      </c>
      <c r="AB62" s="207">
        <v>0</v>
      </c>
      <c r="AC62" s="207">
        <v>-0.28516489</v>
      </c>
      <c r="AD62" s="77">
        <f>-AC62</f>
        <v>0.28516489</v>
      </c>
      <c r="AE62" s="84" t="s">
        <v>1375</v>
      </c>
    </row>
    <row r="63" spans="1:33" ht="120" hidden="1" customHeight="1" outlineLevel="1" x14ac:dyDescent="0.35">
      <c r="A63" s="210">
        <v>5</v>
      </c>
      <c r="B63" s="171" t="s">
        <v>816</v>
      </c>
      <c r="C63" s="63" t="s">
        <v>555</v>
      </c>
      <c r="D63" s="48" t="s">
        <v>315</v>
      </c>
      <c r="E63" s="49" t="s">
        <v>250</v>
      </c>
      <c r="F63" s="52">
        <f t="shared" si="34"/>
        <v>8.8671348513868196E-4</v>
      </c>
      <c r="G63" s="52">
        <f t="shared" si="35"/>
        <v>0</v>
      </c>
      <c r="H63" s="52">
        <f t="shared" si="36"/>
        <v>1.6324452682873651E-3</v>
      </c>
      <c r="I63" s="52">
        <f t="shared" si="39"/>
        <v>0</v>
      </c>
      <c r="J63" s="53">
        <f t="shared" si="37"/>
        <v>50</v>
      </c>
      <c r="K63" s="80">
        <v>25</v>
      </c>
      <c r="L63" s="80">
        <v>0</v>
      </c>
      <c r="M63" s="80">
        <v>50</v>
      </c>
      <c r="N63" s="80">
        <v>0</v>
      </c>
      <c r="O63" s="242" t="s">
        <v>459</v>
      </c>
      <c r="P63" s="72" t="s">
        <v>127</v>
      </c>
      <c r="Q63" s="82">
        <f t="shared" si="38"/>
        <v>0</v>
      </c>
      <c r="R63" s="82">
        <f t="shared" si="38"/>
        <v>0</v>
      </c>
      <c r="S63" s="75">
        <f t="shared" si="38"/>
        <v>0</v>
      </c>
      <c r="T63" s="137">
        <f t="shared" si="38"/>
        <v>0</v>
      </c>
      <c r="U63" s="75">
        <f t="shared" si="38"/>
        <v>0</v>
      </c>
      <c r="V63" s="75">
        <f t="shared" si="38"/>
        <v>0</v>
      </c>
      <c r="W63" s="77">
        <v>0</v>
      </c>
      <c r="X63" s="77">
        <v>0</v>
      </c>
      <c r="Y63" s="207">
        <v>0</v>
      </c>
      <c r="Z63" s="132">
        <v>0</v>
      </c>
      <c r="AA63" s="207">
        <v>0</v>
      </c>
      <c r="AB63" s="207">
        <v>0</v>
      </c>
      <c r="AC63" s="207">
        <v>0</v>
      </c>
      <c r="AD63" s="77">
        <f>9.865*0.489</f>
        <v>4.8239850000000004</v>
      </c>
      <c r="AE63" s="49" t="s">
        <v>817</v>
      </c>
    </row>
    <row r="64" spans="1:33" ht="105" hidden="1" customHeight="1" outlineLevel="1" x14ac:dyDescent="0.35">
      <c r="A64" s="210">
        <v>6</v>
      </c>
      <c r="B64" s="171" t="s">
        <v>818</v>
      </c>
      <c r="C64" s="63" t="s">
        <v>501</v>
      </c>
      <c r="D64" s="48" t="s">
        <v>316</v>
      </c>
      <c r="E64" s="49" t="s">
        <v>819</v>
      </c>
      <c r="F64" s="52">
        <f t="shared" si="34"/>
        <v>7.0937078811094561E-4</v>
      </c>
      <c r="G64" s="52">
        <f t="shared" si="35"/>
        <v>0</v>
      </c>
      <c r="H64" s="52">
        <f t="shared" si="36"/>
        <v>2.6119124292597841E-3</v>
      </c>
      <c r="I64" s="52">
        <f t="shared" si="39"/>
        <v>0</v>
      </c>
      <c r="J64" s="53">
        <f t="shared" si="37"/>
        <v>80</v>
      </c>
      <c r="K64" s="80">
        <f>-W64</f>
        <v>20</v>
      </c>
      <c r="L64" s="80">
        <v>0</v>
      </c>
      <c r="M64" s="80">
        <v>80</v>
      </c>
      <c r="N64" s="80">
        <v>0</v>
      </c>
      <c r="O64" s="242" t="s">
        <v>459</v>
      </c>
      <c r="P64" s="72" t="s">
        <v>127</v>
      </c>
      <c r="Q64" s="82">
        <f t="shared" si="38"/>
        <v>-7.0937078811094567E-2</v>
      </c>
      <c r="R64" s="82">
        <f t="shared" si="38"/>
        <v>0</v>
      </c>
      <c r="S64" s="75">
        <f t="shared" si="38"/>
        <v>-6.5141095985739028E-2</v>
      </c>
      <c r="T64" s="137">
        <f t="shared" si="38"/>
        <v>0</v>
      </c>
      <c r="U64" s="75">
        <f t="shared" si="38"/>
        <v>0</v>
      </c>
      <c r="V64" s="75">
        <f t="shared" si="38"/>
        <v>0</v>
      </c>
      <c r="W64" s="77">
        <v>-20</v>
      </c>
      <c r="X64" s="83">
        <f>-L64*0.2494</f>
        <v>0</v>
      </c>
      <c r="Y64" s="83">
        <f>-M64*0.2494</f>
        <v>-19.952000000000002</v>
      </c>
      <c r="Z64" s="132">
        <v>0</v>
      </c>
      <c r="AA64" s="207">
        <v>0</v>
      </c>
      <c r="AB64" s="207">
        <v>0</v>
      </c>
      <c r="AC64" s="207">
        <f>-AD64*0.2494</f>
        <v>0</v>
      </c>
      <c r="AD64" s="77">
        <v>0</v>
      </c>
      <c r="AE64" s="49" t="s">
        <v>820</v>
      </c>
    </row>
    <row r="65" spans="1:31" ht="129.75" hidden="1" customHeight="1" outlineLevel="1" x14ac:dyDescent="0.35">
      <c r="A65" s="210">
        <v>7</v>
      </c>
      <c r="B65" s="171" t="s">
        <v>821</v>
      </c>
      <c r="C65" s="63" t="s">
        <v>404</v>
      </c>
      <c r="D65" s="48" t="s">
        <v>822</v>
      </c>
      <c r="E65" s="49" t="s">
        <v>823</v>
      </c>
      <c r="F65" s="52">
        <f t="shared" si="34"/>
        <v>8.8671348513868196E-4</v>
      </c>
      <c r="G65" s="52">
        <f t="shared" si="35"/>
        <v>0</v>
      </c>
      <c r="H65" s="52">
        <f t="shared" si="36"/>
        <v>3.2648905365747303E-3</v>
      </c>
      <c r="I65" s="52">
        <f t="shared" si="39"/>
        <v>0</v>
      </c>
      <c r="J65" s="53">
        <f t="shared" si="37"/>
        <v>100</v>
      </c>
      <c r="K65" s="80">
        <f>-W65</f>
        <v>25</v>
      </c>
      <c r="L65" s="80">
        <v>0</v>
      </c>
      <c r="M65" s="80">
        <v>100</v>
      </c>
      <c r="N65" s="80">
        <v>0</v>
      </c>
      <c r="O65" s="242" t="s">
        <v>459</v>
      </c>
      <c r="P65" s="72" t="s">
        <v>127</v>
      </c>
      <c r="Q65" s="82">
        <f t="shared" si="38"/>
        <v>-8.8671348513868195E-2</v>
      </c>
      <c r="R65" s="82">
        <f t="shared" si="38"/>
        <v>0</v>
      </c>
      <c r="S65" s="75">
        <f t="shared" si="38"/>
        <v>-8.3124113061192634E-2</v>
      </c>
      <c r="T65" s="137">
        <f t="shared" si="38"/>
        <v>-8.1622263414368262E-2</v>
      </c>
      <c r="U65" s="75">
        <f t="shared" si="38"/>
        <v>0</v>
      </c>
      <c r="V65" s="75">
        <f t="shared" si="38"/>
        <v>0</v>
      </c>
      <c r="W65" s="77">
        <v>-25</v>
      </c>
      <c r="X65" s="83">
        <f>-L65*0.2546</f>
        <v>0</v>
      </c>
      <c r="Y65" s="83">
        <f>-M65*0.2546</f>
        <v>-25.46</v>
      </c>
      <c r="Z65" s="132">
        <v>-25</v>
      </c>
      <c r="AA65" s="207">
        <v>0</v>
      </c>
      <c r="AB65" s="207">
        <v>0</v>
      </c>
      <c r="AC65" s="207">
        <f>-AD65*0.2546</f>
        <v>0</v>
      </c>
      <c r="AD65" s="77">
        <v>0</v>
      </c>
      <c r="AE65" s="49" t="s">
        <v>824</v>
      </c>
    </row>
    <row r="66" spans="1:31" ht="90.75" hidden="1" customHeight="1" outlineLevel="1" x14ac:dyDescent="0.35">
      <c r="A66" s="210">
        <v>8</v>
      </c>
      <c r="B66" s="171" t="s">
        <v>825</v>
      </c>
      <c r="C66" s="63" t="s">
        <v>564</v>
      </c>
      <c r="D66" s="48" t="s">
        <v>826</v>
      </c>
      <c r="E66" s="49" t="s">
        <v>827</v>
      </c>
      <c r="F66" s="52">
        <f t="shared" si="34"/>
        <v>1.5960842732496276E-4</v>
      </c>
      <c r="G66" s="52">
        <f t="shared" si="35"/>
        <v>8.5225324166451994E-5</v>
      </c>
      <c r="H66" s="52">
        <f t="shared" si="36"/>
        <v>6.5297810731494601E-5</v>
      </c>
      <c r="I66" s="52">
        <f t="shared" si="39"/>
        <v>0</v>
      </c>
      <c r="J66" s="53">
        <f t="shared" si="37"/>
        <v>4.5</v>
      </c>
      <c r="K66" s="80">
        <f>-W66</f>
        <v>4.5</v>
      </c>
      <c r="L66" s="80">
        <v>2.5</v>
      </c>
      <c r="M66" s="80">
        <v>2</v>
      </c>
      <c r="N66" s="80">
        <f>-AA66</f>
        <v>0</v>
      </c>
      <c r="O66" s="242" t="s">
        <v>459</v>
      </c>
      <c r="P66" s="72" t="s">
        <v>127</v>
      </c>
      <c r="Q66" s="82">
        <f t="shared" si="38"/>
        <v>-1.5960842732496275E-2</v>
      </c>
      <c r="R66" s="82">
        <f t="shared" si="38"/>
        <v>-7.4657383969811946E-4</v>
      </c>
      <c r="S66" s="75">
        <f t="shared" si="38"/>
        <v>-5.7200882200789268E-4</v>
      </c>
      <c r="T66" s="137">
        <f t="shared" si="38"/>
        <v>-6.5297810731494606E-3</v>
      </c>
      <c r="U66" s="75">
        <f t="shared" si="38"/>
        <v>0</v>
      </c>
      <c r="V66" s="75">
        <f t="shared" si="38"/>
        <v>0</v>
      </c>
      <c r="W66" s="77">
        <v>-4.5</v>
      </c>
      <c r="X66" s="83">
        <f>-L66*0.0876</f>
        <v>-0.219</v>
      </c>
      <c r="Y66" s="83">
        <f>-M66*0.0876</f>
        <v>-0.17519999999999999</v>
      </c>
      <c r="Z66" s="132">
        <v>-2</v>
      </c>
      <c r="AA66" s="207">
        <v>0</v>
      </c>
      <c r="AB66" s="207">
        <v>0</v>
      </c>
      <c r="AC66" s="207">
        <f>-AD66*0.0876</f>
        <v>0</v>
      </c>
      <c r="AD66" s="77">
        <v>0</v>
      </c>
      <c r="AE66" s="49" t="s">
        <v>828</v>
      </c>
    </row>
    <row r="67" spans="1:31" ht="90.75" hidden="1" customHeight="1" outlineLevel="1" x14ac:dyDescent="0.35">
      <c r="A67" s="210">
        <v>9</v>
      </c>
      <c r="B67" s="116" t="s">
        <v>1137</v>
      </c>
      <c r="C67" s="117">
        <v>44245</v>
      </c>
      <c r="D67" s="118" t="s">
        <v>1138</v>
      </c>
      <c r="E67" s="119" t="s">
        <v>1139</v>
      </c>
      <c r="F67" s="52">
        <f t="shared" si="34"/>
        <v>0</v>
      </c>
      <c r="G67" s="52">
        <f t="shared" si="35"/>
        <v>0</v>
      </c>
      <c r="H67" s="52">
        <f t="shared" si="36"/>
        <v>2.6119124292597841E-4</v>
      </c>
      <c r="I67" s="52">
        <f t="shared" si="39"/>
        <v>0</v>
      </c>
      <c r="J67" s="53">
        <f t="shared" si="37"/>
        <v>8</v>
      </c>
      <c r="K67" s="80">
        <v>0</v>
      </c>
      <c r="L67" s="80">
        <f>-X67</f>
        <v>0</v>
      </c>
      <c r="M67" s="80">
        <f>-Y67</f>
        <v>8</v>
      </c>
      <c r="N67" s="80">
        <f>-AA67</f>
        <v>0</v>
      </c>
      <c r="O67" s="242" t="s">
        <v>459</v>
      </c>
      <c r="P67" s="72" t="s">
        <v>127</v>
      </c>
      <c r="Q67" s="82">
        <f t="shared" si="38"/>
        <v>0</v>
      </c>
      <c r="R67" s="82">
        <f t="shared" si="38"/>
        <v>0</v>
      </c>
      <c r="S67" s="75">
        <f t="shared" si="38"/>
        <v>-2.6119124292597842E-2</v>
      </c>
      <c r="T67" s="137">
        <f t="shared" si="38"/>
        <v>-2.6119124292597842E-2</v>
      </c>
      <c r="U67" s="75">
        <f t="shared" si="38"/>
        <v>0</v>
      </c>
      <c r="V67" s="75">
        <f t="shared" si="38"/>
        <v>0</v>
      </c>
      <c r="W67" s="77">
        <v>0</v>
      </c>
      <c r="X67" s="77">
        <v>0</v>
      </c>
      <c r="Y67" s="207">
        <v>-8</v>
      </c>
      <c r="Z67" s="132">
        <v>-8</v>
      </c>
      <c r="AA67" s="207">
        <v>0</v>
      </c>
      <c r="AB67" s="207">
        <v>0</v>
      </c>
      <c r="AC67" s="207">
        <v>0</v>
      </c>
      <c r="AD67" s="77">
        <f t="shared" ref="AD67" si="40">-AC67</f>
        <v>0</v>
      </c>
      <c r="AE67" s="49" t="s">
        <v>1140</v>
      </c>
    </row>
    <row r="68" spans="1:31" ht="18.5" collapsed="1" x14ac:dyDescent="0.35">
      <c r="A68" s="10" t="s">
        <v>122</v>
      </c>
      <c r="B68" s="12"/>
      <c r="C68" s="13"/>
      <c r="D68" s="14"/>
      <c r="E68" s="15"/>
      <c r="F68" s="111">
        <f t="shared" ref="F68" si="41">SUM(F69:F233)</f>
        <v>2.3115944385330208E-2</v>
      </c>
      <c r="G68" s="26">
        <f t="shared" ref="G68:H68" si="42">SUM(G69:G234)</f>
        <v>2.1537937541700754E-2</v>
      </c>
      <c r="H68" s="26">
        <f t="shared" si="42"/>
        <v>5.4365664448985544E-2</v>
      </c>
      <c r="I68" s="26">
        <f>SUM(I69:I234)</f>
        <v>2.8977743108139814E-3</v>
      </c>
      <c r="J68" s="9">
        <f t="shared" ref="J68:M68" si="43">SUM(J69:J234)</f>
        <v>2392.0526379999992</v>
      </c>
      <c r="K68" s="9">
        <f t="shared" si="43"/>
        <v>658.01790899999969</v>
      </c>
      <c r="L68" s="9">
        <f t="shared" si="43"/>
        <v>631.79394600000012</v>
      </c>
      <c r="M68" s="9">
        <f t="shared" si="43"/>
        <v>1665.1604039999995</v>
      </c>
      <c r="N68" s="9">
        <f>SUM(N69:N234)</f>
        <v>95.098287999999997</v>
      </c>
      <c r="O68" s="25"/>
      <c r="P68" s="18"/>
      <c r="Q68" s="112">
        <f t="shared" ref="Q68" si="44">SUM(Q69:Q233)</f>
        <v>-2.3338934134922322</v>
      </c>
      <c r="R68" s="9">
        <f>SUM(R69:R234)</f>
        <v>-2.1214598786445924</v>
      </c>
      <c r="S68" s="9">
        <f>SUM(S69:S234)</f>
        <v>-5.3282434568358479</v>
      </c>
      <c r="T68" s="148">
        <f>SUM(T69:T234)</f>
        <v>-4.2951169546988304</v>
      </c>
      <c r="U68" s="9">
        <f t="shared" ref="U68:X68" si="45">SUM(U69:U234)</f>
        <v>-0.28977743108139814</v>
      </c>
      <c r="V68" s="9">
        <f t="shared" si="45"/>
        <v>0</v>
      </c>
      <c r="W68" s="9">
        <f t="shared" si="45"/>
        <v>-658.01790899999969</v>
      </c>
      <c r="X68" s="9">
        <f t="shared" si="45"/>
        <v>-622.30912566000018</v>
      </c>
      <c r="Y68" s="9">
        <f>SUM(Y69:Y234)</f>
        <v>-1631.6791699999997</v>
      </c>
      <c r="Z68" s="148">
        <f>SUM(Z69:Z234)</f>
        <v>-1315.243905</v>
      </c>
      <c r="AA68" s="9">
        <f>SUM(AA69:AA234)</f>
        <v>-95.098287999999997</v>
      </c>
      <c r="AB68" s="9">
        <f t="shared" ref="AB68:AC68" si="46">SUM(AB69:AB234)</f>
        <v>0</v>
      </c>
      <c r="AC68" s="9">
        <f t="shared" si="46"/>
        <v>-474.35993831999997</v>
      </c>
      <c r="AD68" s="9">
        <f>SUM(AD69:AD234)</f>
        <v>474.35993831999997</v>
      </c>
      <c r="AE68" s="101"/>
    </row>
    <row r="69" spans="1:31" ht="120" customHeight="1" outlineLevel="1" x14ac:dyDescent="0.35">
      <c r="A69" s="1367">
        <v>1</v>
      </c>
      <c r="B69" s="1370" t="s">
        <v>135</v>
      </c>
      <c r="C69" s="244" t="s">
        <v>296</v>
      </c>
      <c r="D69" s="48" t="s">
        <v>829</v>
      </c>
      <c r="E69" s="49" t="s">
        <v>830</v>
      </c>
      <c r="F69" s="124">
        <f t="shared" ref="F69:F78" si="47">K69/$Q$8</f>
        <v>8.8671348513868192E-3</v>
      </c>
      <c r="G69" s="52">
        <f t="shared" ref="G69:G78" si="48">L69/$R$8</f>
        <v>8.5225324166452003E-3</v>
      </c>
      <c r="H69" s="52">
        <f>M69/$S$8</f>
        <v>0</v>
      </c>
      <c r="I69" s="52">
        <f t="shared" ref="I69:I78" si="49">N69/$U$8</f>
        <v>0</v>
      </c>
      <c r="J69" s="53">
        <f t="shared" ref="J69:J78" si="50">L69+M69+N69</f>
        <v>250</v>
      </c>
      <c r="K69" s="125">
        <f t="shared" ref="K69:M78" si="51">-W69</f>
        <v>250</v>
      </c>
      <c r="L69" s="247">
        <f t="shared" si="51"/>
        <v>250</v>
      </c>
      <c r="M69" s="247">
        <f t="shared" si="51"/>
        <v>0</v>
      </c>
      <c r="N69" s="80">
        <f t="shared" ref="N69:N78" si="52">-AA69</f>
        <v>0</v>
      </c>
      <c r="O69" s="94" t="s">
        <v>478</v>
      </c>
      <c r="P69" s="242" t="s">
        <v>128</v>
      </c>
      <c r="Q69" s="168">
        <f t="shared" ref="Q69:V86" si="53">W69/Q$8*100</f>
        <v>-0.88671348513868187</v>
      </c>
      <c r="R69" s="75">
        <f t="shared" si="53"/>
        <v>-0.85225324166451999</v>
      </c>
      <c r="S69" s="75">
        <f t="shared" si="53"/>
        <v>0</v>
      </c>
      <c r="T69" s="137">
        <f t="shared" si="53"/>
        <v>0</v>
      </c>
      <c r="U69" s="75">
        <f t="shared" si="53"/>
        <v>0</v>
      </c>
      <c r="V69" s="75">
        <f t="shared" si="53"/>
        <v>0</v>
      </c>
      <c r="W69" s="169">
        <v>-250</v>
      </c>
      <c r="X69" s="248">
        <v>-250</v>
      </c>
      <c r="Y69" s="248">
        <v>0</v>
      </c>
      <c r="Z69" s="132">
        <v>0</v>
      </c>
      <c r="AA69" s="207">
        <v>0</v>
      </c>
      <c r="AB69" s="207">
        <v>0</v>
      </c>
      <c r="AC69" s="176">
        <v>0</v>
      </c>
      <c r="AD69" s="176">
        <f t="shared" ref="AD69:AD78" si="54">-AC69</f>
        <v>0</v>
      </c>
      <c r="AE69" s="51" t="s">
        <v>319</v>
      </c>
    </row>
    <row r="70" spans="1:31" ht="180.75" customHeight="1" outlineLevel="1" x14ac:dyDescent="0.35">
      <c r="A70" s="1368"/>
      <c r="B70" s="1371"/>
      <c r="C70" s="249">
        <v>43915</v>
      </c>
      <c r="D70" s="48" t="s">
        <v>477</v>
      </c>
      <c r="E70" s="85" t="s">
        <v>831</v>
      </c>
      <c r="F70" s="124">
        <f t="shared" si="47"/>
        <v>2.1281123643328368E-4</v>
      </c>
      <c r="G70" s="52">
        <f t="shared" si="48"/>
        <v>2.0454077799948481E-4</v>
      </c>
      <c r="H70" s="52">
        <f t="shared" ref="H70:H143" si="55">M70/$S$8</f>
        <v>0</v>
      </c>
      <c r="I70" s="52">
        <f t="shared" si="49"/>
        <v>0</v>
      </c>
      <c r="J70" s="53">
        <f t="shared" si="50"/>
        <v>6</v>
      </c>
      <c r="K70" s="125">
        <f t="shared" si="51"/>
        <v>6</v>
      </c>
      <c r="L70" s="247">
        <f t="shared" si="51"/>
        <v>6</v>
      </c>
      <c r="M70" s="247">
        <f t="shared" si="51"/>
        <v>0</v>
      </c>
      <c r="N70" s="80">
        <f t="shared" si="52"/>
        <v>0</v>
      </c>
      <c r="O70" s="94" t="s">
        <v>478</v>
      </c>
      <c r="P70" s="242" t="s">
        <v>128</v>
      </c>
      <c r="Q70" s="168">
        <f t="shared" si="53"/>
        <v>-2.1281123643328369E-2</v>
      </c>
      <c r="R70" s="75">
        <f t="shared" si="53"/>
        <v>-2.045407779994848E-2</v>
      </c>
      <c r="S70" s="75">
        <f t="shared" si="53"/>
        <v>0</v>
      </c>
      <c r="T70" s="137">
        <f>Z70/T$8*100</f>
        <v>0</v>
      </c>
      <c r="U70" s="75">
        <f t="shared" si="53"/>
        <v>0</v>
      </c>
      <c r="V70" s="75">
        <f t="shared" si="53"/>
        <v>0</v>
      </c>
      <c r="W70" s="169">
        <v>-6</v>
      </c>
      <c r="X70" s="248">
        <v>-6</v>
      </c>
      <c r="Y70" s="248">
        <v>0</v>
      </c>
      <c r="Z70" s="132">
        <v>0</v>
      </c>
      <c r="AA70" s="207">
        <v>0</v>
      </c>
      <c r="AB70" s="207">
        <v>0</v>
      </c>
      <c r="AC70" s="176">
        <v>0</v>
      </c>
      <c r="AD70" s="176">
        <f t="shared" si="54"/>
        <v>0</v>
      </c>
      <c r="AE70" s="51" t="s">
        <v>832</v>
      </c>
    </row>
    <row r="71" spans="1:31" ht="61.5" customHeight="1" outlineLevel="1" x14ac:dyDescent="0.35">
      <c r="A71" s="1368"/>
      <c r="B71" s="1371"/>
      <c r="C71" s="249">
        <v>43944</v>
      </c>
      <c r="D71" s="48" t="s">
        <v>833</v>
      </c>
      <c r="E71" s="49" t="s">
        <v>188</v>
      </c>
      <c r="F71" s="124">
        <f t="shared" si="47"/>
        <v>1.599027807334894E-4</v>
      </c>
      <c r="G71" s="52">
        <f t="shared" si="48"/>
        <v>1.5368849748571654E-4</v>
      </c>
      <c r="H71" s="52">
        <f t="shared" si="55"/>
        <v>0</v>
      </c>
      <c r="I71" s="52">
        <f t="shared" si="49"/>
        <v>0</v>
      </c>
      <c r="J71" s="53">
        <f t="shared" si="50"/>
        <v>4.5082990000000001</v>
      </c>
      <c r="K71" s="125">
        <f t="shared" si="51"/>
        <v>4.5082990000000001</v>
      </c>
      <c r="L71" s="247">
        <f t="shared" si="51"/>
        <v>4.5082990000000001</v>
      </c>
      <c r="M71" s="247">
        <f t="shared" si="51"/>
        <v>0</v>
      </c>
      <c r="N71" s="80">
        <f t="shared" si="52"/>
        <v>0</v>
      </c>
      <c r="O71" s="94" t="s">
        <v>478</v>
      </c>
      <c r="P71" s="242" t="s">
        <v>128</v>
      </c>
      <c r="Q71" s="168">
        <f t="shared" si="53"/>
        <v>-1.5990278073348942E-2</v>
      </c>
      <c r="R71" s="75">
        <f t="shared" si="53"/>
        <v>-1.5368849748571655E-2</v>
      </c>
      <c r="S71" s="75">
        <f t="shared" si="53"/>
        <v>0</v>
      </c>
      <c r="T71" s="137">
        <f t="shared" si="53"/>
        <v>0</v>
      </c>
      <c r="U71" s="75">
        <f t="shared" si="53"/>
        <v>0</v>
      </c>
      <c r="V71" s="75">
        <f t="shared" si="53"/>
        <v>0</v>
      </c>
      <c r="W71" s="169">
        <v>-4.5082990000000001</v>
      </c>
      <c r="X71" s="248">
        <v>-4.5082990000000001</v>
      </c>
      <c r="Y71" s="248">
        <v>0</v>
      </c>
      <c r="Z71" s="132">
        <v>0</v>
      </c>
      <c r="AA71" s="207">
        <v>0</v>
      </c>
      <c r="AB71" s="207">
        <v>0</v>
      </c>
      <c r="AC71" s="176">
        <v>0</v>
      </c>
      <c r="AD71" s="176">
        <f t="shared" si="54"/>
        <v>0</v>
      </c>
      <c r="AE71" s="51" t="s">
        <v>189</v>
      </c>
    </row>
    <row r="72" spans="1:31" ht="61.5" customHeight="1" outlineLevel="1" x14ac:dyDescent="0.35">
      <c r="A72" s="1368"/>
      <c r="B72" s="1371"/>
      <c r="C72" s="249">
        <v>43944</v>
      </c>
      <c r="D72" s="48" t="s">
        <v>833</v>
      </c>
      <c r="E72" s="49" t="s">
        <v>179</v>
      </c>
      <c r="F72" s="124">
        <f t="shared" si="47"/>
        <v>0</v>
      </c>
      <c r="G72" s="52">
        <f t="shared" si="48"/>
        <v>0</v>
      </c>
      <c r="H72" s="52">
        <f t="shared" si="55"/>
        <v>1.1502209360352773E-3</v>
      </c>
      <c r="I72" s="52">
        <f t="shared" si="49"/>
        <v>0</v>
      </c>
      <c r="J72" s="53">
        <f t="shared" si="50"/>
        <v>35.229999999999997</v>
      </c>
      <c r="K72" s="125">
        <f t="shared" si="51"/>
        <v>0</v>
      </c>
      <c r="L72" s="247">
        <f t="shared" si="51"/>
        <v>0</v>
      </c>
      <c r="M72" s="247">
        <f t="shared" si="51"/>
        <v>35.229999999999997</v>
      </c>
      <c r="N72" s="80">
        <f t="shared" si="52"/>
        <v>0</v>
      </c>
      <c r="O72" s="94" t="s">
        <v>478</v>
      </c>
      <c r="P72" s="242" t="s">
        <v>128</v>
      </c>
      <c r="Q72" s="168">
        <f t="shared" si="53"/>
        <v>0</v>
      </c>
      <c r="R72" s="75">
        <f t="shared" si="53"/>
        <v>0</v>
      </c>
      <c r="S72" s="75">
        <f t="shared" si="53"/>
        <v>-0.11502209360352772</v>
      </c>
      <c r="T72" s="137">
        <f t="shared" si="53"/>
        <v>-0.11492414688743051</v>
      </c>
      <c r="U72" s="75">
        <f t="shared" si="53"/>
        <v>0</v>
      </c>
      <c r="V72" s="75">
        <f t="shared" si="53"/>
        <v>0</v>
      </c>
      <c r="W72" s="169">
        <v>0</v>
      </c>
      <c r="X72" s="248">
        <v>0</v>
      </c>
      <c r="Y72" s="248">
        <v>-35.229999999999997</v>
      </c>
      <c r="Z72" s="132">
        <v>-35.200000000000003</v>
      </c>
      <c r="AA72" s="207">
        <v>0</v>
      </c>
      <c r="AB72" s="207">
        <v>0</v>
      </c>
      <c r="AC72" s="176">
        <v>0</v>
      </c>
      <c r="AD72" s="176">
        <f t="shared" si="54"/>
        <v>0</v>
      </c>
      <c r="AE72" s="51" t="s">
        <v>1410</v>
      </c>
    </row>
    <row r="73" spans="1:31" ht="61.5" customHeight="1" outlineLevel="1" x14ac:dyDescent="0.35">
      <c r="A73" s="1369"/>
      <c r="B73" s="1372"/>
      <c r="C73" s="249">
        <v>44279</v>
      </c>
      <c r="D73" s="48" t="s">
        <v>1288</v>
      </c>
      <c r="E73" s="49" t="s">
        <v>1289</v>
      </c>
      <c r="F73" s="124">
        <f t="shared" si="47"/>
        <v>0</v>
      </c>
      <c r="G73" s="52">
        <f t="shared" si="48"/>
        <v>0</v>
      </c>
      <c r="H73" s="52">
        <f t="shared" si="55"/>
        <v>6.2658473221727587E-5</v>
      </c>
      <c r="I73" s="52">
        <f t="shared" si="49"/>
        <v>0</v>
      </c>
      <c r="J73" s="53">
        <f t="shared" si="50"/>
        <v>1.91916</v>
      </c>
      <c r="K73" s="125">
        <f t="shared" si="51"/>
        <v>0</v>
      </c>
      <c r="L73" s="247">
        <f t="shared" si="51"/>
        <v>0</v>
      </c>
      <c r="M73" s="247">
        <f t="shared" si="51"/>
        <v>1.91916</v>
      </c>
      <c r="N73" s="80">
        <f t="shared" si="52"/>
        <v>0</v>
      </c>
      <c r="O73" s="94" t="s">
        <v>478</v>
      </c>
      <c r="P73" s="242" t="s">
        <v>128</v>
      </c>
      <c r="Q73" s="168">
        <f t="shared" si="53"/>
        <v>0</v>
      </c>
      <c r="R73" s="75">
        <f t="shared" si="53"/>
        <v>0</v>
      </c>
      <c r="S73" s="75">
        <f t="shared" si="53"/>
        <v>-6.2658473221727587E-3</v>
      </c>
      <c r="T73" s="137">
        <f t="shared" si="53"/>
        <v>0</v>
      </c>
      <c r="U73" s="75">
        <f t="shared" si="53"/>
        <v>0</v>
      </c>
      <c r="V73" s="75">
        <f t="shared" si="53"/>
        <v>0</v>
      </c>
      <c r="W73" s="169">
        <v>0</v>
      </c>
      <c r="X73" s="248">
        <v>0</v>
      </c>
      <c r="Y73" s="248">
        <v>-1.91916</v>
      </c>
      <c r="Z73" s="132">
        <v>0</v>
      </c>
      <c r="AA73" s="207">
        <v>0</v>
      </c>
      <c r="AB73" s="207">
        <v>0</v>
      </c>
      <c r="AC73" s="176">
        <v>-0.95957999999999999</v>
      </c>
      <c r="AD73" s="176">
        <f t="shared" si="54"/>
        <v>0.95957999999999999</v>
      </c>
      <c r="AE73" s="51" t="s">
        <v>1290</v>
      </c>
    </row>
    <row r="74" spans="1:31" ht="71.25" customHeight="1" outlineLevel="1" x14ac:dyDescent="0.35">
      <c r="A74" s="1303">
        <v>2</v>
      </c>
      <c r="B74" s="1309" t="s">
        <v>834</v>
      </c>
      <c r="C74" s="86">
        <v>43893</v>
      </c>
      <c r="D74" s="48" t="s">
        <v>100</v>
      </c>
      <c r="E74" s="49" t="s">
        <v>105</v>
      </c>
      <c r="F74" s="124">
        <f t="shared" si="47"/>
        <v>3.1418209548130804E-5</v>
      </c>
      <c r="G74" s="52">
        <f t="shared" si="48"/>
        <v>3.0063778541790606E-5</v>
      </c>
      <c r="H74" s="52">
        <f t="shared" si="55"/>
        <v>0</v>
      </c>
      <c r="I74" s="52">
        <f t="shared" si="49"/>
        <v>0</v>
      </c>
      <c r="J74" s="53">
        <f t="shared" si="50"/>
        <v>0.88189099999999998</v>
      </c>
      <c r="K74" s="125">
        <f t="shared" si="51"/>
        <v>0.88580499999999995</v>
      </c>
      <c r="L74" s="247">
        <v>0.88189099999999998</v>
      </c>
      <c r="M74" s="247">
        <v>0</v>
      </c>
      <c r="N74" s="80">
        <f t="shared" si="52"/>
        <v>0</v>
      </c>
      <c r="O74" s="95" t="s">
        <v>479</v>
      </c>
      <c r="P74" s="242" t="s">
        <v>171</v>
      </c>
      <c r="Q74" s="168">
        <f t="shared" si="53"/>
        <v>-3.1418209548130802E-3</v>
      </c>
      <c r="R74" s="75">
        <f t="shared" si="53"/>
        <v>-1.1590984987934136E-3</v>
      </c>
      <c r="S74" s="75">
        <f t="shared" si="53"/>
        <v>-1.7691821488496511E-3</v>
      </c>
      <c r="T74" s="137">
        <f t="shared" si="53"/>
        <v>0</v>
      </c>
      <c r="U74" s="75">
        <f t="shared" si="53"/>
        <v>0</v>
      </c>
      <c r="V74" s="75">
        <f t="shared" si="53"/>
        <v>0</v>
      </c>
      <c r="W74" s="169">
        <v>-0.88580499999999995</v>
      </c>
      <c r="X74" s="248">
        <v>-0.34000999999999998</v>
      </c>
      <c r="Y74" s="248">
        <v>-0.54188099999999995</v>
      </c>
      <c r="Z74" s="132">
        <v>0</v>
      </c>
      <c r="AA74" s="207">
        <v>0</v>
      </c>
      <c r="AB74" s="207">
        <v>0</v>
      </c>
      <c r="AC74" s="191">
        <v>-0.44828685000000001</v>
      </c>
      <c r="AD74" s="176">
        <f t="shared" si="54"/>
        <v>0.44828685000000001</v>
      </c>
      <c r="AE74" s="51" t="s">
        <v>835</v>
      </c>
    </row>
    <row r="75" spans="1:31" ht="117.75" customHeight="1" outlineLevel="1" x14ac:dyDescent="0.35">
      <c r="A75" s="1307"/>
      <c r="B75" s="1310"/>
      <c r="C75" s="86">
        <v>43930</v>
      </c>
      <c r="D75" s="48" t="s">
        <v>103</v>
      </c>
      <c r="E75" s="49" t="s">
        <v>104</v>
      </c>
      <c r="F75" s="124">
        <f t="shared" si="47"/>
        <v>5.0041984110094345E-4</v>
      </c>
      <c r="G75" s="52">
        <f t="shared" si="48"/>
        <v>4.8097208277465283E-4</v>
      </c>
      <c r="H75" s="52">
        <f t="shared" si="55"/>
        <v>0</v>
      </c>
      <c r="I75" s="52">
        <f t="shared" si="49"/>
        <v>0</v>
      </c>
      <c r="J75" s="53">
        <f t="shared" si="50"/>
        <v>14.108836999999999</v>
      </c>
      <c r="K75" s="125">
        <f t="shared" si="51"/>
        <v>14.108836999999999</v>
      </c>
      <c r="L75" s="247">
        <v>14.108836999999999</v>
      </c>
      <c r="M75" s="247">
        <v>0</v>
      </c>
      <c r="N75" s="80">
        <f t="shared" si="52"/>
        <v>0</v>
      </c>
      <c r="O75" s="95" t="s">
        <v>479</v>
      </c>
      <c r="P75" s="242" t="s">
        <v>171</v>
      </c>
      <c r="Q75" s="168">
        <f t="shared" si="53"/>
        <v>-5.0041984110094348E-2</v>
      </c>
      <c r="R75" s="75">
        <f t="shared" si="53"/>
        <v>-2.9278836261152748E-2</v>
      </c>
      <c r="S75" s="75">
        <f t="shared" si="53"/>
        <v>-1.8022789971970165E-2</v>
      </c>
      <c r="T75" s="137">
        <f t="shared" si="53"/>
        <v>0</v>
      </c>
      <c r="U75" s="75">
        <f t="shared" si="53"/>
        <v>0</v>
      </c>
      <c r="V75" s="75">
        <f t="shared" si="53"/>
        <v>0</v>
      </c>
      <c r="W75" s="169">
        <v>-14.108836999999999</v>
      </c>
      <c r="X75" s="248">
        <v>-8.5886549999999993</v>
      </c>
      <c r="Y75" s="248">
        <v>-5.5201820000000001</v>
      </c>
      <c r="Z75" s="132">
        <v>0</v>
      </c>
      <c r="AA75" s="207">
        <v>0</v>
      </c>
      <c r="AB75" s="207">
        <v>0</v>
      </c>
      <c r="AC75" s="176">
        <v>-1.771336</v>
      </c>
      <c r="AD75" s="176">
        <f t="shared" si="54"/>
        <v>1.771336</v>
      </c>
      <c r="AE75" s="51" t="s">
        <v>836</v>
      </c>
    </row>
    <row r="76" spans="1:31" ht="60" customHeight="1" outlineLevel="1" x14ac:dyDescent="0.35">
      <c r="A76" s="1307"/>
      <c r="B76" s="1310"/>
      <c r="C76" s="86">
        <v>44090</v>
      </c>
      <c r="D76" s="48" t="s">
        <v>1376</v>
      </c>
      <c r="E76" s="49" t="s">
        <v>1377</v>
      </c>
      <c r="F76" s="124"/>
      <c r="G76" s="52">
        <f t="shared" si="48"/>
        <v>2.1206958313634919E-4</v>
      </c>
      <c r="H76" s="52">
        <f t="shared" si="55"/>
        <v>0</v>
      </c>
      <c r="I76" s="52">
        <f t="shared" si="49"/>
        <v>0</v>
      </c>
      <c r="J76" s="53">
        <v>6.2208500000000004</v>
      </c>
      <c r="K76" s="80">
        <v>6.2208500000000004</v>
      </c>
      <c r="L76" s="247">
        <v>6.2208500000000004</v>
      </c>
      <c r="M76" s="247">
        <v>0</v>
      </c>
      <c r="N76" s="80">
        <v>0</v>
      </c>
      <c r="O76" s="95" t="s">
        <v>479</v>
      </c>
      <c r="P76" s="242" t="s">
        <v>171</v>
      </c>
      <c r="Q76" s="75">
        <f t="shared" si="53"/>
        <v>-2.2064446336099882E-2</v>
      </c>
      <c r="R76" s="75">
        <f t="shared" si="53"/>
        <v>-9.5387341598507976E-3</v>
      </c>
      <c r="S76" s="75">
        <f t="shared" si="53"/>
        <v>-1.1174926938294912E-2</v>
      </c>
      <c r="T76" s="137">
        <f t="shared" si="53"/>
        <v>0</v>
      </c>
      <c r="U76" s="75">
        <f t="shared" si="53"/>
        <v>0</v>
      </c>
      <c r="V76" s="188">
        <f t="shared" si="53"/>
        <v>0</v>
      </c>
      <c r="W76" s="190">
        <v>-6.2208500000000004</v>
      </c>
      <c r="X76" s="248">
        <v>-2.79809266</v>
      </c>
      <c r="Y76" s="248">
        <v>-3.4227569999999998</v>
      </c>
      <c r="Z76" s="132">
        <v>0</v>
      </c>
      <c r="AA76" s="207">
        <v>0</v>
      </c>
      <c r="AB76" s="207">
        <v>0</v>
      </c>
      <c r="AC76" s="176">
        <v>-0.87877251000000001</v>
      </c>
      <c r="AD76" s="176">
        <f t="shared" si="54"/>
        <v>0.87877251000000001</v>
      </c>
      <c r="AE76" s="51" t="s">
        <v>1378</v>
      </c>
    </row>
    <row r="77" spans="1:31" ht="77.25" customHeight="1" outlineLevel="1" x14ac:dyDescent="0.35">
      <c r="A77" s="1307"/>
      <c r="B77" s="1310"/>
      <c r="C77" s="86">
        <v>43910</v>
      </c>
      <c r="D77" s="48" t="s">
        <v>102</v>
      </c>
      <c r="E77" s="49" t="s">
        <v>106</v>
      </c>
      <c r="F77" s="124">
        <f t="shared" si="47"/>
        <v>9.1521600340497969E-6</v>
      </c>
      <c r="G77" s="52">
        <f t="shared" si="48"/>
        <v>8.7964806986458428E-6</v>
      </c>
      <c r="H77" s="52">
        <f t="shared" si="55"/>
        <v>0</v>
      </c>
      <c r="I77" s="52">
        <f t="shared" si="49"/>
        <v>0</v>
      </c>
      <c r="J77" s="53">
        <f t="shared" si="50"/>
        <v>0.25803599999999999</v>
      </c>
      <c r="K77" s="125">
        <f t="shared" si="51"/>
        <v>0.25803599999999999</v>
      </c>
      <c r="L77" s="247">
        <f t="shared" si="51"/>
        <v>0.25803599999999999</v>
      </c>
      <c r="M77" s="247">
        <f t="shared" si="51"/>
        <v>0</v>
      </c>
      <c r="N77" s="80">
        <f t="shared" si="52"/>
        <v>0</v>
      </c>
      <c r="O77" s="95" t="s">
        <v>480</v>
      </c>
      <c r="P77" s="242" t="s">
        <v>129</v>
      </c>
      <c r="Q77" s="168">
        <f t="shared" si="53"/>
        <v>-9.1521600340497969E-4</v>
      </c>
      <c r="R77" s="75">
        <f t="shared" si="53"/>
        <v>-8.796480698645843E-4</v>
      </c>
      <c r="S77" s="75">
        <f t="shared" si="53"/>
        <v>0</v>
      </c>
      <c r="T77" s="137">
        <f t="shared" si="53"/>
        <v>0</v>
      </c>
      <c r="U77" s="75">
        <f t="shared" si="53"/>
        <v>0</v>
      </c>
      <c r="V77" s="75">
        <f t="shared" si="53"/>
        <v>0</v>
      </c>
      <c r="W77" s="169">
        <v>-0.25803599999999999</v>
      </c>
      <c r="X77" s="248">
        <v>-0.25803599999999999</v>
      </c>
      <c r="Y77" s="248">
        <v>0</v>
      </c>
      <c r="Z77" s="132">
        <v>0</v>
      </c>
      <c r="AA77" s="207">
        <v>0</v>
      </c>
      <c r="AB77" s="207">
        <v>0</v>
      </c>
      <c r="AC77" s="176">
        <v>0</v>
      </c>
      <c r="AD77" s="188">
        <f t="shared" si="54"/>
        <v>0</v>
      </c>
      <c r="AE77" s="51" t="s">
        <v>837</v>
      </c>
    </row>
    <row r="78" spans="1:31" ht="60" customHeight="1" outlineLevel="1" x14ac:dyDescent="0.35">
      <c r="A78" s="1307"/>
      <c r="B78" s="1310"/>
      <c r="C78" s="1121" t="s">
        <v>532</v>
      </c>
      <c r="D78" s="48" t="s">
        <v>838</v>
      </c>
      <c r="E78" s="1333" t="s">
        <v>147</v>
      </c>
      <c r="F78" s="1393">
        <f t="shared" si="47"/>
        <v>1.6221451372632476E-3</v>
      </c>
      <c r="G78" s="1116">
        <f t="shared" si="48"/>
        <v>1.2183851546485095E-3</v>
      </c>
      <c r="H78" s="1116">
        <f>M78/$S$8</f>
        <v>4.0587019826082027E-4</v>
      </c>
      <c r="I78" s="1116">
        <f t="shared" si="49"/>
        <v>0</v>
      </c>
      <c r="J78" s="1311">
        <f t="shared" si="50"/>
        <v>48.171472000000001</v>
      </c>
      <c r="K78" s="1395">
        <f>-W78</f>
        <v>45.734760000000001</v>
      </c>
      <c r="L78" s="1397">
        <f t="shared" si="51"/>
        <v>35.740115000000003</v>
      </c>
      <c r="M78" s="1397">
        <f t="shared" si="51"/>
        <v>12.431357</v>
      </c>
      <c r="N78" s="1088">
        <f t="shared" si="52"/>
        <v>0</v>
      </c>
      <c r="O78" s="1137" t="s">
        <v>481</v>
      </c>
      <c r="P78" s="1323" t="s">
        <v>129</v>
      </c>
      <c r="Q78" s="1325">
        <f t="shared" si="53"/>
        <v>-0.16221451372632475</v>
      </c>
      <c r="R78" s="1293">
        <f t="shared" si="53"/>
        <v>-0.12183851546485094</v>
      </c>
      <c r="S78" s="1293">
        <f>Y78/S$8*100</f>
        <v>-4.0587019826082024E-2</v>
      </c>
      <c r="T78" s="1291">
        <f>Z78/T$8*100</f>
        <v>-4.0587019826082024E-2</v>
      </c>
      <c r="U78" s="1293">
        <f>AA78/U$8*100</f>
        <v>0</v>
      </c>
      <c r="V78" s="1293">
        <f t="shared" si="53"/>
        <v>0</v>
      </c>
      <c r="W78" s="1327">
        <v>-45.734760000000001</v>
      </c>
      <c r="X78" s="1315">
        <v>-35.740115000000003</v>
      </c>
      <c r="Y78" s="1315">
        <v>-12.431357</v>
      </c>
      <c r="Z78" s="1100">
        <v>-12.431357</v>
      </c>
      <c r="AA78" s="1092">
        <v>0</v>
      </c>
      <c r="AB78" s="1092">
        <v>0</v>
      </c>
      <c r="AC78" s="1399">
        <f>-7.994113</f>
        <v>-7.9941129999999996</v>
      </c>
      <c r="AD78" s="1399">
        <f t="shared" si="54"/>
        <v>7.9941129999999996</v>
      </c>
      <c r="AE78" s="1289" t="s">
        <v>839</v>
      </c>
    </row>
    <row r="79" spans="1:31" ht="61.5" customHeight="1" outlineLevel="1" x14ac:dyDescent="0.35">
      <c r="A79" s="1307"/>
      <c r="B79" s="1310"/>
      <c r="C79" s="1122"/>
      <c r="D79" s="48" t="s">
        <v>840</v>
      </c>
      <c r="E79" s="1334"/>
      <c r="F79" s="1394"/>
      <c r="G79" s="1117"/>
      <c r="H79" s="1117"/>
      <c r="I79" s="1117"/>
      <c r="J79" s="1312"/>
      <c r="K79" s="1396"/>
      <c r="L79" s="1398"/>
      <c r="M79" s="1398"/>
      <c r="N79" s="1089"/>
      <c r="O79" s="1138"/>
      <c r="P79" s="1324"/>
      <c r="Q79" s="1326"/>
      <c r="R79" s="1148"/>
      <c r="S79" s="1148"/>
      <c r="T79" s="1292"/>
      <c r="U79" s="1148"/>
      <c r="V79" s="1148"/>
      <c r="W79" s="1328"/>
      <c r="X79" s="1316"/>
      <c r="Y79" s="1316"/>
      <c r="Z79" s="1101"/>
      <c r="AA79" s="1093"/>
      <c r="AB79" s="1093"/>
      <c r="AC79" s="1400"/>
      <c r="AD79" s="1400"/>
      <c r="AE79" s="1290"/>
    </row>
    <row r="80" spans="1:31" ht="113.25" customHeight="1" outlineLevel="1" x14ac:dyDescent="0.35">
      <c r="A80" s="1307"/>
      <c r="B80" s="1310"/>
      <c r="C80" s="87" t="s">
        <v>26</v>
      </c>
      <c r="D80" s="48" t="s">
        <v>101</v>
      </c>
      <c r="E80" s="49" t="s">
        <v>841</v>
      </c>
      <c r="F80" s="124">
        <f t="shared" ref="F80:F86" si="56">K80/$Q$8</f>
        <v>4.1648648648648644E-4</v>
      </c>
      <c r="G80" s="1116">
        <f>L80/$R$8</f>
        <v>2.5874424098394477E-3</v>
      </c>
      <c r="H80" s="52">
        <f t="shared" si="55"/>
        <v>0</v>
      </c>
      <c r="I80" s="52">
        <f t="shared" ref="I80:I86" si="57">N80/$U$8</f>
        <v>0</v>
      </c>
      <c r="J80" s="1311">
        <f>SUM(L80:N93)</f>
        <v>127.80528700000001</v>
      </c>
      <c r="K80" s="125">
        <f>-W80</f>
        <v>11.742419999999999</v>
      </c>
      <c r="L80" s="1397">
        <f>-X80</f>
        <v>75.900046000000003</v>
      </c>
      <c r="M80" s="247">
        <v>0</v>
      </c>
      <c r="N80" s="80">
        <v>0</v>
      </c>
      <c r="O80" s="95" t="s">
        <v>479</v>
      </c>
      <c r="P80" s="242" t="s">
        <v>129</v>
      </c>
      <c r="Q80" s="168">
        <f t="shared" ref="Q80:Q86" si="58">W80/Q$8*100</f>
        <v>-4.1648648648648645E-2</v>
      </c>
      <c r="R80" s="113">
        <f>X80/R8*100</f>
        <v>-0.25874424098394477</v>
      </c>
      <c r="S80" s="75">
        <f t="shared" si="53"/>
        <v>0</v>
      </c>
      <c r="T80" s="137">
        <f t="shared" si="53"/>
        <v>0</v>
      </c>
      <c r="U80" s="75">
        <f t="shared" si="53"/>
        <v>0</v>
      </c>
      <c r="V80" s="75">
        <f t="shared" si="53"/>
        <v>0</v>
      </c>
      <c r="W80" s="169">
        <v>-11.742419999999999</v>
      </c>
      <c r="X80" s="1402">
        <f>-82.120896+6.22085</f>
        <v>-75.900046000000003</v>
      </c>
      <c r="Y80" s="248">
        <v>0</v>
      </c>
      <c r="Z80" s="132">
        <v>0</v>
      </c>
      <c r="AA80" s="207">
        <v>0</v>
      </c>
      <c r="AB80" s="207">
        <v>0</v>
      </c>
      <c r="AC80" s="221">
        <v>0</v>
      </c>
      <c r="AD80" s="221">
        <f t="shared" ref="AD80:AD87" si="59">-AC80</f>
        <v>0</v>
      </c>
      <c r="AE80" s="51" t="s">
        <v>842</v>
      </c>
    </row>
    <row r="81" spans="1:32" s="1" customFormat="1" ht="59.25" customHeight="1" outlineLevel="1" x14ac:dyDescent="0.35">
      <c r="A81" s="1307"/>
      <c r="B81" s="1310"/>
      <c r="C81" s="249">
        <v>43917</v>
      </c>
      <c r="D81" s="48" t="s">
        <v>843</v>
      </c>
      <c r="E81" s="49" t="s">
        <v>107</v>
      </c>
      <c r="F81" s="124">
        <f t="shared" si="56"/>
        <v>1.9396527629992198E-4</v>
      </c>
      <c r="G81" s="1132"/>
      <c r="H81" s="52">
        <f t="shared" si="55"/>
        <v>0</v>
      </c>
      <c r="I81" s="52">
        <f t="shared" si="57"/>
        <v>0</v>
      </c>
      <c r="J81" s="1349"/>
      <c r="K81" s="125">
        <f t="shared" ref="K81:K86" si="60">-W81</f>
        <v>5.4686570000000003</v>
      </c>
      <c r="L81" s="1401"/>
      <c r="M81" s="247">
        <v>0</v>
      </c>
      <c r="N81" s="80">
        <v>0</v>
      </c>
      <c r="O81" s="94" t="s">
        <v>479</v>
      </c>
      <c r="P81" s="242" t="s">
        <v>130</v>
      </c>
      <c r="Q81" s="168">
        <f t="shared" si="58"/>
        <v>-1.9396527629992198E-2</v>
      </c>
      <c r="R81" s="114"/>
      <c r="S81" s="75">
        <f t="shared" si="53"/>
        <v>0</v>
      </c>
      <c r="T81" s="137">
        <f t="shared" si="53"/>
        <v>0</v>
      </c>
      <c r="U81" s="75">
        <f t="shared" si="53"/>
        <v>0</v>
      </c>
      <c r="V81" s="75">
        <f t="shared" si="53"/>
        <v>0</v>
      </c>
      <c r="W81" s="169">
        <v>-5.4686570000000003</v>
      </c>
      <c r="X81" s="1403"/>
      <c r="Y81" s="248">
        <v>0</v>
      </c>
      <c r="Z81" s="132">
        <v>0</v>
      </c>
      <c r="AA81" s="207">
        <v>0</v>
      </c>
      <c r="AB81" s="207">
        <v>0</v>
      </c>
      <c r="AC81" s="176">
        <v>0</v>
      </c>
      <c r="AD81" s="176">
        <f t="shared" si="59"/>
        <v>0</v>
      </c>
      <c r="AE81" s="51" t="s">
        <v>844</v>
      </c>
    </row>
    <row r="82" spans="1:32" s="1" customFormat="1" ht="58" outlineLevel="1" x14ac:dyDescent="0.35">
      <c r="A82" s="1307"/>
      <c r="B82" s="1310"/>
      <c r="C82" s="63">
        <v>43956</v>
      </c>
      <c r="D82" s="48" t="s">
        <v>845</v>
      </c>
      <c r="E82" s="49" t="s">
        <v>846</v>
      </c>
      <c r="F82" s="124">
        <f t="shared" si="56"/>
        <v>4.6944846421224373E-5</v>
      </c>
      <c r="G82" s="1132"/>
      <c r="H82" s="52">
        <f t="shared" si="55"/>
        <v>0</v>
      </c>
      <c r="I82" s="52">
        <f t="shared" si="57"/>
        <v>0</v>
      </c>
      <c r="J82" s="1349"/>
      <c r="K82" s="125">
        <f t="shared" si="60"/>
        <v>1.323563</v>
      </c>
      <c r="L82" s="1401"/>
      <c r="M82" s="247">
        <v>0</v>
      </c>
      <c r="N82" s="80">
        <v>0</v>
      </c>
      <c r="O82" s="95" t="s">
        <v>479</v>
      </c>
      <c r="P82" s="242" t="s">
        <v>171</v>
      </c>
      <c r="Q82" s="168">
        <f t="shared" si="58"/>
        <v>-4.6944846421224373E-3</v>
      </c>
      <c r="R82" s="114"/>
      <c r="S82" s="75">
        <f t="shared" si="53"/>
        <v>0</v>
      </c>
      <c r="T82" s="137">
        <f t="shared" si="53"/>
        <v>0</v>
      </c>
      <c r="U82" s="75">
        <f t="shared" si="53"/>
        <v>0</v>
      </c>
      <c r="V82" s="75">
        <f t="shared" si="53"/>
        <v>0</v>
      </c>
      <c r="W82" s="169">
        <v>-1.323563</v>
      </c>
      <c r="X82" s="1403"/>
      <c r="Y82" s="248">
        <v>0</v>
      </c>
      <c r="Z82" s="132">
        <v>0</v>
      </c>
      <c r="AA82" s="207">
        <v>0</v>
      </c>
      <c r="AB82" s="207">
        <v>0</v>
      </c>
      <c r="AC82" s="176">
        <v>0</v>
      </c>
      <c r="AD82" s="176">
        <f t="shared" si="59"/>
        <v>0</v>
      </c>
      <c r="AE82" s="51" t="s">
        <v>847</v>
      </c>
    </row>
    <row r="83" spans="1:32" s="1" customFormat="1" ht="90.75" customHeight="1" outlineLevel="1" x14ac:dyDescent="0.35">
      <c r="A83" s="1307"/>
      <c r="B83" s="1310"/>
      <c r="C83" s="63">
        <v>43971</v>
      </c>
      <c r="D83" s="48" t="s">
        <v>848</v>
      </c>
      <c r="E83" s="49" t="s">
        <v>849</v>
      </c>
      <c r="F83" s="124">
        <f t="shared" si="56"/>
        <v>7.7754273958998365E-5</v>
      </c>
      <c r="G83" s="1132"/>
      <c r="H83" s="52">
        <f t="shared" si="55"/>
        <v>0</v>
      </c>
      <c r="I83" s="52">
        <f t="shared" si="57"/>
        <v>0</v>
      </c>
      <c r="J83" s="1349"/>
      <c r="K83" s="125">
        <f t="shared" si="60"/>
        <v>2.1922039999999998</v>
      </c>
      <c r="L83" s="1401"/>
      <c r="M83" s="247">
        <v>0</v>
      </c>
      <c r="N83" s="80">
        <v>0</v>
      </c>
      <c r="O83" s="95" t="s">
        <v>479</v>
      </c>
      <c r="P83" s="242" t="s">
        <v>129</v>
      </c>
      <c r="Q83" s="168">
        <f t="shared" si="58"/>
        <v>-7.7754273958998369E-3</v>
      </c>
      <c r="R83" s="114"/>
      <c r="S83" s="75">
        <f t="shared" si="53"/>
        <v>0</v>
      </c>
      <c r="T83" s="137">
        <f t="shared" si="53"/>
        <v>0</v>
      </c>
      <c r="U83" s="75">
        <f t="shared" si="53"/>
        <v>0</v>
      </c>
      <c r="V83" s="75">
        <f t="shared" si="53"/>
        <v>0</v>
      </c>
      <c r="W83" s="169">
        <v>-2.1922039999999998</v>
      </c>
      <c r="X83" s="1403"/>
      <c r="Y83" s="248">
        <v>0</v>
      </c>
      <c r="Z83" s="132">
        <v>0</v>
      </c>
      <c r="AA83" s="207">
        <v>0</v>
      </c>
      <c r="AB83" s="207">
        <v>0</v>
      </c>
      <c r="AC83" s="176">
        <v>0</v>
      </c>
      <c r="AD83" s="176">
        <f t="shared" si="59"/>
        <v>0</v>
      </c>
      <c r="AE83" s="51" t="s">
        <v>850</v>
      </c>
    </row>
    <row r="84" spans="1:32" s="1" customFormat="1" ht="80.25" customHeight="1" outlineLevel="1" x14ac:dyDescent="0.35">
      <c r="A84" s="1307"/>
      <c r="B84" s="1310"/>
      <c r="C84" s="63">
        <v>43991</v>
      </c>
      <c r="D84" s="48" t="s">
        <v>851</v>
      </c>
      <c r="E84" s="49" t="s">
        <v>367</v>
      </c>
      <c r="F84" s="124">
        <f t="shared" si="56"/>
        <v>5.6749663048875649E-4</v>
      </c>
      <c r="G84" s="1132"/>
      <c r="H84" s="52">
        <f t="shared" si="55"/>
        <v>0</v>
      </c>
      <c r="I84" s="52">
        <f t="shared" si="57"/>
        <v>0</v>
      </c>
      <c r="J84" s="1349"/>
      <c r="K84" s="125">
        <f t="shared" si="60"/>
        <v>16</v>
      </c>
      <c r="L84" s="1401"/>
      <c r="M84" s="247">
        <v>0</v>
      </c>
      <c r="N84" s="80">
        <v>0</v>
      </c>
      <c r="O84" s="95" t="s">
        <v>479</v>
      </c>
      <c r="P84" s="242" t="s">
        <v>129</v>
      </c>
      <c r="Q84" s="168">
        <f t="shared" si="58"/>
        <v>-5.6749663048875645E-2</v>
      </c>
      <c r="R84" s="114"/>
      <c r="S84" s="75">
        <f t="shared" si="53"/>
        <v>0</v>
      </c>
      <c r="T84" s="137">
        <f t="shared" si="53"/>
        <v>0</v>
      </c>
      <c r="U84" s="75">
        <f t="shared" si="53"/>
        <v>0</v>
      </c>
      <c r="V84" s="75">
        <f t="shared" si="53"/>
        <v>0</v>
      </c>
      <c r="W84" s="170">
        <v>-16</v>
      </c>
      <c r="X84" s="1403"/>
      <c r="Y84" s="248">
        <v>0</v>
      </c>
      <c r="Z84" s="132">
        <v>0</v>
      </c>
      <c r="AA84" s="207">
        <v>0</v>
      </c>
      <c r="AB84" s="207">
        <v>0</v>
      </c>
      <c r="AC84" s="176">
        <v>0</v>
      </c>
      <c r="AD84" s="176">
        <f t="shared" si="59"/>
        <v>0</v>
      </c>
      <c r="AE84" s="51" t="s">
        <v>852</v>
      </c>
    </row>
    <row r="85" spans="1:32" s="1" customFormat="1" ht="117" customHeight="1" outlineLevel="1" x14ac:dyDescent="0.35">
      <c r="A85" s="1307"/>
      <c r="B85" s="1310"/>
      <c r="C85" s="63" t="s">
        <v>586</v>
      </c>
      <c r="D85" s="65" t="s">
        <v>853</v>
      </c>
      <c r="E85" s="49" t="s">
        <v>854</v>
      </c>
      <c r="F85" s="124">
        <f t="shared" si="56"/>
        <v>1.1138237922962333E-3</v>
      </c>
      <c r="G85" s="1132"/>
      <c r="H85" s="52">
        <f t="shared" si="55"/>
        <v>0</v>
      </c>
      <c r="I85" s="52">
        <f t="shared" si="57"/>
        <v>0</v>
      </c>
      <c r="J85" s="1349"/>
      <c r="K85" s="125">
        <f t="shared" si="60"/>
        <v>31.403148000000002</v>
      </c>
      <c r="L85" s="1401"/>
      <c r="M85" s="247">
        <v>0</v>
      </c>
      <c r="N85" s="80">
        <v>0</v>
      </c>
      <c r="O85" s="95" t="s">
        <v>479</v>
      </c>
      <c r="P85" s="242" t="s">
        <v>129</v>
      </c>
      <c r="Q85" s="168">
        <f t="shared" si="58"/>
        <v>-0.11138237922962332</v>
      </c>
      <c r="R85" s="114"/>
      <c r="S85" s="75">
        <f t="shared" si="53"/>
        <v>0</v>
      </c>
      <c r="T85" s="137">
        <f t="shared" si="53"/>
        <v>0</v>
      </c>
      <c r="U85" s="75">
        <f t="shared" si="53"/>
        <v>0</v>
      </c>
      <c r="V85" s="75">
        <f t="shared" si="53"/>
        <v>0</v>
      </c>
      <c r="W85" s="170">
        <v>-31.403148000000002</v>
      </c>
      <c r="X85" s="1403"/>
      <c r="Y85" s="248">
        <v>0</v>
      </c>
      <c r="Z85" s="132">
        <v>0</v>
      </c>
      <c r="AA85" s="207">
        <v>0</v>
      </c>
      <c r="AB85" s="207">
        <v>0</v>
      </c>
      <c r="AC85" s="176">
        <v>0</v>
      </c>
      <c r="AD85" s="176">
        <f t="shared" si="59"/>
        <v>0</v>
      </c>
      <c r="AE85" s="51" t="s">
        <v>411</v>
      </c>
    </row>
    <row r="86" spans="1:32" s="1" customFormat="1" ht="58" outlineLevel="1" x14ac:dyDescent="0.35">
      <c r="A86" s="1307"/>
      <c r="B86" s="1310"/>
      <c r="C86" s="63">
        <v>44054</v>
      </c>
      <c r="D86" s="48" t="s">
        <v>855</v>
      </c>
      <c r="E86" s="49" t="s">
        <v>856</v>
      </c>
      <c r="F86" s="124">
        <f t="shared" si="56"/>
        <v>7.2885223806483645E-5</v>
      </c>
      <c r="G86" s="1132"/>
      <c r="H86" s="52">
        <f t="shared" si="55"/>
        <v>0</v>
      </c>
      <c r="I86" s="52">
        <f t="shared" si="57"/>
        <v>0</v>
      </c>
      <c r="J86" s="1349"/>
      <c r="K86" s="125">
        <f t="shared" si="60"/>
        <v>2.054926</v>
      </c>
      <c r="L86" s="1401"/>
      <c r="M86" s="247">
        <v>0</v>
      </c>
      <c r="N86" s="80">
        <v>0</v>
      </c>
      <c r="O86" s="95" t="s">
        <v>479</v>
      </c>
      <c r="P86" s="242" t="s">
        <v>129</v>
      </c>
      <c r="Q86" s="168">
        <f t="shared" si="58"/>
        <v>-7.2885223806483648E-3</v>
      </c>
      <c r="R86" s="114"/>
      <c r="S86" s="75">
        <f t="shared" si="53"/>
        <v>0</v>
      </c>
      <c r="T86" s="137">
        <f t="shared" si="53"/>
        <v>0</v>
      </c>
      <c r="U86" s="75">
        <f t="shared" si="53"/>
        <v>0</v>
      </c>
      <c r="V86" s="75">
        <f t="shared" si="53"/>
        <v>0</v>
      </c>
      <c r="W86" s="169">
        <v>-2.054926</v>
      </c>
      <c r="X86" s="1403"/>
      <c r="Y86" s="248">
        <v>0</v>
      </c>
      <c r="Z86" s="132">
        <v>0</v>
      </c>
      <c r="AA86" s="207">
        <v>0</v>
      </c>
      <c r="AB86" s="207">
        <v>0</v>
      </c>
      <c r="AC86" s="176">
        <v>0</v>
      </c>
      <c r="AD86" s="176">
        <f t="shared" si="59"/>
        <v>0</v>
      </c>
      <c r="AE86" s="51" t="s">
        <v>857</v>
      </c>
    </row>
    <row r="87" spans="1:32" s="1" customFormat="1" ht="58" outlineLevel="1" x14ac:dyDescent="0.35">
      <c r="A87" s="1307"/>
      <c r="B87" s="1310"/>
      <c r="C87" s="1422" t="s">
        <v>589</v>
      </c>
      <c r="D87" s="48" t="s">
        <v>859</v>
      </c>
      <c r="E87" s="1423" t="s">
        <v>1379</v>
      </c>
      <c r="F87" s="1424"/>
      <c r="G87" s="1132"/>
      <c r="H87" s="1116">
        <f t="shared" si="55"/>
        <v>1.6095910345313418E-3</v>
      </c>
      <c r="I87" s="1116">
        <f>N87/$U$8</f>
        <v>0</v>
      </c>
      <c r="J87" s="1349"/>
      <c r="K87" s="1425"/>
      <c r="L87" s="1401"/>
      <c r="M87" s="1397">
        <f>-Y87</f>
        <v>49.3</v>
      </c>
      <c r="N87" s="1088">
        <f>-AA87</f>
        <v>0</v>
      </c>
      <c r="O87" s="1137" t="s">
        <v>479</v>
      </c>
      <c r="P87" s="1323" t="s">
        <v>171</v>
      </c>
      <c r="Q87" s="1405"/>
      <c r="R87" s="114"/>
      <c r="S87" s="1406">
        <f t="shared" ref="S87:U87" si="61">Y87/S$8*100</f>
        <v>-0.16095910345313419</v>
      </c>
      <c r="T87" s="1408">
        <f t="shared" si="61"/>
        <v>-0.16095910345313419</v>
      </c>
      <c r="U87" s="1406">
        <f t="shared" si="61"/>
        <v>0</v>
      </c>
      <c r="V87" s="1410"/>
      <c r="W87" s="1411"/>
      <c r="X87" s="1403"/>
      <c r="Y87" s="1315">
        <v>-49.3</v>
      </c>
      <c r="Z87" s="1100">
        <v>-49.3</v>
      </c>
      <c r="AA87" s="1092">
        <v>0</v>
      </c>
      <c r="AB87" s="1399">
        <v>0</v>
      </c>
      <c r="AC87" s="1399">
        <f>-4.77915-0.362361-26.737089-9.206773</f>
        <v>-41.085372999999997</v>
      </c>
      <c r="AD87" s="1399">
        <f t="shared" si="59"/>
        <v>41.085372999999997</v>
      </c>
      <c r="AE87" s="1363" t="s">
        <v>858</v>
      </c>
      <c r="AF87" s="1412"/>
    </row>
    <row r="88" spans="1:32" s="1" customFormat="1" ht="161.25" customHeight="1" outlineLevel="1" x14ac:dyDescent="0.35">
      <c r="A88" s="1307"/>
      <c r="B88" s="1310"/>
      <c r="C88" s="1122"/>
      <c r="D88" s="48" t="s">
        <v>247</v>
      </c>
      <c r="E88" s="1334"/>
      <c r="F88" s="1394"/>
      <c r="G88" s="1132"/>
      <c r="H88" s="1117"/>
      <c r="I88" s="1117"/>
      <c r="J88" s="1349"/>
      <c r="K88" s="1396"/>
      <c r="L88" s="1401"/>
      <c r="M88" s="1398"/>
      <c r="N88" s="1089"/>
      <c r="O88" s="1138"/>
      <c r="P88" s="1324"/>
      <c r="Q88" s="1326"/>
      <c r="R88" s="114"/>
      <c r="S88" s="1407"/>
      <c r="T88" s="1409"/>
      <c r="U88" s="1407"/>
      <c r="V88" s="1148"/>
      <c r="W88" s="1328"/>
      <c r="X88" s="1403"/>
      <c r="Y88" s="1316"/>
      <c r="Z88" s="1101"/>
      <c r="AA88" s="1093"/>
      <c r="AB88" s="1400"/>
      <c r="AC88" s="1400"/>
      <c r="AD88" s="1400"/>
      <c r="AE88" s="1290"/>
      <c r="AF88" s="1413"/>
    </row>
    <row r="89" spans="1:32" s="1" customFormat="1" ht="58" outlineLevel="1" x14ac:dyDescent="0.35">
      <c r="A89" s="1307"/>
      <c r="B89" s="1310"/>
      <c r="C89" s="63">
        <v>44123</v>
      </c>
      <c r="D89" s="48" t="s">
        <v>860</v>
      </c>
      <c r="E89" s="227" t="s">
        <v>861</v>
      </c>
      <c r="F89" s="124">
        <f t="shared" ref="F89:F104" si="62">K89/$Q$8</f>
        <v>5.80997375328084E-5</v>
      </c>
      <c r="G89" s="1132"/>
      <c r="H89" s="52">
        <f t="shared" si="55"/>
        <v>0</v>
      </c>
      <c r="I89" s="52">
        <f t="shared" ref="I89:I165" si="63">N89/$U$8</f>
        <v>0</v>
      </c>
      <c r="J89" s="1349"/>
      <c r="K89" s="165">
        <f>-W89</f>
        <v>1.638064</v>
      </c>
      <c r="L89" s="1401"/>
      <c r="M89" s="252">
        <v>0</v>
      </c>
      <c r="N89" s="94">
        <v>0</v>
      </c>
      <c r="O89" s="95" t="s">
        <v>479</v>
      </c>
      <c r="P89" s="242" t="s">
        <v>129</v>
      </c>
      <c r="Q89" s="168">
        <f t="shared" ref="Q89:R104" si="64">W89/Q$8*100</f>
        <v>-5.80997375328084E-3</v>
      </c>
      <c r="R89" s="114"/>
      <c r="S89" s="75">
        <f t="shared" ref="S89:V162" si="65">Y89/S$8*100</f>
        <v>0</v>
      </c>
      <c r="T89" s="137">
        <f t="shared" si="65"/>
        <v>0</v>
      </c>
      <c r="U89" s="75">
        <f t="shared" si="65"/>
        <v>0</v>
      </c>
      <c r="V89" s="75">
        <f t="shared" si="65"/>
        <v>0</v>
      </c>
      <c r="W89" s="169">
        <v>-1.638064</v>
      </c>
      <c r="X89" s="1403"/>
      <c r="Y89" s="248">
        <v>0</v>
      </c>
      <c r="Z89" s="132">
        <v>0</v>
      </c>
      <c r="AA89" s="207">
        <v>0</v>
      </c>
      <c r="AB89" s="207">
        <v>0</v>
      </c>
      <c r="AC89" s="176">
        <v>0</v>
      </c>
      <c r="AD89" s="176">
        <f t="shared" ref="AD89:AD153" si="66">-AC89</f>
        <v>0</v>
      </c>
      <c r="AE89" s="51" t="s">
        <v>862</v>
      </c>
      <c r="AF89" s="1414"/>
    </row>
    <row r="90" spans="1:32" s="1" customFormat="1" ht="74.25" customHeight="1" outlineLevel="1" x14ac:dyDescent="0.35">
      <c r="A90" s="1307"/>
      <c r="B90" s="1310"/>
      <c r="C90" s="230">
        <v>44124</v>
      </c>
      <c r="D90" s="88" t="s">
        <v>863</v>
      </c>
      <c r="E90" s="49" t="s">
        <v>864</v>
      </c>
      <c r="F90" s="239">
        <f t="shared" si="62"/>
        <v>3.9059374334964888E-5</v>
      </c>
      <c r="G90" s="1132"/>
      <c r="H90" s="202">
        <f>M90/$S$8</f>
        <v>0</v>
      </c>
      <c r="I90" s="202">
        <f t="shared" si="63"/>
        <v>0</v>
      </c>
      <c r="J90" s="1349"/>
      <c r="K90" s="166">
        <f>-W90</f>
        <v>1.10124</v>
      </c>
      <c r="L90" s="1401"/>
      <c r="M90" s="253">
        <f>-Y90</f>
        <v>0</v>
      </c>
      <c r="N90" s="226">
        <f>-AA90</f>
        <v>0</v>
      </c>
      <c r="O90" s="229" t="s">
        <v>479</v>
      </c>
      <c r="P90" s="218" t="s">
        <v>129</v>
      </c>
      <c r="Q90" s="238">
        <f t="shared" si="64"/>
        <v>-3.9059374334964887E-3</v>
      </c>
      <c r="R90" s="114"/>
      <c r="S90" s="223">
        <f>Y90/S$8*100</f>
        <v>0</v>
      </c>
      <c r="T90" s="224">
        <f>Z90/T$8*100</f>
        <v>0</v>
      </c>
      <c r="U90" s="223">
        <f>AA90/U$8*100</f>
        <v>0</v>
      </c>
      <c r="V90" s="223">
        <f t="shared" si="65"/>
        <v>0</v>
      </c>
      <c r="W90" s="240">
        <v>-1.10124</v>
      </c>
      <c r="X90" s="1403"/>
      <c r="Y90" s="251">
        <v>0</v>
      </c>
      <c r="Z90" s="222">
        <v>0</v>
      </c>
      <c r="AA90" s="211">
        <v>0</v>
      </c>
      <c r="AB90" s="211">
        <v>0</v>
      </c>
      <c r="AC90" s="221">
        <v>0</v>
      </c>
      <c r="AD90" s="221">
        <f t="shared" si="66"/>
        <v>0</v>
      </c>
      <c r="AE90" s="200" t="s">
        <v>865</v>
      </c>
    </row>
    <row r="91" spans="1:32" s="1" customFormat="1" ht="87" outlineLevel="1" x14ac:dyDescent="0.35">
      <c r="A91" s="1307"/>
      <c r="B91" s="1310"/>
      <c r="C91" s="63">
        <v>44124</v>
      </c>
      <c r="D91" s="66" t="s">
        <v>866</v>
      </c>
      <c r="E91" s="227" t="s">
        <v>861</v>
      </c>
      <c r="F91" s="124">
        <f t="shared" si="62"/>
        <v>0</v>
      </c>
      <c r="G91" s="1132"/>
      <c r="H91" s="52">
        <f t="shared" si="55"/>
        <v>8.5058266863964857E-5</v>
      </c>
      <c r="I91" s="52">
        <f t="shared" si="63"/>
        <v>0</v>
      </c>
      <c r="J91" s="1349"/>
      <c r="K91" s="165">
        <f>-W91</f>
        <v>0</v>
      </c>
      <c r="L91" s="1401"/>
      <c r="M91" s="252">
        <f>-Y91</f>
        <v>2.6052409999999999</v>
      </c>
      <c r="N91" s="94">
        <f>-AA91</f>
        <v>0</v>
      </c>
      <c r="O91" s="95" t="s">
        <v>479</v>
      </c>
      <c r="P91" s="242" t="s">
        <v>129</v>
      </c>
      <c r="Q91" s="168">
        <f t="shared" si="64"/>
        <v>0</v>
      </c>
      <c r="R91" s="114"/>
      <c r="S91" s="75">
        <f t="shared" si="65"/>
        <v>-8.5058266863964858E-3</v>
      </c>
      <c r="T91" s="137">
        <f t="shared" si="65"/>
        <v>-8.5058266863964858E-3</v>
      </c>
      <c r="U91" s="75">
        <f t="shared" si="65"/>
        <v>0</v>
      </c>
      <c r="V91" s="75">
        <f t="shared" si="65"/>
        <v>0</v>
      </c>
      <c r="W91" s="169">
        <v>0</v>
      </c>
      <c r="X91" s="1403"/>
      <c r="Y91" s="248">
        <v>-2.6052409999999999</v>
      </c>
      <c r="Z91" s="132">
        <v>-2.6052409999999999</v>
      </c>
      <c r="AA91" s="207">
        <v>0</v>
      </c>
      <c r="AB91" s="207">
        <v>0</v>
      </c>
      <c r="AC91" s="176">
        <v>0</v>
      </c>
      <c r="AD91" s="176">
        <f t="shared" si="66"/>
        <v>0</v>
      </c>
      <c r="AE91" s="208" t="s">
        <v>867</v>
      </c>
    </row>
    <row r="92" spans="1:32" s="1" customFormat="1" ht="58" outlineLevel="1" x14ac:dyDescent="0.35">
      <c r="A92" s="1307"/>
      <c r="B92" s="1310"/>
      <c r="C92" s="63">
        <v>44138</v>
      </c>
      <c r="D92" s="48" t="s">
        <v>868</v>
      </c>
      <c r="E92" s="49" t="s">
        <v>869</v>
      </c>
      <c r="F92" s="124">
        <f t="shared" si="62"/>
        <v>4.4196318365609701E-5</v>
      </c>
      <c r="G92" s="1132"/>
      <c r="H92" s="52">
        <f t="shared" si="55"/>
        <v>0</v>
      </c>
      <c r="I92" s="52">
        <f t="shared" si="63"/>
        <v>0</v>
      </c>
      <c r="J92" s="1349"/>
      <c r="K92" s="165">
        <v>1.2460709999999999</v>
      </c>
      <c r="L92" s="1401"/>
      <c r="M92" s="252">
        <v>0</v>
      </c>
      <c r="N92" s="94">
        <v>0</v>
      </c>
      <c r="O92" s="95" t="s">
        <v>479</v>
      </c>
      <c r="P92" s="242" t="s">
        <v>130</v>
      </c>
      <c r="Q92" s="168">
        <f t="shared" si="64"/>
        <v>-4.4196318365609701E-3</v>
      </c>
      <c r="R92" s="114"/>
      <c r="S92" s="75">
        <f t="shared" si="65"/>
        <v>0</v>
      </c>
      <c r="T92" s="137">
        <f t="shared" si="65"/>
        <v>0</v>
      </c>
      <c r="U92" s="75">
        <f t="shared" si="65"/>
        <v>0</v>
      </c>
      <c r="V92" s="75">
        <f t="shared" si="65"/>
        <v>0</v>
      </c>
      <c r="W92" s="169">
        <v>-1.2460709999999999</v>
      </c>
      <c r="X92" s="1403"/>
      <c r="Y92" s="248">
        <v>0</v>
      </c>
      <c r="Z92" s="132">
        <v>0</v>
      </c>
      <c r="AA92" s="207">
        <v>0</v>
      </c>
      <c r="AB92" s="207">
        <v>0</v>
      </c>
      <c r="AC92" s="176">
        <v>0</v>
      </c>
      <c r="AD92" s="176">
        <f t="shared" si="66"/>
        <v>0</v>
      </c>
      <c r="AE92" s="208" t="s">
        <v>870</v>
      </c>
    </row>
    <row r="93" spans="1:32" s="1" customFormat="1" ht="60" customHeight="1" outlineLevel="1" x14ac:dyDescent="0.35">
      <c r="A93" s="1307"/>
      <c r="B93" s="1310"/>
      <c r="C93" s="63">
        <v>44141</v>
      </c>
      <c r="D93" s="48" t="s">
        <v>871</v>
      </c>
      <c r="E93" s="49" t="s">
        <v>872</v>
      </c>
      <c r="F93" s="124">
        <f t="shared" si="62"/>
        <v>1.038011633680925E-4</v>
      </c>
      <c r="G93" s="1117"/>
      <c r="H93" s="52">
        <f t="shared" si="55"/>
        <v>0</v>
      </c>
      <c r="I93" s="52">
        <f t="shared" si="63"/>
        <v>0</v>
      </c>
      <c r="J93" s="1312"/>
      <c r="K93" s="165">
        <v>2.9265699999999999</v>
      </c>
      <c r="L93" s="1401"/>
      <c r="M93" s="252">
        <v>0</v>
      </c>
      <c r="N93" s="94">
        <v>0</v>
      </c>
      <c r="O93" s="95" t="s">
        <v>479</v>
      </c>
      <c r="P93" s="242" t="s">
        <v>130</v>
      </c>
      <c r="Q93" s="168">
        <f t="shared" si="64"/>
        <v>-1.0380116336809249E-2</v>
      </c>
      <c r="R93" s="115"/>
      <c r="S93" s="75">
        <f t="shared" si="65"/>
        <v>0</v>
      </c>
      <c r="T93" s="137">
        <f t="shared" si="65"/>
        <v>0</v>
      </c>
      <c r="U93" s="75">
        <f t="shared" si="65"/>
        <v>0</v>
      </c>
      <c r="V93" s="75">
        <f t="shared" si="65"/>
        <v>0</v>
      </c>
      <c r="W93" s="169">
        <v>-2.9265699999999999</v>
      </c>
      <c r="X93" s="1404"/>
      <c r="Y93" s="248">
        <v>0</v>
      </c>
      <c r="Z93" s="132">
        <v>0</v>
      </c>
      <c r="AA93" s="207">
        <v>0</v>
      </c>
      <c r="AB93" s="207">
        <v>0</v>
      </c>
      <c r="AC93" s="176">
        <v>0</v>
      </c>
      <c r="AD93" s="176">
        <f t="shared" si="66"/>
        <v>0</v>
      </c>
      <c r="AE93" s="208" t="s">
        <v>873</v>
      </c>
    </row>
    <row r="94" spans="1:32" s="1" customFormat="1" ht="58" outlineLevel="1" x14ac:dyDescent="0.35">
      <c r="A94" s="1307"/>
      <c r="B94" s="1310"/>
      <c r="C94" s="63">
        <v>44166</v>
      </c>
      <c r="D94" s="48" t="s">
        <v>461</v>
      </c>
      <c r="E94" s="49" t="s">
        <v>874</v>
      </c>
      <c r="F94" s="124">
        <f t="shared" si="62"/>
        <v>0</v>
      </c>
      <c r="G94" s="52">
        <f t="shared" ref="G94:G146" si="67">L94/$R$8</f>
        <v>0</v>
      </c>
      <c r="H94" s="52">
        <f t="shared" si="55"/>
        <v>0</v>
      </c>
      <c r="I94" s="52">
        <f t="shared" si="63"/>
        <v>0</v>
      </c>
      <c r="J94" s="53">
        <f t="shared" ref="J94:J165" si="68">L94+M94+N94</f>
        <v>0</v>
      </c>
      <c r="K94" s="165">
        <f>-W94</f>
        <v>0</v>
      </c>
      <c r="L94" s="252">
        <f t="shared" ref="L94:M96" si="69">-X94</f>
        <v>0</v>
      </c>
      <c r="M94" s="252">
        <f t="shared" si="69"/>
        <v>0</v>
      </c>
      <c r="N94" s="94">
        <f>-AA94</f>
        <v>0</v>
      </c>
      <c r="O94" s="95" t="s">
        <v>479</v>
      </c>
      <c r="P94" s="242" t="s">
        <v>129</v>
      </c>
      <c r="Q94" s="168">
        <f t="shared" si="64"/>
        <v>0</v>
      </c>
      <c r="R94" s="75">
        <f t="shared" si="64"/>
        <v>0</v>
      </c>
      <c r="S94" s="75">
        <f t="shared" si="65"/>
        <v>0</v>
      </c>
      <c r="T94" s="137">
        <f t="shared" si="65"/>
        <v>-8.6183370997102285E-2</v>
      </c>
      <c r="U94" s="75">
        <f t="shared" si="65"/>
        <v>0</v>
      </c>
      <c r="V94" s="75">
        <f t="shared" si="65"/>
        <v>0</v>
      </c>
      <c r="W94" s="169">
        <v>0</v>
      </c>
      <c r="X94" s="248">
        <v>0</v>
      </c>
      <c r="Y94" s="248">
        <v>0</v>
      </c>
      <c r="Z94" s="132">
        <f>-26.770741+0.373724</f>
        <v>-26.397017000000002</v>
      </c>
      <c r="AA94" s="207">
        <v>0</v>
      </c>
      <c r="AB94" s="207">
        <v>0</v>
      </c>
      <c r="AC94" s="176">
        <v>0</v>
      </c>
      <c r="AD94" s="176">
        <f t="shared" si="66"/>
        <v>0</v>
      </c>
      <c r="AE94" s="208" t="s">
        <v>463</v>
      </c>
    </row>
    <row r="95" spans="1:32" s="1" customFormat="1" ht="113.25" customHeight="1" outlineLevel="1" x14ac:dyDescent="0.35">
      <c r="A95" s="1307"/>
      <c r="B95" s="1310"/>
      <c r="C95" s="63">
        <v>44260</v>
      </c>
      <c r="D95" s="48" t="s">
        <v>1243</v>
      </c>
      <c r="E95" s="49" t="s">
        <v>462</v>
      </c>
      <c r="F95" s="124">
        <f t="shared" si="62"/>
        <v>0</v>
      </c>
      <c r="G95" s="52">
        <f t="shared" si="67"/>
        <v>0</v>
      </c>
      <c r="H95" s="52">
        <f t="shared" si="55"/>
        <v>7.6696428380012389E-4</v>
      </c>
      <c r="I95" s="52">
        <f t="shared" si="63"/>
        <v>0</v>
      </c>
      <c r="J95" s="53">
        <f t="shared" si="68"/>
        <v>23.491270999999998</v>
      </c>
      <c r="K95" s="165">
        <f t="shared" ref="K95:M110" si="70">-W95</f>
        <v>0</v>
      </c>
      <c r="L95" s="252">
        <f t="shared" si="69"/>
        <v>0</v>
      </c>
      <c r="M95" s="252">
        <f t="shared" si="69"/>
        <v>23.491270999999998</v>
      </c>
      <c r="N95" s="94">
        <f>-AA95</f>
        <v>0</v>
      </c>
      <c r="O95" s="95" t="s">
        <v>479</v>
      </c>
      <c r="P95" s="242" t="s">
        <v>130</v>
      </c>
      <c r="Q95" s="168">
        <f t="shared" si="64"/>
        <v>0</v>
      </c>
      <c r="R95" s="75">
        <f t="shared" si="64"/>
        <v>0</v>
      </c>
      <c r="S95" s="75">
        <f t="shared" si="65"/>
        <v>-7.6696428380012394E-2</v>
      </c>
      <c r="T95" s="137">
        <f t="shared" si="65"/>
        <v>-7.6696428380012394E-2</v>
      </c>
      <c r="U95" s="75">
        <f t="shared" si="65"/>
        <v>0</v>
      </c>
      <c r="V95" s="75">
        <f t="shared" si="65"/>
        <v>0</v>
      </c>
      <c r="W95" s="169">
        <v>0</v>
      </c>
      <c r="X95" s="248">
        <v>0</v>
      </c>
      <c r="Y95" s="248">
        <f>-32.699144+9.207873</f>
        <v>-23.491270999999998</v>
      </c>
      <c r="Z95" s="132">
        <f>-32.699144+9.207873</f>
        <v>-23.491270999999998</v>
      </c>
      <c r="AA95" s="207">
        <v>0</v>
      </c>
      <c r="AB95" s="207">
        <v>0</v>
      </c>
      <c r="AC95" s="176">
        <f>-1.44384-0.063425</f>
        <v>-1.5072650000000001</v>
      </c>
      <c r="AD95" s="176">
        <f t="shared" si="66"/>
        <v>1.5072650000000001</v>
      </c>
      <c r="AE95" s="208" t="s">
        <v>1244</v>
      </c>
    </row>
    <row r="96" spans="1:32" s="1" customFormat="1" ht="87" outlineLevel="1" x14ac:dyDescent="0.35">
      <c r="A96" s="1307"/>
      <c r="B96" s="1310"/>
      <c r="C96" s="63">
        <v>44266</v>
      </c>
      <c r="D96" s="48" t="s">
        <v>957</v>
      </c>
      <c r="E96" s="49" t="s">
        <v>875</v>
      </c>
      <c r="F96" s="124">
        <f>K96/$Q$8</f>
        <v>0</v>
      </c>
      <c r="G96" s="52">
        <f>L96/$R$8</f>
        <v>0</v>
      </c>
      <c r="H96" s="52">
        <f t="shared" si="55"/>
        <v>1.3622171348452015E-4</v>
      </c>
      <c r="I96" s="52">
        <f t="shared" si="63"/>
        <v>0</v>
      </c>
      <c r="J96" s="53">
        <f>L96+M96+N96</f>
        <v>4.1723210000000002</v>
      </c>
      <c r="K96" s="165">
        <f>-W96</f>
        <v>0</v>
      </c>
      <c r="L96" s="252">
        <f t="shared" si="69"/>
        <v>0</v>
      </c>
      <c r="M96" s="252">
        <f>-Y96</f>
        <v>4.1723210000000002</v>
      </c>
      <c r="N96" s="94">
        <f>-AA96</f>
        <v>0</v>
      </c>
      <c r="O96" s="95" t="s">
        <v>479</v>
      </c>
      <c r="P96" s="242" t="s">
        <v>171</v>
      </c>
      <c r="Q96" s="168">
        <f t="shared" si="64"/>
        <v>0</v>
      </c>
      <c r="R96" s="75">
        <f>X96/R$8*100</f>
        <v>0</v>
      </c>
      <c r="S96" s="75">
        <f t="shared" si="65"/>
        <v>-1.3622171348452014E-2</v>
      </c>
      <c r="T96" s="137">
        <f t="shared" si="65"/>
        <v>-1.3622171348452014E-2</v>
      </c>
      <c r="U96" s="75">
        <f t="shared" si="65"/>
        <v>0</v>
      </c>
      <c r="V96" s="75">
        <f t="shared" si="65"/>
        <v>0</v>
      </c>
      <c r="W96" s="169">
        <v>0</v>
      </c>
      <c r="X96" s="248">
        <v>0</v>
      </c>
      <c r="Y96" s="248">
        <v>-4.1723210000000002</v>
      </c>
      <c r="Z96" s="132">
        <v>-4.1723210000000002</v>
      </c>
      <c r="AA96" s="207">
        <v>0</v>
      </c>
      <c r="AB96" s="207">
        <v>0</v>
      </c>
      <c r="AC96" s="176">
        <v>0</v>
      </c>
      <c r="AD96" s="176">
        <f t="shared" si="66"/>
        <v>0</v>
      </c>
      <c r="AE96" s="208" t="s">
        <v>876</v>
      </c>
    </row>
    <row r="97" spans="1:31" s="1" customFormat="1" ht="43.5" outlineLevel="1" x14ac:dyDescent="0.35">
      <c r="A97" s="1307"/>
      <c r="B97" s="1310"/>
      <c r="C97" s="63">
        <v>44266</v>
      </c>
      <c r="D97" s="48" t="s">
        <v>1245</v>
      </c>
      <c r="E97" s="49" t="s">
        <v>1246</v>
      </c>
      <c r="F97" s="124">
        <f>K97/$Q$8</f>
        <v>0</v>
      </c>
      <c r="G97" s="52">
        <f>L97/$R$8</f>
        <v>0</v>
      </c>
      <c r="H97" s="52">
        <f t="shared" si="55"/>
        <v>1.3129421009110012E-4</v>
      </c>
      <c r="I97" s="52">
        <f t="shared" si="63"/>
        <v>0</v>
      </c>
      <c r="J97" s="53">
        <f t="shared" si="68"/>
        <v>4.0213970000000003</v>
      </c>
      <c r="K97" s="165">
        <f>-W97</f>
        <v>0</v>
      </c>
      <c r="L97" s="252">
        <f>-X97</f>
        <v>0</v>
      </c>
      <c r="M97" s="252">
        <f>-Y97</f>
        <v>4.0213970000000003</v>
      </c>
      <c r="N97" s="94">
        <f>-AA97</f>
        <v>0</v>
      </c>
      <c r="O97" s="95" t="s">
        <v>479</v>
      </c>
      <c r="P97" s="242" t="s">
        <v>171</v>
      </c>
      <c r="Q97" s="168">
        <f t="shared" si="64"/>
        <v>0</v>
      </c>
      <c r="R97" s="75">
        <f>X97/R$8*100</f>
        <v>0</v>
      </c>
      <c r="S97" s="75">
        <f t="shared" si="65"/>
        <v>-1.3129421009110012E-2</v>
      </c>
      <c r="T97" s="137">
        <f t="shared" si="65"/>
        <v>-1.3129421009110012E-2</v>
      </c>
      <c r="U97" s="75">
        <f t="shared" si="65"/>
        <v>0</v>
      </c>
      <c r="V97" s="75">
        <f t="shared" si="65"/>
        <v>0</v>
      </c>
      <c r="W97" s="169">
        <v>0</v>
      </c>
      <c r="X97" s="248">
        <v>0</v>
      </c>
      <c r="Y97" s="248">
        <v>-4.0213970000000003</v>
      </c>
      <c r="Z97" s="132">
        <v>-4.0213970000000003</v>
      </c>
      <c r="AA97" s="207">
        <v>0</v>
      </c>
      <c r="AB97" s="207">
        <v>0</v>
      </c>
      <c r="AC97" s="176">
        <v>-1.730383</v>
      </c>
      <c r="AD97" s="176">
        <f t="shared" si="66"/>
        <v>1.730383</v>
      </c>
      <c r="AE97" s="208" t="s">
        <v>1247</v>
      </c>
    </row>
    <row r="98" spans="1:31" s="1" customFormat="1" ht="217.4" customHeight="1" outlineLevel="1" x14ac:dyDescent="0.35">
      <c r="A98" s="1307"/>
      <c r="B98" s="1310"/>
      <c r="C98" s="63">
        <v>44173</v>
      </c>
      <c r="D98" s="48" t="s">
        <v>877</v>
      </c>
      <c r="E98" s="49" t="s">
        <v>878</v>
      </c>
      <c r="F98" s="124">
        <f t="shared" si="62"/>
        <v>0</v>
      </c>
      <c r="G98" s="52">
        <f t="shared" si="67"/>
        <v>0</v>
      </c>
      <c r="H98" s="52">
        <f t="shared" si="55"/>
        <v>3.1750530902944218E-3</v>
      </c>
      <c r="I98" s="52">
        <f t="shared" si="63"/>
        <v>0</v>
      </c>
      <c r="J98" s="53">
        <f t="shared" si="68"/>
        <v>97.248378000000002</v>
      </c>
      <c r="K98" s="165">
        <f t="shared" si="70"/>
        <v>0</v>
      </c>
      <c r="L98" s="247">
        <v>0</v>
      </c>
      <c r="M98" s="252">
        <f>244.578642-56.782929-0.341069-3.545726-21.617592-65.042948</f>
        <v>97.248378000000002</v>
      </c>
      <c r="N98" s="94">
        <v>0</v>
      </c>
      <c r="O98" s="95" t="s">
        <v>479</v>
      </c>
      <c r="P98" s="242" t="s">
        <v>439</v>
      </c>
      <c r="Q98" s="168">
        <f t="shared" si="64"/>
        <v>0</v>
      </c>
      <c r="R98" s="75">
        <f t="shared" si="64"/>
        <v>0</v>
      </c>
      <c r="S98" s="75">
        <f t="shared" si="65"/>
        <v>-0.17722584593088336</v>
      </c>
      <c r="T98" s="137">
        <f t="shared" si="65"/>
        <v>-0.17722584593088336</v>
      </c>
      <c r="U98" s="75">
        <f t="shared" si="65"/>
        <v>0</v>
      </c>
      <c r="V98" s="75">
        <f t="shared" si="65"/>
        <v>0</v>
      </c>
      <c r="W98" s="169">
        <v>0</v>
      </c>
      <c r="X98" s="248">
        <v>0</v>
      </c>
      <c r="Y98" s="250">
        <f>-183.908918+21.617592+(51.304159-8.338105)+65.042948</f>
        <v>-54.282324000000003</v>
      </c>
      <c r="Z98" s="134">
        <f>-183.908918+21.617592+(51.304159-8.338105)+65.042948</f>
        <v>-54.282324000000003</v>
      </c>
      <c r="AA98" s="207">
        <v>0</v>
      </c>
      <c r="AB98" s="207">
        <v>0</v>
      </c>
      <c r="AC98" s="176">
        <v>0</v>
      </c>
      <c r="AD98" s="176">
        <f t="shared" si="66"/>
        <v>0</v>
      </c>
      <c r="AE98" s="208" t="s">
        <v>1115</v>
      </c>
    </row>
    <row r="99" spans="1:31" s="1" customFormat="1" ht="105" customHeight="1" outlineLevel="1" x14ac:dyDescent="0.35">
      <c r="A99" s="1307"/>
      <c r="B99" s="1310"/>
      <c r="C99" s="63" t="s">
        <v>1345</v>
      </c>
      <c r="D99" s="48" t="s">
        <v>957</v>
      </c>
      <c r="E99" s="49" t="s">
        <v>879</v>
      </c>
      <c r="F99" s="124">
        <f t="shared" si="62"/>
        <v>0</v>
      </c>
      <c r="G99" s="52">
        <f t="shared" si="67"/>
        <v>0</v>
      </c>
      <c r="H99" s="52">
        <f>M99/$S$8</f>
        <v>6.88891903217268E-5</v>
      </c>
      <c r="I99" s="52">
        <f t="shared" si="63"/>
        <v>0</v>
      </c>
      <c r="J99" s="53">
        <f t="shared" si="68"/>
        <v>2.11</v>
      </c>
      <c r="K99" s="149">
        <f t="shared" si="70"/>
        <v>0</v>
      </c>
      <c r="L99" s="254">
        <f>-X99</f>
        <v>0</v>
      </c>
      <c r="M99" s="252">
        <f>-Y99</f>
        <v>2.11</v>
      </c>
      <c r="N99" s="94">
        <f t="shared" ref="N99:N141" si="71">-AA99</f>
        <v>0</v>
      </c>
      <c r="O99" s="242" t="s">
        <v>880</v>
      </c>
      <c r="P99" s="242" t="s">
        <v>129</v>
      </c>
      <c r="Q99" s="150">
        <f t="shared" si="64"/>
        <v>0</v>
      </c>
      <c r="R99" s="82">
        <f t="shared" si="64"/>
        <v>0</v>
      </c>
      <c r="S99" s="75">
        <f t="shared" si="65"/>
        <v>-6.8889190321726797E-3</v>
      </c>
      <c r="T99" s="137">
        <f t="shared" si="65"/>
        <v>-6.8889190321726797E-3</v>
      </c>
      <c r="U99" s="75">
        <f t="shared" si="65"/>
        <v>0</v>
      </c>
      <c r="V99" s="75">
        <f t="shared" si="65"/>
        <v>0</v>
      </c>
      <c r="W99" s="151">
        <v>0</v>
      </c>
      <c r="X99" s="255">
        <v>0</v>
      </c>
      <c r="Y99" s="248">
        <v>-2.11</v>
      </c>
      <c r="Z99" s="132">
        <v>-2.11</v>
      </c>
      <c r="AA99" s="207">
        <v>0</v>
      </c>
      <c r="AB99" s="207">
        <v>0</v>
      </c>
      <c r="AC99" s="176">
        <v>-5.5690000000000003E-2</v>
      </c>
      <c r="AD99" s="176">
        <f t="shared" si="66"/>
        <v>5.5690000000000003E-2</v>
      </c>
      <c r="AE99" s="49" t="s">
        <v>881</v>
      </c>
    </row>
    <row r="100" spans="1:31" s="1" customFormat="1" ht="87" outlineLevel="1" x14ac:dyDescent="0.35">
      <c r="A100" s="1307"/>
      <c r="B100" s="1310"/>
      <c r="C100" s="63">
        <v>44182</v>
      </c>
      <c r="D100" s="48" t="s">
        <v>882</v>
      </c>
      <c r="E100" s="49" t="s">
        <v>883</v>
      </c>
      <c r="F100" s="124">
        <f t="shared" si="62"/>
        <v>0</v>
      </c>
      <c r="G100" s="52">
        <f t="shared" si="67"/>
        <v>0</v>
      </c>
      <c r="H100" s="52">
        <f t="shared" si="55"/>
        <v>2.1248489089032911E-3</v>
      </c>
      <c r="I100" s="52">
        <f t="shared" si="63"/>
        <v>0</v>
      </c>
      <c r="J100" s="53">
        <f t="shared" si="68"/>
        <v>65.081781000000007</v>
      </c>
      <c r="K100" s="165">
        <f t="shared" si="70"/>
        <v>0</v>
      </c>
      <c r="L100" s="252">
        <f>-X100</f>
        <v>0</v>
      </c>
      <c r="M100" s="252">
        <f>-Y100</f>
        <v>65.081781000000007</v>
      </c>
      <c r="N100" s="94">
        <f t="shared" si="71"/>
        <v>0</v>
      </c>
      <c r="O100" s="95" t="s">
        <v>479</v>
      </c>
      <c r="P100" s="242" t="s">
        <v>129</v>
      </c>
      <c r="Q100" s="168">
        <f t="shared" si="64"/>
        <v>0</v>
      </c>
      <c r="R100" s="75">
        <f t="shared" si="64"/>
        <v>0</v>
      </c>
      <c r="S100" s="75">
        <f t="shared" si="65"/>
        <v>-0.2124848908903291</v>
      </c>
      <c r="T100" s="137">
        <f t="shared" si="65"/>
        <v>-0.2124848908903291</v>
      </c>
      <c r="U100" s="75">
        <f t="shared" si="65"/>
        <v>0</v>
      </c>
      <c r="V100" s="75">
        <f t="shared" si="65"/>
        <v>0</v>
      </c>
      <c r="W100" s="169">
        <v>0</v>
      </c>
      <c r="X100" s="248">
        <v>0</v>
      </c>
      <c r="Y100" s="250">
        <v>-65.081781000000007</v>
      </c>
      <c r="Z100" s="134">
        <v>-65.081781000000007</v>
      </c>
      <c r="AA100" s="207">
        <v>0</v>
      </c>
      <c r="AB100" s="207">
        <v>0</v>
      </c>
      <c r="AC100" s="176">
        <v>0</v>
      </c>
      <c r="AD100" s="176">
        <f t="shared" si="66"/>
        <v>0</v>
      </c>
      <c r="AE100" s="208" t="s">
        <v>884</v>
      </c>
    </row>
    <row r="101" spans="1:31" s="1" customFormat="1" ht="87" outlineLevel="1" x14ac:dyDescent="0.35">
      <c r="A101" s="1307"/>
      <c r="B101" s="1310"/>
      <c r="C101" s="63">
        <v>44182</v>
      </c>
      <c r="D101" s="48" t="s">
        <v>882</v>
      </c>
      <c r="E101" s="49" t="s">
        <v>883</v>
      </c>
      <c r="F101" s="124">
        <f t="shared" si="62"/>
        <v>0</v>
      </c>
      <c r="G101" s="52">
        <f t="shared" si="67"/>
        <v>0</v>
      </c>
      <c r="H101" s="52">
        <f t="shared" si="55"/>
        <v>3.8137045967436348E-4</v>
      </c>
      <c r="I101" s="52">
        <f t="shared" si="63"/>
        <v>0</v>
      </c>
      <c r="J101" s="53">
        <f t="shared" si="68"/>
        <v>11.680956999999999</v>
      </c>
      <c r="K101" s="165">
        <f t="shared" si="70"/>
        <v>0</v>
      </c>
      <c r="L101" s="252">
        <f t="shared" si="70"/>
        <v>0</v>
      </c>
      <c r="M101" s="252">
        <f t="shared" si="70"/>
        <v>11.680956999999999</v>
      </c>
      <c r="N101" s="94">
        <f t="shared" si="71"/>
        <v>0</v>
      </c>
      <c r="O101" s="95" t="s">
        <v>479</v>
      </c>
      <c r="P101" s="242" t="s">
        <v>129</v>
      </c>
      <c r="Q101" s="168">
        <f t="shared" si="64"/>
        <v>0</v>
      </c>
      <c r="R101" s="75">
        <f t="shared" si="64"/>
        <v>0</v>
      </c>
      <c r="S101" s="75">
        <f t="shared" si="65"/>
        <v>-3.8137045967436348E-2</v>
      </c>
      <c r="T101" s="137">
        <f t="shared" si="65"/>
        <v>-3.8137045967436348E-2</v>
      </c>
      <c r="U101" s="75">
        <f t="shared" si="65"/>
        <v>0</v>
      </c>
      <c r="V101" s="75">
        <f t="shared" si="65"/>
        <v>0</v>
      </c>
      <c r="W101" s="169">
        <v>0</v>
      </c>
      <c r="X101" s="248">
        <v>0</v>
      </c>
      <c r="Y101" s="250">
        <v>-11.680956999999999</v>
      </c>
      <c r="Z101" s="134">
        <v>-11.680956999999999</v>
      </c>
      <c r="AA101" s="207">
        <v>0</v>
      </c>
      <c r="AB101" s="207">
        <v>0</v>
      </c>
      <c r="AC101" s="176">
        <v>0</v>
      </c>
      <c r="AD101" s="176">
        <f t="shared" si="66"/>
        <v>0</v>
      </c>
      <c r="AE101" s="208" t="s">
        <v>885</v>
      </c>
    </row>
    <row r="102" spans="1:31" s="1" customFormat="1" ht="72.75" customHeight="1" outlineLevel="1" x14ac:dyDescent="0.35">
      <c r="A102" s="1307"/>
      <c r="B102" s="1310"/>
      <c r="C102" s="63">
        <v>44201</v>
      </c>
      <c r="D102" s="48" t="s">
        <v>886</v>
      </c>
      <c r="E102" s="49" t="s">
        <v>887</v>
      </c>
      <c r="F102" s="124">
        <f t="shared" si="62"/>
        <v>0</v>
      </c>
      <c r="G102" s="52">
        <f t="shared" si="67"/>
        <v>0</v>
      </c>
      <c r="H102" s="52">
        <f t="shared" si="55"/>
        <v>1.5545606515592674E-4</v>
      </c>
      <c r="I102" s="52">
        <f t="shared" si="63"/>
        <v>0</v>
      </c>
      <c r="J102" s="53">
        <f t="shared" si="68"/>
        <v>4.7614479999999997</v>
      </c>
      <c r="K102" s="165">
        <f t="shared" si="70"/>
        <v>0</v>
      </c>
      <c r="L102" s="252">
        <f t="shared" si="70"/>
        <v>0</v>
      </c>
      <c r="M102" s="252">
        <f t="shared" si="70"/>
        <v>4.7614479999999997</v>
      </c>
      <c r="N102" s="94">
        <f t="shared" si="71"/>
        <v>0</v>
      </c>
      <c r="O102" s="95" t="s">
        <v>479</v>
      </c>
      <c r="P102" s="242" t="s">
        <v>171</v>
      </c>
      <c r="Q102" s="168">
        <f t="shared" si="64"/>
        <v>0</v>
      </c>
      <c r="R102" s="75">
        <f t="shared" si="64"/>
        <v>0</v>
      </c>
      <c r="S102" s="75">
        <f t="shared" si="65"/>
        <v>-1.5545606515592674E-2</v>
      </c>
      <c r="T102" s="137">
        <f t="shared" si="65"/>
        <v>-1.5545606515592674E-2</v>
      </c>
      <c r="U102" s="75">
        <f t="shared" si="65"/>
        <v>0</v>
      </c>
      <c r="V102" s="75">
        <f t="shared" si="65"/>
        <v>0</v>
      </c>
      <c r="W102" s="169">
        <v>0</v>
      </c>
      <c r="X102" s="248">
        <v>0</v>
      </c>
      <c r="Y102" s="250">
        <v>-4.7614479999999997</v>
      </c>
      <c r="Z102" s="134">
        <v>-4.7614479999999997</v>
      </c>
      <c r="AA102" s="207">
        <v>0</v>
      </c>
      <c r="AB102" s="207">
        <v>0</v>
      </c>
      <c r="AC102" s="176">
        <f>-0.0045-1.793053</f>
        <v>-1.797553</v>
      </c>
      <c r="AD102" s="176">
        <f t="shared" si="66"/>
        <v>1.797553</v>
      </c>
      <c r="AE102" s="208" t="s">
        <v>888</v>
      </c>
    </row>
    <row r="103" spans="1:31" s="1" customFormat="1" ht="58" outlineLevel="1" x14ac:dyDescent="0.35">
      <c r="A103" s="1307"/>
      <c r="B103" s="1310"/>
      <c r="C103" s="63">
        <v>44201</v>
      </c>
      <c r="D103" s="48" t="s">
        <v>889</v>
      </c>
      <c r="E103" s="49" t="s">
        <v>890</v>
      </c>
      <c r="F103" s="124">
        <f t="shared" si="62"/>
        <v>0</v>
      </c>
      <c r="G103" s="52">
        <f t="shared" si="67"/>
        <v>0</v>
      </c>
      <c r="H103" s="52">
        <f t="shared" si="55"/>
        <v>2.2776447738989217E-4</v>
      </c>
      <c r="I103" s="52">
        <f t="shared" si="63"/>
        <v>0</v>
      </c>
      <c r="J103" s="53">
        <f t="shared" si="68"/>
        <v>6.9761749999999996</v>
      </c>
      <c r="K103" s="165">
        <f t="shared" si="70"/>
        <v>0</v>
      </c>
      <c r="L103" s="252">
        <f t="shared" si="70"/>
        <v>0</v>
      </c>
      <c r="M103" s="252">
        <f t="shared" si="70"/>
        <v>6.9761749999999996</v>
      </c>
      <c r="N103" s="94">
        <f t="shared" si="71"/>
        <v>0</v>
      </c>
      <c r="O103" s="95" t="s">
        <v>479</v>
      </c>
      <c r="P103" s="242" t="s">
        <v>129</v>
      </c>
      <c r="Q103" s="168">
        <f t="shared" si="64"/>
        <v>0</v>
      </c>
      <c r="R103" s="75">
        <f t="shared" si="64"/>
        <v>0</v>
      </c>
      <c r="S103" s="75">
        <f t="shared" si="65"/>
        <v>-2.2776447738989215E-2</v>
      </c>
      <c r="T103" s="137">
        <f t="shared" si="65"/>
        <v>-2.2776447738989215E-2</v>
      </c>
      <c r="U103" s="75">
        <f t="shared" si="65"/>
        <v>0</v>
      </c>
      <c r="V103" s="75">
        <f t="shared" si="65"/>
        <v>0</v>
      </c>
      <c r="W103" s="169">
        <v>0</v>
      </c>
      <c r="X103" s="248">
        <v>0</v>
      </c>
      <c r="Y103" s="250">
        <v>-6.9761749999999996</v>
      </c>
      <c r="Z103" s="134">
        <v>-6.9761749999999996</v>
      </c>
      <c r="AA103" s="207">
        <v>0</v>
      </c>
      <c r="AB103" s="207">
        <v>0</v>
      </c>
      <c r="AC103" s="176">
        <f>-0.437998-0.367262</f>
        <v>-0.80525999999999998</v>
      </c>
      <c r="AD103" s="176">
        <f t="shared" si="66"/>
        <v>0.80525999999999998</v>
      </c>
      <c r="AE103" s="208" t="s">
        <v>891</v>
      </c>
    </row>
    <row r="104" spans="1:31" s="1" customFormat="1" ht="43.5" outlineLevel="1" x14ac:dyDescent="0.35">
      <c r="A104" s="1307"/>
      <c r="B104" s="1310"/>
      <c r="C104" s="63">
        <v>44204</v>
      </c>
      <c r="D104" s="48" t="s">
        <v>892</v>
      </c>
      <c r="E104" s="49" t="s">
        <v>893</v>
      </c>
      <c r="F104" s="124">
        <f t="shared" si="62"/>
        <v>0</v>
      </c>
      <c r="G104" s="52">
        <f t="shared" si="67"/>
        <v>0</v>
      </c>
      <c r="H104" s="52">
        <f t="shared" si="55"/>
        <v>0</v>
      </c>
      <c r="I104" s="52">
        <f t="shared" si="63"/>
        <v>0</v>
      </c>
      <c r="J104" s="53">
        <f t="shared" si="68"/>
        <v>0</v>
      </c>
      <c r="K104" s="165">
        <f t="shared" si="70"/>
        <v>0</v>
      </c>
      <c r="L104" s="252">
        <f t="shared" si="70"/>
        <v>0</v>
      </c>
      <c r="M104" s="252">
        <f t="shared" si="70"/>
        <v>0</v>
      </c>
      <c r="N104" s="94">
        <f t="shared" si="71"/>
        <v>0</v>
      </c>
      <c r="O104" s="95" t="s">
        <v>479</v>
      </c>
      <c r="P104" s="242" t="s">
        <v>129</v>
      </c>
      <c r="Q104" s="168">
        <f t="shared" si="64"/>
        <v>0</v>
      </c>
      <c r="R104" s="75">
        <f t="shared" si="64"/>
        <v>0</v>
      </c>
      <c r="S104" s="75">
        <f t="shared" si="65"/>
        <v>0</v>
      </c>
      <c r="T104" s="137">
        <f t="shared" si="65"/>
        <v>-7.5340643406013291E-2</v>
      </c>
      <c r="U104" s="75">
        <f t="shared" si="65"/>
        <v>0</v>
      </c>
      <c r="V104" s="75">
        <f t="shared" si="65"/>
        <v>0</v>
      </c>
      <c r="W104" s="169">
        <v>0</v>
      </c>
      <c r="X104" s="248">
        <v>0</v>
      </c>
      <c r="Y104" s="250">
        <v>0</v>
      </c>
      <c r="Z104" s="134">
        <v>-23.076008999999999</v>
      </c>
      <c r="AA104" s="207">
        <v>0</v>
      </c>
      <c r="AB104" s="207">
        <v>0</v>
      </c>
      <c r="AC104" s="176">
        <v>0</v>
      </c>
      <c r="AD104" s="176">
        <f t="shared" si="66"/>
        <v>0</v>
      </c>
      <c r="AE104" s="49" t="s">
        <v>894</v>
      </c>
    </row>
    <row r="105" spans="1:31" s="1" customFormat="1" ht="88.5" customHeight="1" outlineLevel="1" x14ac:dyDescent="0.35">
      <c r="A105" s="1307"/>
      <c r="B105" s="1310"/>
      <c r="C105" s="63" t="s">
        <v>1148</v>
      </c>
      <c r="D105" s="48" t="s">
        <v>1248</v>
      </c>
      <c r="E105" s="49" t="s">
        <v>895</v>
      </c>
      <c r="F105" s="124">
        <v>0</v>
      </c>
      <c r="G105" s="52">
        <f t="shared" si="67"/>
        <v>0</v>
      </c>
      <c r="H105" s="52">
        <f>M105/$S$8</f>
        <v>7.3680384535244859E-5</v>
      </c>
      <c r="I105" s="52">
        <f t="shared" si="63"/>
        <v>0</v>
      </c>
      <c r="J105" s="53">
        <f t="shared" si="68"/>
        <v>2.2567490000000001</v>
      </c>
      <c r="K105" s="165">
        <v>0</v>
      </c>
      <c r="L105" s="252">
        <f t="shared" si="70"/>
        <v>0</v>
      </c>
      <c r="M105" s="252">
        <f t="shared" si="70"/>
        <v>2.2567490000000001</v>
      </c>
      <c r="N105" s="94">
        <f t="shared" si="71"/>
        <v>0</v>
      </c>
      <c r="O105" s="95" t="s">
        <v>896</v>
      </c>
      <c r="P105" s="242" t="s">
        <v>129</v>
      </c>
      <c r="Q105" s="168">
        <v>0</v>
      </c>
      <c r="R105" s="75">
        <v>0</v>
      </c>
      <c r="S105" s="75">
        <f t="shared" si="65"/>
        <v>-7.3680384535244857E-3</v>
      </c>
      <c r="T105" s="137">
        <f t="shared" si="65"/>
        <v>-7.3680384535244857E-3</v>
      </c>
      <c r="U105" s="75">
        <f t="shared" si="65"/>
        <v>0</v>
      </c>
      <c r="V105" s="75">
        <v>0</v>
      </c>
      <c r="W105" s="169">
        <v>0</v>
      </c>
      <c r="X105" s="248">
        <v>0</v>
      </c>
      <c r="Y105" s="250">
        <f>-0.621799-1.63495</f>
        <v>-2.2567490000000001</v>
      </c>
      <c r="Z105" s="134">
        <f>-0.621799-1.63495</f>
        <v>-2.2567490000000001</v>
      </c>
      <c r="AA105" s="207">
        <v>0</v>
      </c>
      <c r="AB105" s="207">
        <v>0</v>
      </c>
      <c r="AC105" s="176">
        <v>0</v>
      </c>
      <c r="AD105" s="176">
        <f>-AC105</f>
        <v>0</v>
      </c>
      <c r="AE105" s="49" t="s">
        <v>897</v>
      </c>
    </row>
    <row r="106" spans="1:31" s="1" customFormat="1" ht="58" outlineLevel="1" x14ac:dyDescent="0.35">
      <c r="A106" s="1307"/>
      <c r="B106" s="1310"/>
      <c r="C106" s="63">
        <v>44210</v>
      </c>
      <c r="D106" s="48" t="s">
        <v>898</v>
      </c>
      <c r="E106" s="49" t="s">
        <v>899</v>
      </c>
      <c r="F106" s="124">
        <f t="shared" ref="F106:F114" si="72">K106/$Q$8</f>
        <v>0</v>
      </c>
      <c r="G106" s="52">
        <f t="shared" si="67"/>
        <v>0</v>
      </c>
      <c r="H106" s="52">
        <f t="shared" si="55"/>
        <v>0</v>
      </c>
      <c r="I106" s="52">
        <f t="shared" si="63"/>
        <v>0</v>
      </c>
      <c r="J106" s="53">
        <f t="shared" si="68"/>
        <v>0</v>
      </c>
      <c r="K106" s="165">
        <f t="shared" ref="K106:M121" si="73">-W106</f>
        <v>0</v>
      </c>
      <c r="L106" s="252">
        <f t="shared" si="70"/>
        <v>0</v>
      </c>
      <c r="M106" s="252">
        <f t="shared" si="70"/>
        <v>0</v>
      </c>
      <c r="N106" s="94">
        <f t="shared" si="71"/>
        <v>0</v>
      </c>
      <c r="O106" s="95" t="s">
        <v>479</v>
      </c>
      <c r="P106" s="242" t="s">
        <v>129</v>
      </c>
      <c r="Q106" s="168">
        <f t="shared" ref="Q106:V166" si="74">W106/Q$8*100</f>
        <v>0</v>
      </c>
      <c r="R106" s="75">
        <f t="shared" si="74"/>
        <v>0</v>
      </c>
      <c r="S106" s="75">
        <f t="shared" si="65"/>
        <v>0</v>
      </c>
      <c r="T106" s="137">
        <f t="shared" si="65"/>
        <v>-3.7606723267799444E-2</v>
      </c>
      <c r="U106" s="75">
        <f t="shared" si="65"/>
        <v>0</v>
      </c>
      <c r="V106" s="75">
        <f t="shared" si="65"/>
        <v>0</v>
      </c>
      <c r="W106" s="169">
        <v>0</v>
      </c>
      <c r="X106" s="248">
        <v>0</v>
      </c>
      <c r="Y106" s="250">
        <v>0</v>
      </c>
      <c r="Z106" s="134">
        <f>-14.180745+2.66222</f>
        <v>-11.518525</v>
      </c>
      <c r="AA106" s="207">
        <v>0</v>
      </c>
      <c r="AB106" s="207">
        <v>0</v>
      </c>
      <c r="AC106" s="176">
        <v>0</v>
      </c>
      <c r="AD106" s="176">
        <f t="shared" si="66"/>
        <v>0</v>
      </c>
      <c r="AE106" s="49" t="s">
        <v>900</v>
      </c>
    </row>
    <row r="107" spans="1:31" s="1" customFormat="1" ht="58" outlineLevel="1" x14ac:dyDescent="0.35">
      <c r="A107" s="1307"/>
      <c r="B107" s="1310"/>
      <c r="C107" s="178" t="s">
        <v>1372</v>
      </c>
      <c r="D107" s="48" t="s">
        <v>901</v>
      </c>
      <c r="E107" s="49" t="s">
        <v>902</v>
      </c>
      <c r="F107" s="124">
        <f t="shared" si="72"/>
        <v>0</v>
      </c>
      <c r="G107" s="52">
        <f t="shared" si="67"/>
        <v>0</v>
      </c>
      <c r="H107" s="52">
        <f t="shared" si="55"/>
        <v>2.3145004907210458E-4</v>
      </c>
      <c r="I107" s="52">
        <f t="shared" si="63"/>
        <v>0</v>
      </c>
      <c r="J107" s="53">
        <f t="shared" si="68"/>
        <v>7.0890599999999999</v>
      </c>
      <c r="K107" s="165">
        <f t="shared" si="73"/>
        <v>0</v>
      </c>
      <c r="L107" s="252">
        <f t="shared" si="70"/>
        <v>0</v>
      </c>
      <c r="M107" s="252">
        <f t="shared" si="70"/>
        <v>7.0890599999999999</v>
      </c>
      <c r="N107" s="94">
        <f t="shared" si="71"/>
        <v>0</v>
      </c>
      <c r="O107" s="95" t="s">
        <v>479</v>
      </c>
      <c r="P107" s="242" t="s">
        <v>129</v>
      </c>
      <c r="Q107" s="168">
        <f t="shared" si="74"/>
        <v>0</v>
      </c>
      <c r="R107" s="75">
        <f t="shared" si="74"/>
        <v>0</v>
      </c>
      <c r="S107" s="75">
        <f t="shared" si="65"/>
        <v>-2.3145004907210456E-2</v>
      </c>
      <c r="T107" s="137">
        <f t="shared" si="65"/>
        <v>-7.9387772331136509E-3</v>
      </c>
      <c r="U107" s="75">
        <f t="shared" si="65"/>
        <v>0</v>
      </c>
      <c r="V107" s="75">
        <f t="shared" si="65"/>
        <v>0</v>
      </c>
      <c r="W107" s="169">
        <v>0</v>
      </c>
      <c r="X107" s="248">
        <v>0</v>
      </c>
      <c r="Y107" s="191">
        <f>-2.43156-4.6575</f>
        <v>-7.0890599999999999</v>
      </c>
      <c r="Z107" s="134">
        <v>-2.4315600000000002</v>
      </c>
      <c r="AA107" s="207">
        <v>0</v>
      </c>
      <c r="AB107" s="207">
        <v>0</v>
      </c>
      <c r="AC107" s="176">
        <v>-2.3321999999999998</v>
      </c>
      <c r="AD107" s="176">
        <f t="shared" si="66"/>
        <v>2.3321999999999998</v>
      </c>
      <c r="AE107" s="208" t="s">
        <v>903</v>
      </c>
    </row>
    <row r="108" spans="1:31" s="1" customFormat="1" ht="119.25" customHeight="1" outlineLevel="1" x14ac:dyDescent="0.35">
      <c r="A108" s="1307"/>
      <c r="B108" s="1310"/>
      <c r="C108" s="63">
        <v>44215</v>
      </c>
      <c r="D108" s="48" t="s">
        <v>904</v>
      </c>
      <c r="E108" s="49" t="s">
        <v>905</v>
      </c>
      <c r="F108" s="124">
        <f t="shared" si="72"/>
        <v>0</v>
      </c>
      <c r="G108" s="52">
        <f t="shared" si="67"/>
        <v>0</v>
      </c>
      <c r="H108" s="52">
        <f>M108/$S$8</f>
        <v>2.3217315702814514E-4</v>
      </c>
      <c r="I108" s="52">
        <f t="shared" si="63"/>
        <v>0</v>
      </c>
      <c r="J108" s="53">
        <f t="shared" si="68"/>
        <v>7.1112080000000004</v>
      </c>
      <c r="K108" s="165">
        <f t="shared" si="73"/>
        <v>0</v>
      </c>
      <c r="L108" s="252">
        <f t="shared" si="70"/>
        <v>0</v>
      </c>
      <c r="M108" s="252">
        <f t="shared" si="70"/>
        <v>7.1112080000000004</v>
      </c>
      <c r="N108" s="94">
        <f t="shared" si="71"/>
        <v>0</v>
      </c>
      <c r="O108" s="95" t="s">
        <v>479</v>
      </c>
      <c r="P108" s="242" t="s">
        <v>127</v>
      </c>
      <c r="Q108" s="168">
        <f t="shared" si="74"/>
        <v>0</v>
      </c>
      <c r="R108" s="75">
        <f t="shared" si="74"/>
        <v>0</v>
      </c>
      <c r="S108" s="75">
        <f t="shared" si="65"/>
        <v>-2.3217315702814514E-2</v>
      </c>
      <c r="T108" s="137">
        <f t="shared" si="65"/>
        <v>-2.3217315702814514E-2</v>
      </c>
      <c r="U108" s="75">
        <f t="shared" si="65"/>
        <v>0</v>
      </c>
      <c r="V108" s="75">
        <f t="shared" si="65"/>
        <v>0</v>
      </c>
      <c r="W108" s="169">
        <v>0</v>
      </c>
      <c r="X108" s="248">
        <v>0</v>
      </c>
      <c r="Y108" s="250">
        <v>-7.1112080000000004</v>
      </c>
      <c r="Z108" s="134">
        <v>-7.1112080000000004</v>
      </c>
      <c r="AA108" s="207">
        <v>0</v>
      </c>
      <c r="AB108" s="207">
        <v>0</v>
      </c>
      <c r="AC108" s="176">
        <v>-0.289908</v>
      </c>
      <c r="AD108" s="176">
        <f t="shared" si="66"/>
        <v>0.289908</v>
      </c>
      <c r="AE108" s="208" t="s">
        <v>906</v>
      </c>
    </row>
    <row r="109" spans="1:31" s="1" customFormat="1" ht="58" outlineLevel="1" x14ac:dyDescent="0.35">
      <c r="A109" s="1307"/>
      <c r="B109" s="1310"/>
      <c r="C109" s="63" t="s">
        <v>1322</v>
      </c>
      <c r="D109" s="48" t="s">
        <v>907</v>
      </c>
      <c r="E109" s="49" t="s">
        <v>908</v>
      </c>
      <c r="F109" s="124">
        <f t="shared" si="72"/>
        <v>0</v>
      </c>
      <c r="G109" s="52">
        <f t="shared" si="67"/>
        <v>0</v>
      </c>
      <c r="H109" s="52">
        <f>M109/$S$8</f>
        <v>1.4362743203972725E-5</v>
      </c>
      <c r="I109" s="52">
        <f t="shared" si="63"/>
        <v>0</v>
      </c>
      <c r="J109" s="53">
        <f t="shared" si="68"/>
        <v>0.439915</v>
      </c>
      <c r="K109" s="165">
        <f t="shared" si="73"/>
        <v>0</v>
      </c>
      <c r="L109" s="252">
        <f t="shared" si="70"/>
        <v>0</v>
      </c>
      <c r="M109" s="252">
        <f t="shared" si="70"/>
        <v>0.439915</v>
      </c>
      <c r="N109" s="94">
        <f t="shared" si="71"/>
        <v>0</v>
      </c>
      <c r="O109" s="95" t="s">
        <v>479</v>
      </c>
      <c r="P109" s="242" t="s">
        <v>130</v>
      </c>
      <c r="Q109" s="168">
        <f t="shared" si="74"/>
        <v>0</v>
      </c>
      <c r="R109" s="75">
        <f t="shared" si="74"/>
        <v>0</v>
      </c>
      <c r="S109" s="75">
        <f t="shared" si="65"/>
        <v>-1.4362743203972725E-3</v>
      </c>
      <c r="T109" s="137">
        <f t="shared" si="65"/>
        <v>-2.0954263357168814E-3</v>
      </c>
      <c r="U109" s="75">
        <f t="shared" si="65"/>
        <v>0</v>
      </c>
      <c r="V109" s="75">
        <f t="shared" si="65"/>
        <v>0</v>
      </c>
      <c r="W109" s="169">
        <v>0</v>
      </c>
      <c r="X109" s="248">
        <v>0</v>
      </c>
      <c r="Y109" s="250">
        <v>-0.439915</v>
      </c>
      <c r="Z109" s="134">
        <v>-0.64180599999999999</v>
      </c>
      <c r="AA109" s="207">
        <v>0</v>
      </c>
      <c r="AB109" s="207">
        <v>0</v>
      </c>
      <c r="AC109" s="176">
        <v>0</v>
      </c>
      <c r="AD109" s="176">
        <f>-AC109</f>
        <v>0</v>
      </c>
      <c r="AE109" s="49" t="s">
        <v>908</v>
      </c>
    </row>
    <row r="110" spans="1:31" s="1" customFormat="1" ht="83.25" customHeight="1" outlineLevel="1" x14ac:dyDescent="0.35">
      <c r="A110" s="205"/>
      <c r="B110" s="234"/>
      <c r="C110" s="63">
        <v>44217</v>
      </c>
      <c r="D110" s="48" t="s">
        <v>909</v>
      </c>
      <c r="E110" s="49" t="s">
        <v>910</v>
      </c>
      <c r="F110" s="124">
        <f t="shared" si="72"/>
        <v>0</v>
      </c>
      <c r="G110" s="52">
        <f t="shared" si="67"/>
        <v>0</v>
      </c>
      <c r="H110" s="52">
        <f>M110/$S$8</f>
        <v>0</v>
      </c>
      <c r="I110" s="52">
        <f t="shared" si="63"/>
        <v>0</v>
      </c>
      <c r="J110" s="53">
        <f t="shared" si="68"/>
        <v>0</v>
      </c>
      <c r="K110" s="165">
        <f t="shared" si="73"/>
        <v>0</v>
      </c>
      <c r="L110" s="252">
        <f t="shared" si="70"/>
        <v>0</v>
      </c>
      <c r="M110" s="252">
        <f t="shared" si="70"/>
        <v>0</v>
      </c>
      <c r="N110" s="94">
        <f t="shared" si="71"/>
        <v>0</v>
      </c>
      <c r="O110" s="95" t="s">
        <v>479</v>
      </c>
      <c r="P110" s="242" t="s">
        <v>129</v>
      </c>
      <c r="Q110" s="168">
        <f t="shared" si="74"/>
        <v>0</v>
      </c>
      <c r="R110" s="75">
        <f t="shared" si="74"/>
        <v>0</v>
      </c>
      <c r="S110" s="75">
        <f t="shared" si="65"/>
        <v>0</v>
      </c>
      <c r="T110" s="137">
        <f t="shared" si="65"/>
        <v>-4.7038867962123448E-2</v>
      </c>
      <c r="U110" s="75">
        <f t="shared" si="65"/>
        <v>0</v>
      </c>
      <c r="V110" s="75">
        <f t="shared" si="65"/>
        <v>0</v>
      </c>
      <c r="W110" s="169">
        <v>0</v>
      </c>
      <c r="X110" s="248">
        <v>0</v>
      </c>
      <c r="Y110" s="250">
        <v>0</v>
      </c>
      <c r="Z110" s="134">
        <v>-14.407487</v>
      </c>
      <c r="AA110" s="207">
        <v>0</v>
      </c>
      <c r="AB110" s="207">
        <v>0</v>
      </c>
      <c r="AC110" s="176">
        <v>0</v>
      </c>
      <c r="AD110" s="176">
        <f>-AC110</f>
        <v>0</v>
      </c>
      <c r="AE110" s="49" t="s">
        <v>911</v>
      </c>
    </row>
    <row r="111" spans="1:31" s="1" customFormat="1" ht="63.75" customHeight="1" outlineLevel="1" x14ac:dyDescent="0.35">
      <c r="A111" s="205"/>
      <c r="B111" s="234"/>
      <c r="C111" s="63">
        <v>44217</v>
      </c>
      <c r="D111" s="48" t="s">
        <v>912</v>
      </c>
      <c r="E111" s="49" t="s">
        <v>913</v>
      </c>
      <c r="F111" s="124">
        <f t="shared" si="72"/>
        <v>0</v>
      </c>
      <c r="G111" s="52">
        <f t="shared" si="67"/>
        <v>0</v>
      </c>
      <c r="H111" s="52">
        <f t="shared" ref="H111:H123" si="75">M111/$S$8</f>
        <v>1.5122220081656417E-3</v>
      </c>
      <c r="I111" s="52">
        <f t="shared" si="63"/>
        <v>0</v>
      </c>
      <c r="J111" s="53">
        <f t="shared" si="68"/>
        <v>46.317694000000003</v>
      </c>
      <c r="K111" s="165">
        <f t="shared" si="73"/>
        <v>0</v>
      </c>
      <c r="L111" s="252">
        <f t="shared" si="73"/>
        <v>0</v>
      </c>
      <c r="M111" s="252">
        <f t="shared" si="73"/>
        <v>46.317694000000003</v>
      </c>
      <c r="N111" s="94">
        <f t="shared" si="71"/>
        <v>0</v>
      </c>
      <c r="O111" s="95" t="s">
        <v>479</v>
      </c>
      <c r="P111" s="242" t="s">
        <v>130</v>
      </c>
      <c r="Q111" s="168">
        <f t="shared" si="74"/>
        <v>0</v>
      </c>
      <c r="R111" s="75">
        <f t="shared" si="74"/>
        <v>0</v>
      </c>
      <c r="S111" s="75">
        <f t="shared" si="65"/>
        <v>-0.15122220081656418</v>
      </c>
      <c r="T111" s="137">
        <f t="shared" si="65"/>
        <v>-0.22639274669051246</v>
      </c>
      <c r="U111" s="75">
        <f t="shared" si="65"/>
        <v>0</v>
      </c>
      <c r="V111" s="75">
        <f t="shared" si="65"/>
        <v>0</v>
      </c>
      <c r="W111" s="169">
        <v>0</v>
      </c>
      <c r="X111" s="248">
        <v>0</v>
      </c>
      <c r="Y111" s="250">
        <f>-69.341604+23.02391</f>
        <v>-46.317694000000003</v>
      </c>
      <c r="Z111" s="134">
        <v>-69.341604000000004</v>
      </c>
      <c r="AA111" s="207">
        <v>0</v>
      </c>
      <c r="AB111" s="207">
        <v>0</v>
      </c>
      <c r="AC111" s="176">
        <f>-18.08396-0.094194-3.769444-0.068623-2.676097</f>
        <v>-24.692318</v>
      </c>
      <c r="AD111" s="176">
        <f t="shared" ref="AD111:AD131" si="76">-AC111</f>
        <v>24.692318</v>
      </c>
      <c r="AE111" s="49" t="s">
        <v>914</v>
      </c>
    </row>
    <row r="112" spans="1:31" s="1" customFormat="1" ht="58" outlineLevel="1" x14ac:dyDescent="0.35">
      <c r="A112" s="205"/>
      <c r="B112" s="234"/>
      <c r="C112" s="63">
        <v>44224</v>
      </c>
      <c r="D112" s="48" t="s">
        <v>915</v>
      </c>
      <c r="E112" s="49" t="s">
        <v>916</v>
      </c>
      <c r="F112" s="124">
        <f t="shared" si="72"/>
        <v>0</v>
      </c>
      <c r="G112" s="52">
        <f t="shared" si="67"/>
        <v>0</v>
      </c>
      <c r="H112" s="52">
        <f t="shared" si="75"/>
        <v>1.1959294035473238E-5</v>
      </c>
      <c r="I112" s="52">
        <f t="shared" si="63"/>
        <v>0</v>
      </c>
      <c r="J112" s="53">
        <f t="shared" si="68"/>
        <v>0.36630000000000001</v>
      </c>
      <c r="K112" s="165">
        <f t="shared" si="73"/>
        <v>0</v>
      </c>
      <c r="L112" s="252">
        <f t="shared" si="73"/>
        <v>0</v>
      </c>
      <c r="M112" s="252">
        <f t="shared" si="73"/>
        <v>0.36630000000000001</v>
      </c>
      <c r="N112" s="94">
        <f t="shared" si="71"/>
        <v>0</v>
      </c>
      <c r="O112" s="95" t="s">
        <v>479</v>
      </c>
      <c r="P112" s="242" t="s">
        <v>130</v>
      </c>
      <c r="Q112" s="168">
        <f t="shared" si="74"/>
        <v>0</v>
      </c>
      <c r="R112" s="75">
        <f t="shared" si="74"/>
        <v>0</v>
      </c>
      <c r="S112" s="75">
        <f t="shared" si="65"/>
        <v>-1.1959294035473237E-3</v>
      </c>
      <c r="T112" s="137">
        <f t="shared" si="65"/>
        <v>-1.1959294035473237E-3</v>
      </c>
      <c r="U112" s="75">
        <f t="shared" si="65"/>
        <v>0</v>
      </c>
      <c r="V112" s="75">
        <f t="shared" si="65"/>
        <v>0</v>
      </c>
      <c r="W112" s="169">
        <v>0</v>
      </c>
      <c r="X112" s="248">
        <v>0</v>
      </c>
      <c r="Y112" s="250">
        <v>-0.36630000000000001</v>
      </c>
      <c r="Z112" s="134">
        <v>-0.36630000000000001</v>
      </c>
      <c r="AA112" s="207">
        <v>0</v>
      </c>
      <c r="AB112" s="207">
        <v>0</v>
      </c>
      <c r="AC112" s="176">
        <v>0</v>
      </c>
      <c r="AD112" s="176">
        <f t="shared" si="76"/>
        <v>0</v>
      </c>
      <c r="AE112" s="49" t="s">
        <v>917</v>
      </c>
    </row>
    <row r="113" spans="1:31" s="1" customFormat="1" ht="72.75" customHeight="1" outlineLevel="1" x14ac:dyDescent="0.35">
      <c r="A113" s="205"/>
      <c r="B113" s="234"/>
      <c r="C113" s="63">
        <v>44224</v>
      </c>
      <c r="D113" s="48" t="s">
        <v>918</v>
      </c>
      <c r="E113" s="49" t="s">
        <v>893</v>
      </c>
      <c r="F113" s="124">
        <f>K113/$Q$8</f>
        <v>0</v>
      </c>
      <c r="G113" s="52">
        <f t="shared" si="67"/>
        <v>0</v>
      </c>
      <c r="H113" s="52">
        <f t="shared" si="75"/>
        <v>0</v>
      </c>
      <c r="I113" s="52">
        <f t="shared" si="63"/>
        <v>0</v>
      </c>
      <c r="J113" s="53">
        <f t="shared" si="68"/>
        <v>0</v>
      </c>
      <c r="K113" s="165">
        <f t="shared" si="73"/>
        <v>0</v>
      </c>
      <c r="L113" s="252">
        <f t="shared" si="73"/>
        <v>0</v>
      </c>
      <c r="M113" s="252">
        <f t="shared" si="73"/>
        <v>0</v>
      </c>
      <c r="N113" s="94">
        <f t="shared" si="71"/>
        <v>0</v>
      </c>
      <c r="O113" s="95" t="s">
        <v>479</v>
      </c>
      <c r="P113" s="242" t="s">
        <v>129</v>
      </c>
      <c r="Q113" s="168">
        <f t="shared" si="74"/>
        <v>0</v>
      </c>
      <c r="R113" s="75">
        <f t="shared" si="74"/>
        <v>0</v>
      </c>
      <c r="S113" s="75">
        <f t="shared" si="65"/>
        <v>0</v>
      </c>
      <c r="T113" s="137">
        <f t="shared" si="65"/>
        <v>-4.6782583849673938E-2</v>
      </c>
      <c r="U113" s="75">
        <f t="shared" si="65"/>
        <v>0</v>
      </c>
      <c r="V113" s="75">
        <f t="shared" si="65"/>
        <v>0</v>
      </c>
      <c r="W113" s="169">
        <v>0</v>
      </c>
      <c r="X113" s="248">
        <v>0</v>
      </c>
      <c r="Y113" s="250">
        <v>0</v>
      </c>
      <c r="Z113" s="134">
        <v>-14.328989999999999</v>
      </c>
      <c r="AA113" s="207">
        <v>0</v>
      </c>
      <c r="AB113" s="207">
        <v>0</v>
      </c>
      <c r="AC113" s="176">
        <v>0</v>
      </c>
      <c r="AD113" s="176">
        <f t="shared" si="76"/>
        <v>0</v>
      </c>
      <c r="AE113" s="49" t="s">
        <v>919</v>
      </c>
    </row>
    <row r="114" spans="1:31" s="1" customFormat="1" ht="58" outlineLevel="1" x14ac:dyDescent="0.35">
      <c r="A114" s="205"/>
      <c r="B114" s="234"/>
      <c r="C114" s="63">
        <v>44224</v>
      </c>
      <c r="D114" s="48" t="s">
        <v>918</v>
      </c>
      <c r="E114" s="49" t="s">
        <v>893</v>
      </c>
      <c r="F114" s="124">
        <f t="shared" si="72"/>
        <v>0</v>
      </c>
      <c r="G114" s="52">
        <f t="shared" si="67"/>
        <v>0</v>
      </c>
      <c r="H114" s="52">
        <f t="shared" si="75"/>
        <v>0</v>
      </c>
      <c r="I114" s="52">
        <f t="shared" si="63"/>
        <v>0</v>
      </c>
      <c r="J114" s="53">
        <f t="shared" si="68"/>
        <v>0</v>
      </c>
      <c r="K114" s="165">
        <f t="shared" si="73"/>
        <v>0</v>
      </c>
      <c r="L114" s="252">
        <f t="shared" si="73"/>
        <v>0</v>
      </c>
      <c r="M114" s="252">
        <f t="shared" si="73"/>
        <v>0</v>
      </c>
      <c r="N114" s="94">
        <f t="shared" si="71"/>
        <v>0</v>
      </c>
      <c r="O114" s="95" t="s">
        <v>479</v>
      </c>
      <c r="P114" s="242" t="s">
        <v>129</v>
      </c>
      <c r="Q114" s="168">
        <f t="shared" si="74"/>
        <v>0</v>
      </c>
      <c r="R114" s="75">
        <f t="shared" si="74"/>
        <v>0</v>
      </c>
      <c r="S114" s="75">
        <f t="shared" si="65"/>
        <v>0</v>
      </c>
      <c r="T114" s="137">
        <f t="shared" si="65"/>
        <v>-4.6396311385401248E-2</v>
      </c>
      <c r="U114" s="75">
        <f t="shared" si="65"/>
        <v>0</v>
      </c>
      <c r="V114" s="75">
        <f t="shared" si="65"/>
        <v>0</v>
      </c>
      <c r="W114" s="169">
        <v>0</v>
      </c>
      <c r="X114" s="248">
        <v>0</v>
      </c>
      <c r="Y114" s="250">
        <v>0</v>
      </c>
      <c r="Z114" s="134">
        <v>-14.210679000000001</v>
      </c>
      <c r="AA114" s="207">
        <v>0</v>
      </c>
      <c r="AB114" s="207">
        <v>0</v>
      </c>
      <c r="AC114" s="176">
        <v>0</v>
      </c>
      <c r="AD114" s="176">
        <f t="shared" si="76"/>
        <v>0</v>
      </c>
      <c r="AE114" s="49" t="s">
        <v>920</v>
      </c>
    </row>
    <row r="115" spans="1:31" s="1" customFormat="1" ht="58" outlineLevel="1" x14ac:dyDescent="0.35">
      <c r="A115" s="205"/>
      <c r="B115" s="234"/>
      <c r="C115" s="63">
        <v>44235</v>
      </c>
      <c r="D115" s="48" t="s">
        <v>921</v>
      </c>
      <c r="E115" s="49" t="s">
        <v>922</v>
      </c>
      <c r="F115" s="124">
        <f>K115/$Q$8</f>
        <v>0</v>
      </c>
      <c r="G115" s="52">
        <f t="shared" si="67"/>
        <v>0</v>
      </c>
      <c r="H115" s="52">
        <f t="shared" si="75"/>
        <v>4.7351686919104281E-5</v>
      </c>
      <c r="I115" s="52">
        <f t="shared" si="63"/>
        <v>0</v>
      </c>
      <c r="J115" s="53">
        <f t="shared" si="68"/>
        <v>1.4503299999999999</v>
      </c>
      <c r="K115" s="165">
        <f t="shared" si="73"/>
        <v>0</v>
      </c>
      <c r="L115" s="252">
        <f t="shared" si="73"/>
        <v>0</v>
      </c>
      <c r="M115" s="252">
        <f t="shared" si="73"/>
        <v>1.4503299999999999</v>
      </c>
      <c r="N115" s="94">
        <f t="shared" si="71"/>
        <v>0</v>
      </c>
      <c r="O115" s="95" t="s">
        <v>479</v>
      </c>
      <c r="P115" s="242" t="s">
        <v>129</v>
      </c>
      <c r="Q115" s="168">
        <f t="shared" si="74"/>
        <v>0</v>
      </c>
      <c r="R115" s="75">
        <f t="shared" si="74"/>
        <v>0</v>
      </c>
      <c r="S115" s="75">
        <f t="shared" si="65"/>
        <v>-4.7351686919104279E-3</v>
      </c>
      <c r="T115" s="137">
        <f t="shared" si="65"/>
        <v>-4.7351686919104279E-3</v>
      </c>
      <c r="U115" s="75">
        <f t="shared" si="65"/>
        <v>0</v>
      </c>
      <c r="V115" s="75">
        <f t="shared" si="65"/>
        <v>0</v>
      </c>
      <c r="W115" s="169">
        <v>0</v>
      </c>
      <c r="X115" s="248">
        <v>0</v>
      </c>
      <c r="Y115" s="250">
        <v>-1.4503299999999999</v>
      </c>
      <c r="Z115" s="134">
        <v>-1.4503299999999999</v>
      </c>
      <c r="AA115" s="207">
        <v>0</v>
      </c>
      <c r="AB115" s="207">
        <v>0</v>
      </c>
      <c r="AC115" s="176">
        <v>-3.9176000000000002E-2</v>
      </c>
      <c r="AD115" s="176">
        <f t="shared" si="76"/>
        <v>3.9176000000000002E-2</v>
      </c>
      <c r="AE115" s="49" t="s">
        <v>923</v>
      </c>
    </row>
    <row r="116" spans="1:31" s="1" customFormat="1" ht="58.5" customHeight="1" outlineLevel="1" x14ac:dyDescent="0.35">
      <c r="A116" s="205"/>
      <c r="B116" s="234"/>
      <c r="C116" s="63">
        <v>44232</v>
      </c>
      <c r="D116" s="48" t="s">
        <v>924</v>
      </c>
      <c r="E116" s="49" t="s">
        <v>893</v>
      </c>
      <c r="F116" s="124">
        <f>K116/$Q$8</f>
        <v>0</v>
      </c>
      <c r="G116" s="52">
        <f t="shared" si="67"/>
        <v>0</v>
      </c>
      <c r="H116" s="52">
        <f t="shared" si="75"/>
        <v>0</v>
      </c>
      <c r="I116" s="52">
        <f t="shared" si="63"/>
        <v>0</v>
      </c>
      <c r="J116" s="53">
        <f t="shared" si="68"/>
        <v>0</v>
      </c>
      <c r="K116" s="165">
        <f t="shared" si="73"/>
        <v>0</v>
      </c>
      <c r="L116" s="252">
        <f t="shared" si="73"/>
        <v>0</v>
      </c>
      <c r="M116" s="252">
        <f t="shared" si="73"/>
        <v>0</v>
      </c>
      <c r="N116" s="94">
        <f t="shared" si="71"/>
        <v>0</v>
      </c>
      <c r="O116" s="95" t="s">
        <v>479</v>
      </c>
      <c r="P116" s="242" t="s">
        <v>129</v>
      </c>
      <c r="Q116" s="168">
        <f t="shared" si="74"/>
        <v>0</v>
      </c>
      <c r="R116" s="75">
        <f t="shared" si="74"/>
        <v>0</v>
      </c>
      <c r="S116" s="75">
        <f t="shared" si="65"/>
        <v>0</v>
      </c>
      <c r="T116" s="137">
        <f t="shared" si="65"/>
        <v>-1.3573243698870906E-2</v>
      </c>
      <c r="U116" s="75">
        <f t="shared" si="65"/>
        <v>0</v>
      </c>
      <c r="V116" s="75">
        <f t="shared" si="65"/>
        <v>0</v>
      </c>
      <c r="W116" s="169">
        <v>0</v>
      </c>
      <c r="X116" s="248">
        <v>0</v>
      </c>
      <c r="Y116" s="250">
        <v>0</v>
      </c>
      <c r="Z116" s="134">
        <v>-4.1573349999999998</v>
      </c>
      <c r="AA116" s="207">
        <v>0</v>
      </c>
      <c r="AB116" s="207">
        <v>0</v>
      </c>
      <c r="AC116" s="176">
        <v>0</v>
      </c>
      <c r="AD116" s="176">
        <f t="shared" si="76"/>
        <v>0</v>
      </c>
      <c r="AE116" s="49" t="s">
        <v>925</v>
      </c>
    </row>
    <row r="117" spans="1:31" s="1" customFormat="1" ht="58" outlineLevel="1" x14ac:dyDescent="0.35">
      <c r="A117" s="205"/>
      <c r="B117" s="234"/>
      <c r="C117" s="63">
        <v>44238</v>
      </c>
      <c r="D117" s="48" t="s">
        <v>926</v>
      </c>
      <c r="E117" s="49" t="s">
        <v>927</v>
      </c>
      <c r="F117" s="124">
        <f t="shared" ref="F117:F196" si="77">K117/$Q$8</f>
        <v>0</v>
      </c>
      <c r="G117" s="52">
        <f t="shared" si="67"/>
        <v>0</v>
      </c>
      <c r="H117" s="52">
        <f t="shared" si="75"/>
        <v>1.3142762004820562E-3</v>
      </c>
      <c r="I117" s="52">
        <f t="shared" si="63"/>
        <v>0</v>
      </c>
      <c r="J117" s="53">
        <f t="shared" si="68"/>
        <v>40.254832</v>
      </c>
      <c r="K117" s="165">
        <f t="shared" si="73"/>
        <v>0</v>
      </c>
      <c r="L117" s="252">
        <f t="shared" si="73"/>
        <v>0</v>
      </c>
      <c r="M117" s="252">
        <f t="shared" si="73"/>
        <v>40.254832</v>
      </c>
      <c r="N117" s="94">
        <f t="shared" si="71"/>
        <v>0</v>
      </c>
      <c r="O117" s="95" t="s">
        <v>479</v>
      </c>
      <c r="P117" s="242" t="s">
        <v>129</v>
      </c>
      <c r="Q117" s="168">
        <f t="shared" si="74"/>
        <v>0</v>
      </c>
      <c r="R117" s="75">
        <f t="shared" si="74"/>
        <v>0</v>
      </c>
      <c r="S117" s="75">
        <f t="shared" si="65"/>
        <v>-0.13142762004820563</v>
      </c>
      <c r="T117" s="137">
        <f t="shared" si="65"/>
        <v>-0.13142762004820563</v>
      </c>
      <c r="U117" s="75">
        <f t="shared" si="65"/>
        <v>0</v>
      </c>
      <c r="V117" s="75">
        <f t="shared" si="65"/>
        <v>0</v>
      </c>
      <c r="W117" s="169">
        <v>0</v>
      </c>
      <c r="X117" s="248">
        <v>0</v>
      </c>
      <c r="Y117" s="250">
        <v>-40.254832</v>
      </c>
      <c r="Z117" s="134">
        <v>-40.254832</v>
      </c>
      <c r="AA117" s="207">
        <v>0</v>
      </c>
      <c r="AB117" s="207">
        <v>0</v>
      </c>
      <c r="AC117" s="176">
        <v>0</v>
      </c>
      <c r="AD117" s="176">
        <f t="shared" si="76"/>
        <v>0</v>
      </c>
      <c r="AE117" s="49" t="s">
        <v>928</v>
      </c>
    </row>
    <row r="118" spans="1:31" s="1" customFormat="1" ht="74.150000000000006" customHeight="1" outlineLevel="1" x14ac:dyDescent="0.35">
      <c r="A118" s="205"/>
      <c r="B118" s="234"/>
      <c r="C118" s="63">
        <v>44238</v>
      </c>
      <c r="D118" s="48" t="s">
        <v>929</v>
      </c>
      <c r="E118" s="49" t="s">
        <v>930</v>
      </c>
      <c r="F118" s="124">
        <f t="shared" si="77"/>
        <v>0</v>
      </c>
      <c r="G118" s="52">
        <f t="shared" si="67"/>
        <v>0</v>
      </c>
      <c r="H118" s="52">
        <f t="shared" si="75"/>
        <v>8.6218197584455919E-4</v>
      </c>
      <c r="I118" s="52">
        <f t="shared" si="63"/>
        <v>0</v>
      </c>
      <c r="J118" s="53">
        <f t="shared" si="68"/>
        <v>26.407684</v>
      </c>
      <c r="K118" s="165">
        <f t="shared" si="73"/>
        <v>0</v>
      </c>
      <c r="L118" s="252">
        <f t="shared" si="73"/>
        <v>0</v>
      </c>
      <c r="M118" s="252">
        <f t="shared" si="73"/>
        <v>26.407684</v>
      </c>
      <c r="N118" s="94">
        <f t="shared" si="71"/>
        <v>0</v>
      </c>
      <c r="O118" s="95" t="s">
        <v>479</v>
      </c>
      <c r="P118" s="242" t="s">
        <v>171</v>
      </c>
      <c r="Q118" s="168">
        <f t="shared" si="74"/>
        <v>0</v>
      </c>
      <c r="R118" s="75">
        <f t="shared" si="74"/>
        <v>0</v>
      </c>
      <c r="S118" s="75">
        <f t="shared" si="65"/>
        <v>-8.6218197584455925E-2</v>
      </c>
      <c r="T118" s="137">
        <f t="shared" si="65"/>
        <v>-8.6218197584455925E-2</v>
      </c>
      <c r="U118" s="75">
        <f t="shared" si="65"/>
        <v>0</v>
      </c>
      <c r="V118" s="75">
        <f t="shared" si="65"/>
        <v>0</v>
      </c>
      <c r="W118" s="169">
        <v>0</v>
      </c>
      <c r="X118" s="248">
        <v>0</v>
      </c>
      <c r="Y118" s="250">
        <v>-26.407684</v>
      </c>
      <c r="Z118" s="134">
        <v>-26.407684</v>
      </c>
      <c r="AA118" s="207">
        <v>0</v>
      </c>
      <c r="AB118" s="207">
        <v>0</v>
      </c>
      <c r="AC118" s="176">
        <f>-0.119938-23.363667-0.035507</f>
        <v>-23.519112</v>
      </c>
      <c r="AD118" s="176">
        <f t="shared" si="76"/>
        <v>23.519112</v>
      </c>
      <c r="AE118" s="49" t="s">
        <v>931</v>
      </c>
    </row>
    <row r="119" spans="1:31" s="1" customFormat="1" ht="74.150000000000006" customHeight="1" outlineLevel="1" x14ac:dyDescent="0.35">
      <c r="A119" s="205"/>
      <c r="B119" s="234"/>
      <c r="C119" s="63">
        <v>44242</v>
      </c>
      <c r="D119" s="48" t="s">
        <v>1141</v>
      </c>
      <c r="E119" s="49" t="s">
        <v>1142</v>
      </c>
      <c r="F119" s="124">
        <f t="shared" si="77"/>
        <v>0</v>
      </c>
      <c r="G119" s="52">
        <f t="shared" si="67"/>
        <v>0</v>
      </c>
      <c r="H119" s="52">
        <f t="shared" si="75"/>
        <v>0</v>
      </c>
      <c r="I119" s="52">
        <f t="shared" si="63"/>
        <v>0</v>
      </c>
      <c r="J119" s="53">
        <f t="shared" si="68"/>
        <v>0</v>
      </c>
      <c r="K119" s="165">
        <f t="shared" si="73"/>
        <v>0</v>
      </c>
      <c r="L119" s="252">
        <f t="shared" si="73"/>
        <v>0</v>
      </c>
      <c r="M119" s="252">
        <f t="shared" si="73"/>
        <v>0</v>
      </c>
      <c r="N119" s="94">
        <f t="shared" si="71"/>
        <v>0</v>
      </c>
      <c r="O119" s="95" t="s">
        <v>479</v>
      </c>
      <c r="P119" s="242" t="s">
        <v>129</v>
      </c>
      <c r="Q119" s="168">
        <f t="shared" si="74"/>
        <v>0</v>
      </c>
      <c r="R119" s="75">
        <f t="shared" si="74"/>
        <v>0</v>
      </c>
      <c r="S119" s="75">
        <f t="shared" si="65"/>
        <v>0</v>
      </c>
      <c r="T119" s="137">
        <f t="shared" si="65"/>
        <v>-9.6273459697247365E-4</v>
      </c>
      <c r="U119" s="75">
        <f t="shared" si="65"/>
        <v>0</v>
      </c>
      <c r="V119" s="75">
        <f t="shared" si="65"/>
        <v>0</v>
      </c>
      <c r="W119" s="169">
        <v>0</v>
      </c>
      <c r="X119" s="248">
        <v>0</v>
      </c>
      <c r="Y119" s="250">
        <v>0</v>
      </c>
      <c r="Z119" s="134">
        <v>-0.294875</v>
      </c>
      <c r="AA119" s="207">
        <v>0</v>
      </c>
      <c r="AB119" s="207">
        <v>0</v>
      </c>
      <c r="AC119" s="176">
        <v>0</v>
      </c>
      <c r="AD119" s="176">
        <f t="shared" si="76"/>
        <v>0</v>
      </c>
      <c r="AE119" s="49" t="s">
        <v>1145</v>
      </c>
    </row>
    <row r="120" spans="1:31" s="1" customFormat="1" ht="73.400000000000006" customHeight="1" outlineLevel="1" x14ac:dyDescent="0.35">
      <c r="A120" s="205"/>
      <c r="B120" s="234"/>
      <c r="C120" s="63">
        <v>44245</v>
      </c>
      <c r="D120" s="48" t="s">
        <v>1116</v>
      </c>
      <c r="E120" s="49" t="s">
        <v>1117</v>
      </c>
      <c r="F120" s="124">
        <f t="shared" si="77"/>
        <v>0</v>
      </c>
      <c r="G120" s="52">
        <f t="shared" si="67"/>
        <v>0</v>
      </c>
      <c r="H120" s="52">
        <f t="shared" si="75"/>
        <v>1.5802070197021694E-6</v>
      </c>
      <c r="I120" s="52">
        <f t="shared" si="63"/>
        <v>0</v>
      </c>
      <c r="J120" s="53">
        <f t="shared" si="68"/>
        <v>4.8399999999999999E-2</v>
      </c>
      <c r="K120" s="165">
        <f t="shared" si="73"/>
        <v>0</v>
      </c>
      <c r="L120" s="252">
        <f t="shared" si="73"/>
        <v>0</v>
      </c>
      <c r="M120" s="252">
        <f t="shared" si="73"/>
        <v>4.8399999999999999E-2</v>
      </c>
      <c r="N120" s="94">
        <f t="shared" si="71"/>
        <v>0</v>
      </c>
      <c r="O120" s="95" t="s">
        <v>479</v>
      </c>
      <c r="P120" s="242" t="s">
        <v>1118</v>
      </c>
      <c r="Q120" s="168">
        <f t="shared" si="74"/>
        <v>0</v>
      </c>
      <c r="R120" s="75">
        <f t="shared" si="74"/>
        <v>0</v>
      </c>
      <c r="S120" s="75">
        <f t="shared" si="65"/>
        <v>-1.5802070197021693E-4</v>
      </c>
      <c r="T120" s="137">
        <f t="shared" si="65"/>
        <v>-1.5802070197021693E-4</v>
      </c>
      <c r="U120" s="75">
        <f t="shared" si="65"/>
        <v>0</v>
      </c>
      <c r="V120" s="75">
        <f t="shared" si="65"/>
        <v>0</v>
      </c>
      <c r="W120" s="169">
        <v>0</v>
      </c>
      <c r="X120" s="248">
        <v>0</v>
      </c>
      <c r="Y120" s="250">
        <v>-4.8399999999999999E-2</v>
      </c>
      <c r="Z120" s="134">
        <v>-4.8399999999999999E-2</v>
      </c>
      <c r="AA120" s="207">
        <v>0</v>
      </c>
      <c r="AB120" s="207">
        <v>0</v>
      </c>
      <c r="AC120" s="176">
        <v>0</v>
      </c>
      <c r="AD120" s="176">
        <f t="shared" si="76"/>
        <v>0</v>
      </c>
      <c r="AE120" s="49" t="s">
        <v>1119</v>
      </c>
    </row>
    <row r="121" spans="1:31" s="1" customFormat="1" ht="103.4" customHeight="1" outlineLevel="1" x14ac:dyDescent="0.35">
      <c r="A121" s="205"/>
      <c r="B121" s="234"/>
      <c r="C121" s="63">
        <v>44245</v>
      </c>
      <c r="D121" s="48" t="s">
        <v>1120</v>
      </c>
      <c r="E121" s="49" t="s">
        <v>1121</v>
      </c>
      <c r="F121" s="124">
        <f t="shared" si="77"/>
        <v>0</v>
      </c>
      <c r="G121" s="52">
        <f t="shared" si="67"/>
        <v>0</v>
      </c>
      <c r="H121" s="52">
        <f t="shared" si="75"/>
        <v>2.7111788141119092E-3</v>
      </c>
      <c r="I121" s="52">
        <f t="shared" si="63"/>
        <v>0</v>
      </c>
      <c r="J121" s="53">
        <f t="shared" si="68"/>
        <v>83.040419999999997</v>
      </c>
      <c r="K121" s="165">
        <f t="shared" si="73"/>
        <v>0</v>
      </c>
      <c r="L121" s="252">
        <f t="shared" si="73"/>
        <v>0</v>
      </c>
      <c r="M121" s="252">
        <f t="shared" si="73"/>
        <v>83.040419999999997</v>
      </c>
      <c r="N121" s="94">
        <f t="shared" si="71"/>
        <v>0</v>
      </c>
      <c r="O121" s="95" t="s">
        <v>479</v>
      </c>
      <c r="P121" s="242" t="s">
        <v>1118</v>
      </c>
      <c r="Q121" s="168">
        <f t="shared" si="74"/>
        <v>0</v>
      </c>
      <c r="R121" s="75">
        <f t="shared" si="74"/>
        <v>0</v>
      </c>
      <c r="S121" s="75">
        <f t="shared" si="65"/>
        <v>-0.27111788141119092</v>
      </c>
      <c r="T121" s="137">
        <f t="shared" si="65"/>
        <v>-0.27111788141119092</v>
      </c>
      <c r="U121" s="75">
        <f t="shared" si="65"/>
        <v>0</v>
      </c>
      <c r="V121" s="75">
        <f t="shared" si="65"/>
        <v>0</v>
      </c>
      <c r="W121" s="169">
        <v>0</v>
      </c>
      <c r="X121" s="248">
        <v>0</v>
      </c>
      <c r="Y121" s="250">
        <v>-83.040419999999997</v>
      </c>
      <c r="Z121" s="134">
        <v>-83.040419999999997</v>
      </c>
      <c r="AA121" s="207">
        <v>0</v>
      </c>
      <c r="AB121" s="207">
        <v>0</v>
      </c>
      <c r="AC121" s="176">
        <v>0</v>
      </c>
      <c r="AD121" s="176">
        <f t="shared" si="76"/>
        <v>0</v>
      </c>
      <c r="AE121" s="49" t="s">
        <v>1122</v>
      </c>
    </row>
    <row r="122" spans="1:31" s="1" customFormat="1" ht="103.4" customHeight="1" outlineLevel="1" x14ac:dyDescent="0.35">
      <c r="A122" s="205"/>
      <c r="B122" s="234"/>
      <c r="C122" s="63">
        <v>44245</v>
      </c>
      <c r="D122" s="48" t="s">
        <v>1143</v>
      </c>
      <c r="E122" s="49" t="s">
        <v>1144</v>
      </c>
      <c r="F122" s="124">
        <f t="shared" si="77"/>
        <v>0</v>
      </c>
      <c r="G122" s="52">
        <f t="shared" si="67"/>
        <v>0</v>
      </c>
      <c r="H122" s="52">
        <f t="shared" si="75"/>
        <v>6.271462933895668E-6</v>
      </c>
      <c r="I122" s="52">
        <f t="shared" si="63"/>
        <v>0</v>
      </c>
      <c r="J122" s="53">
        <f t="shared" si="68"/>
        <v>0.19208800000000001</v>
      </c>
      <c r="K122" s="165">
        <f t="shared" ref="K122:M152" si="78">-W122</f>
        <v>0</v>
      </c>
      <c r="L122" s="252">
        <f t="shared" si="78"/>
        <v>0</v>
      </c>
      <c r="M122" s="252">
        <f t="shared" si="78"/>
        <v>0.19208800000000001</v>
      </c>
      <c r="N122" s="94">
        <f t="shared" si="71"/>
        <v>0</v>
      </c>
      <c r="O122" s="95" t="s">
        <v>479</v>
      </c>
      <c r="P122" s="242" t="s">
        <v>171</v>
      </c>
      <c r="Q122" s="168">
        <f t="shared" si="74"/>
        <v>0</v>
      </c>
      <c r="R122" s="75">
        <f t="shared" si="74"/>
        <v>0</v>
      </c>
      <c r="S122" s="75">
        <f t="shared" si="65"/>
        <v>-6.2714629338956685E-4</v>
      </c>
      <c r="T122" s="137">
        <f t="shared" si="65"/>
        <v>-6.2714629338956685E-4</v>
      </c>
      <c r="U122" s="75">
        <f t="shared" si="65"/>
        <v>0</v>
      </c>
      <c r="V122" s="75">
        <f t="shared" si="65"/>
        <v>0</v>
      </c>
      <c r="W122" s="169">
        <v>0</v>
      </c>
      <c r="X122" s="248">
        <v>0</v>
      </c>
      <c r="Y122" s="250">
        <v>-0.19208800000000001</v>
      </c>
      <c r="Z122" s="134">
        <v>-0.19208800000000001</v>
      </c>
      <c r="AA122" s="207">
        <v>0</v>
      </c>
      <c r="AB122" s="207">
        <v>0</v>
      </c>
      <c r="AC122" s="176">
        <v>0</v>
      </c>
      <c r="AD122" s="176">
        <f t="shared" si="76"/>
        <v>0</v>
      </c>
      <c r="AE122" s="49" t="s">
        <v>1146</v>
      </c>
    </row>
    <row r="123" spans="1:31" s="1" customFormat="1" ht="103.4" customHeight="1" outlineLevel="1" x14ac:dyDescent="0.35">
      <c r="A123" s="205"/>
      <c r="B123" s="234"/>
      <c r="C123" s="63">
        <v>44251</v>
      </c>
      <c r="D123" s="48" t="s">
        <v>1157</v>
      </c>
      <c r="E123" s="49" t="s">
        <v>1142</v>
      </c>
      <c r="F123" s="124">
        <f t="shared" si="77"/>
        <v>0</v>
      </c>
      <c r="G123" s="52">
        <f t="shared" si="67"/>
        <v>0</v>
      </c>
      <c r="H123" s="52">
        <f t="shared" si="75"/>
        <v>9.9120248351708339E-5</v>
      </c>
      <c r="I123" s="52">
        <f t="shared" si="63"/>
        <v>0</v>
      </c>
      <c r="J123" s="53">
        <f t="shared" si="68"/>
        <v>3.0359440000000002</v>
      </c>
      <c r="K123" s="165">
        <f t="shared" si="78"/>
        <v>0</v>
      </c>
      <c r="L123" s="252">
        <f t="shared" si="78"/>
        <v>0</v>
      </c>
      <c r="M123" s="252">
        <f t="shared" si="78"/>
        <v>3.0359440000000002</v>
      </c>
      <c r="N123" s="94">
        <f t="shared" si="71"/>
        <v>0</v>
      </c>
      <c r="O123" s="95" t="s">
        <v>479</v>
      </c>
      <c r="P123" s="242" t="s">
        <v>129</v>
      </c>
      <c r="Q123" s="168">
        <f t="shared" si="74"/>
        <v>0</v>
      </c>
      <c r="R123" s="75">
        <f t="shared" si="74"/>
        <v>0</v>
      </c>
      <c r="S123" s="75">
        <f t="shared" si="65"/>
        <v>-9.9120248351708337E-3</v>
      </c>
      <c r="T123" s="137">
        <f t="shared" si="65"/>
        <v>-9.9120248351708337E-3</v>
      </c>
      <c r="U123" s="75">
        <f t="shared" si="65"/>
        <v>0</v>
      </c>
      <c r="V123" s="75">
        <f t="shared" si="65"/>
        <v>0</v>
      </c>
      <c r="W123" s="169">
        <v>0</v>
      </c>
      <c r="X123" s="248">
        <v>0</v>
      </c>
      <c r="Y123" s="250">
        <v>-3.0359440000000002</v>
      </c>
      <c r="Z123" s="134">
        <v>-3.0359440000000002</v>
      </c>
      <c r="AA123" s="207">
        <v>0</v>
      </c>
      <c r="AB123" s="207">
        <v>0</v>
      </c>
      <c r="AC123" s="176">
        <v>-3.027876</v>
      </c>
      <c r="AD123" s="176">
        <f t="shared" si="76"/>
        <v>3.027876</v>
      </c>
      <c r="AE123" s="49" t="s">
        <v>1158</v>
      </c>
    </row>
    <row r="124" spans="1:31" s="1" customFormat="1" ht="172.5" customHeight="1" outlineLevel="1" x14ac:dyDescent="0.35">
      <c r="A124" s="205"/>
      <c r="B124" s="234"/>
      <c r="C124" s="63">
        <v>44273</v>
      </c>
      <c r="D124" s="48" t="s">
        <v>957</v>
      </c>
      <c r="E124" s="49" t="s">
        <v>1249</v>
      </c>
      <c r="F124" s="124">
        <f t="shared" si="77"/>
        <v>0</v>
      </c>
      <c r="G124" s="52">
        <f t="shared" si="67"/>
        <v>0</v>
      </c>
      <c r="H124" s="52">
        <f t="shared" si="55"/>
        <v>3.019496140020915E-4</v>
      </c>
      <c r="I124" s="52">
        <f t="shared" si="63"/>
        <v>0</v>
      </c>
      <c r="J124" s="53">
        <f t="shared" si="68"/>
        <v>9.2483839999999997</v>
      </c>
      <c r="K124" s="165">
        <f t="shared" si="78"/>
        <v>0</v>
      </c>
      <c r="L124" s="252">
        <f t="shared" si="78"/>
        <v>0</v>
      </c>
      <c r="M124" s="252">
        <f t="shared" si="78"/>
        <v>9.2483839999999997</v>
      </c>
      <c r="N124" s="94">
        <f t="shared" si="71"/>
        <v>0</v>
      </c>
      <c r="O124" s="95" t="s">
        <v>479</v>
      </c>
      <c r="P124" s="242" t="s">
        <v>129</v>
      </c>
      <c r="Q124" s="168">
        <f t="shared" si="74"/>
        <v>0</v>
      </c>
      <c r="R124" s="75">
        <f t="shared" si="74"/>
        <v>0</v>
      </c>
      <c r="S124" s="75">
        <f t="shared" si="65"/>
        <v>-3.019496140020915E-2</v>
      </c>
      <c r="T124" s="137">
        <f t="shared" si="65"/>
        <v>0</v>
      </c>
      <c r="U124" s="75">
        <f t="shared" si="65"/>
        <v>0</v>
      </c>
      <c r="V124" s="75">
        <f t="shared" si="65"/>
        <v>0</v>
      </c>
      <c r="W124" s="169">
        <v>0</v>
      </c>
      <c r="X124" s="248">
        <v>0</v>
      </c>
      <c r="Y124" s="250">
        <v>-9.2483839999999997</v>
      </c>
      <c r="Z124" s="134">
        <v>0</v>
      </c>
      <c r="AA124" s="207">
        <v>0</v>
      </c>
      <c r="AB124" s="207">
        <v>0</v>
      </c>
      <c r="AC124" s="176">
        <f>-6.446444-2.431635-0.039496-0.04474-0.28547</f>
        <v>-9.2477850000000004</v>
      </c>
      <c r="AD124" s="176">
        <f t="shared" si="76"/>
        <v>9.2477850000000004</v>
      </c>
      <c r="AE124" s="49" t="s">
        <v>1250</v>
      </c>
    </row>
    <row r="125" spans="1:31" s="1" customFormat="1" ht="57.75" customHeight="1" outlineLevel="1" x14ac:dyDescent="0.35">
      <c r="A125" s="205"/>
      <c r="B125" s="234"/>
      <c r="C125" s="63">
        <v>44279</v>
      </c>
      <c r="D125" s="48" t="s">
        <v>957</v>
      </c>
      <c r="E125" s="49" t="s">
        <v>1291</v>
      </c>
      <c r="F125" s="124">
        <f t="shared" si="77"/>
        <v>0</v>
      </c>
      <c r="G125" s="52">
        <f t="shared" si="67"/>
        <v>0</v>
      </c>
      <c r="H125" s="52">
        <f t="shared" si="55"/>
        <v>3.9278363546978389E-5</v>
      </c>
      <c r="I125" s="52">
        <f t="shared" si="63"/>
        <v>0</v>
      </c>
      <c r="J125" s="53">
        <f t="shared" si="68"/>
        <v>1.2030529999999999</v>
      </c>
      <c r="K125" s="165">
        <f t="shared" si="78"/>
        <v>0</v>
      </c>
      <c r="L125" s="252">
        <f t="shared" si="78"/>
        <v>0</v>
      </c>
      <c r="M125" s="252">
        <f t="shared" si="78"/>
        <v>1.2030529999999999</v>
      </c>
      <c r="N125" s="94">
        <f t="shared" si="71"/>
        <v>0</v>
      </c>
      <c r="O125" s="95" t="s">
        <v>479</v>
      </c>
      <c r="P125" s="242" t="s">
        <v>129</v>
      </c>
      <c r="Q125" s="168">
        <f t="shared" si="74"/>
        <v>0</v>
      </c>
      <c r="R125" s="75">
        <f t="shared" si="74"/>
        <v>0</v>
      </c>
      <c r="S125" s="75">
        <f t="shared" si="65"/>
        <v>-3.9278363546978385E-3</v>
      </c>
      <c r="T125" s="137">
        <f t="shared" si="65"/>
        <v>0</v>
      </c>
      <c r="U125" s="75">
        <f t="shared" si="65"/>
        <v>0</v>
      </c>
      <c r="V125" s="75">
        <f t="shared" si="65"/>
        <v>0</v>
      </c>
      <c r="W125" s="169">
        <v>0</v>
      </c>
      <c r="X125" s="248">
        <v>0</v>
      </c>
      <c r="Y125" s="250">
        <v>-1.2030529999999999</v>
      </c>
      <c r="Z125" s="134">
        <v>0</v>
      </c>
      <c r="AA125" s="207">
        <v>0</v>
      </c>
      <c r="AB125" s="207">
        <v>0</v>
      </c>
      <c r="AC125" s="176">
        <v>-4.1700000000000001E-3</v>
      </c>
      <c r="AD125" s="176">
        <f t="shared" si="76"/>
        <v>4.1700000000000001E-3</v>
      </c>
      <c r="AE125" s="49" t="s">
        <v>1295</v>
      </c>
    </row>
    <row r="126" spans="1:31" s="1" customFormat="1" ht="59.25" customHeight="1" outlineLevel="1" x14ac:dyDescent="0.35">
      <c r="A126" s="205"/>
      <c r="B126" s="234"/>
      <c r="C126" s="63">
        <v>44279</v>
      </c>
      <c r="D126" s="48" t="s">
        <v>957</v>
      </c>
      <c r="E126" s="49" t="s">
        <v>1292</v>
      </c>
      <c r="F126" s="124">
        <f t="shared" si="77"/>
        <v>0</v>
      </c>
      <c r="G126" s="52">
        <f t="shared" si="67"/>
        <v>0</v>
      </c>
      <c r="H126" s="52">
        <f t="shared" si="55"/>
        <v>0</v>
      </c>
      <c r="I126" s="52">
        <f t="shared" si="63"/>
        <v>0</v>
      </c>
      <c r="J126" s="53">
        <f t="shared" si="68"/>
        <v>0</v>
      </c>
      <c r="K126" s="165">
        <f t="shared" si="78"/>
        <v>0</v>
      </c>
      <c r="L126" s="252">
        <f t="shared" si="78"/>
        <v>0</v>
      </c>
      <c r="M126" s="252">
        <f t="shared" si="78"/>
        <v>0</v>
      </c>
      <c r="N126" s="94">
        <f t="shared" si="71"/>
        <v>0</v>
      </c>
      <c r="O126" s="95" t="s">
        <v>479</v>
      </c>
      <c r="P126" s="242" t="s">
        <v>129</v>
      </c>
      <c r="Q126" s="168">
        <f t="shared" si="74"/>
        <v>0</v>
      </c>
      <c r="R126" s="75">
        <f t="shared" si="74"/>
        <v>0</v>
      </c>
      <c r="S126" s="75">
        <f t="shared" si="65"/>
        <v>0</v>
      </c>
      <c r="T126" s="137">
        <f t="shared" si="65"/>
        <v>0</v>
      </c>
      <c r="U126" s="75">
        <f t="shared" si="65"/>
        <v>0</v>
      </c>
      <c r="V126" s="75">
        <f t="shared" si="65"/>
        <v>0</v>
      </c>
      <c r="W126" s="169">
        <v>0</v>
      </c>
      <c r="X126" s="248">
        <v>0</v>
      </c>
      <c r="Y126" s="250">
        <v>0</v>
      </c>
      <c r="Z126" s="134">
        <v>0</v>
      </c>
      <c r="AA126" s="207">
        <v>0</v>
      </c>
      <c r="AB126" s="207">
        <v>0</v>
      </c>
      <c r="AC126" s="176">
        <v>-1.6268999999999999E-2</v>
      </c>
      <c r="AD126" s="176">
        <f t="shared" si="76"/>
        <v>1.6268999999999999E-2</v>
      </c>
      <c r="AE126" s="49" t="s">
        <v>1296</v>
      </c>
    </row>
    <row r="127" spans="1:31" s="1" customFormat="1" ht="48" customHeight="1" outlineLevel="1" x14ac:dyDescent="0.35">
      <c r="A127" s="205"/>
      <c r="B127" s="234"/>
      <c r="C127" s="63">
        <v>44300</v>
      </c>
      <c r="D127" s="1415" t="s">
        <v>957</v>
      </c>
      <c r="E127" s="49" t="s">
        <v>1293</v>
      </c>
      <c r="F127" s="124">
        <f t="shared" si="77"/>
        <v>0</v>
      </c>
      <c r="G127" s="52">
        <f t="shared" si="67"/>
        <v>0</v>
      </c>
      <c r="H127" s="52">
        <f t="shared" si="55"/>
        <v>3.3854074409513129E-5</v>
      </c>
      <c r="I127" s="52">
        <f t="shared" si="63"/>
        <v>0</v>
      </c>
      <c r="J127" s="53">
        <f t="shared" si="68"/>
        <v>1.036913</v>
      </c>
      <c r="K127" s="165">
        <f t="shared" si="78"/>
        <v>0</v>
      </c>
      <c r="L127" s="252">
        <f t="shared" si="78"/>
        <v>0</v>
      </c>
      <c r="M127" s="252">
        <f t="shared" si="78"/>
        <v>1.036913</v>
      </c>
      <c r="N127" s="94">
        <f t="shared" si="71"/>
        <v>0</v>
      </c>
      <c r="O127" s="95" t="s">
        <v>479</v>
      </c>
      <c r="P127" s="242" t="s">
        <v>129</v>
      </c>
      <c r="Q127" s="168">
        <f t="shared" si="74"/>
        <v>0</v>
      </c>
      <c r="R127" s="75">
        <f t="shared" si="74"/>
        <v>0</v>
      </c>
      <c r="S127" s="75">
        <f t="shared" si="65"/>
        <v>-3.3854074409513128E-3</v>
      </c>
      <c r="T127" s="137">
        <f t="shared" si="65"/>
        <v>0</v>
      </c>
      <c r="U127" s="75">
        <f t="shared" si="65"/>
        <v>0</v>
      </c>
      <c r="V127" s="75">
        <f t="shared" si="65"/>
        <v>0</v>
      </c>
      <c r="W127" s="169">
        <v>0</v>
      </c>
      <c r="X127" s="248">
        <v>0</v>
      </c>
      <c r="Y127" s="250">
        <v>-1.036913</v>
      </c>
      <c r="Z127" s="134">
        <v>0</v>
      </c>
      <c r="AA127" s="207">
        <v>0</v>
      </c>
      <c r="AB127" s="207">
        <v>0</v>
      </c>
      <c r="AC127" s="176">
        <v>0</v>
      </c>
      <c r="AD127" s="176">
        <f t="shared" si="76"/>
        <v>0</v>
      </c>
      <c r="AE127" s="49" t="s">
        <v>1297</v>
      </c>
    </row>
    <row r="128" spans="1:31" s="1" customFormat="1" ht="55.5" customHeight="1" outlineLevel="1" x14ac:dyDescent="0.35">
      <c r="A128" s="205"/>
      <c r="B128" s="234"/>
      <c r="C128" s="63">
        <v>44300</v>
      </c>
      <c r="D128" s="1416"/>
      <c r="E128" s="49" t="s">
        <v>1294</v>
      </c>
      <c r="F128" s="124">
        <f t="shared" si="77"/>
        <v>0</v>
      </c>
      <c r="G128" s="52">
        <f t="shared" si="67"/>
        <v>0</v>
      </c>
      <c r="H128" s="52">
        <f t="shared" si="55"/>
        <v>1.4857263113985552E-4</v>
      </c>
      <c r="I128" s="52">
        <f t="shared" si="63"/>
        <v>0</v>
      </c>
      <c r="J128" s="53">
        <f t="shared" si="68"/>
        <v>4.5506159999999998</v>
      </c>
      <c r="K128" s="165">
        <f t="shared" si="78"/>
        <v>0</v>
      </c>
      <c r="L128" s="252">
        <f t="shared" si="78"/>
        <v>0</v>
      </c>
      <c r="M128" s="252">
        <f t="shared" si="78"/>
        <v>4.5506159999999998</v>
      </c>
      <c r="N128" s="94">
        <f t="shared" si="71"/>
        <v>0</v>
      </c>
      <c r="O128" s="95" t="s">
        <v>1003</v>
      </c>
      <c r="P128" s="242" t="s">
        <v>129</v>
      </c>
      <c r="Q128" s="168">
        <f t="shared" si="74"/>
        <v>0</v>
      </c>
      <c r="R128" s="75">
        <f t="shared" si="74"/>
        <v>0</v>
      </c>
      <c r="S128" s="75">
        <f t="shared" si="65"/>
        <v>-1.4857263113985553E-2</v>
      </c>
      <c r="T128" s="137">
        <f t="shared" si="65"/>
        <v>0</v>
      </c>
      <c r="U128" s="75">
        <f t="shared" si="65"/>
        <v>0</v>
      </c>
      <c r="V128" s="75">
        <f t="shared" si="65"/>
        <v>0</v>
      </c>
      <c r="W128" s="169">
        <v>0</v>
      </c>
      <c r="X128" s="248">
        <v>0</v>
      </c>
      <c r="Y128" s="250">
        <v>-4.5506159999999998</v>
      </c>
      <c r="Z128" s="134">
        <v>0</v>
      </c>
      <c r="AA128" s="207">
        <v>0</v>
      </c>
      <c r="AB128" s="207">
        <v>0</v>
      </c>
      <c r="AC128" s="176">
        <v>0</v>
      </c>
      <c r="AD128" s="176">
        <f t="shared" si="76"/>
        <v>0</v>
      </c>
      <c r="AE128" s="49" t="s">
        <v>1298</v>
      </c>
    </row>
    <row r="129" spans="1:31" s="1" customFormat="1" ht="148.5" customHeight="1" outlineLevel="1" x14ac:dyDescent="0.35">
      <c r="A129" s="205"/>
      <c r="B129" s="234"/>
      <c r="C129" s="63">
        <v>44306</v>
      </c>
      <c r="D129" s="233" t="s">
        <v>1380</v>
      </c>
      <c r="E129" s="49" t="s">
        <v>1381</v>
      </c>
      <c r="F129" s="124"/>
      <c r="G129" s="52">
        <f t="shared" si="67"/>
        <v>0</v>
      </c>
      <c r="H129" s="52">
        <f t="shared" si="55"/>
        <v>1.7058303108246715E-3</v>
      </c>
      <c r="I129" s="52">
        <f t="shared" si="63"/>
        <v>0</v>
      </c>
      <c r="J129" s="53">
        <f t="shared" si="68"/>
        <v>52.247703000000001</v>
      </c>
      <c r="K129" s="94">
        <f t="shared" si="78"/>
        <v>0</v>
      </c>
      <c r="L129" s="252">
        <f t="shared" si="78"/>
        <v>0</v>
      </c>
      <c r="M129" s="252">
        <f t="shared" si="78"/>
        <v>52.247703000000001</v>
      </c>
      <c r="N129" s="94">
        <f t="shared" si="71"/>
        <v>0</v>
      </c>
      <c r="O129" s="95" t="s">
        <v>479</v>
      </c>
      <c r="P129" s="242" t="s">
        <v>129</v>
      </c>
      <c r="Q129" s="75">
        <f t="shared" si="74"/>
        <v>0</v>
      </c>
      <c r="R129" s="75">
        <f t="shared" si="74"/>
        <v>0</v>
      </c>
      <c r="S129" s="75">
        <f t="shared" si="74"/>
        <v>-0.17058303108246714</v>
      </c>
      <c r="T129" s="256">
        <f t="shared" si="74"/>
        <v>0</v>
      </c>
      <c r="U129" s="75">
        <f t="shared" si="74"/>
        <v>0</v>
      </c>
      <c r="V129" s="75">
        <f t="shared" si="74"/>
        <v>0</v>
      </c>
      <c r="W129" s="207">
        <v>0</v>
      </c>
      <c r="X129" s="248">
        <v>0</v>
      </c>
      <c r="Y129" s="250">
        <v>-52.247703000000001</v>
      </c>
      <c r="Z129" s="257">
        <v>0</v>
      </c>
      <c r="AA129" s="207">
        <v>0</v>
      </c>
      <c r="AB129" s="207">
        <v>0</v>
      </c>
      <c r="AC129" s="176">
        <v>0</v>
      </c>
      <c r="AD129" s="176">
        <f t="shared" si="76"/>
        <v>0</v>
      </c>
      <c r="AE129" s="49" t="s">
        <v>1382</v>
      </c>
    </row>
    <row r="130" spans="1:31" s="1" customFormat="1" ht="55.5" customHeight="1" outlineLevel="1" x14ac:dyDescent="0.35">
      <c r="A130" s="205"/>
      <c r="B130" s="234"/>
      <c r="C130" s="63">
        <v>44306</v>
      </c>
      <c r="D130" s="233" t="s">
        <v>1380</v>
      </c>
      <c r="E130" s="49" t="s">
        <v>1381</v>
      </c>
      <c r="F130" s="124"/>
      <c r="G130" s="52">
        <f t="shared" si="67"/>
        <v>0</v>
      </c>
      <c r="H130" s="52">
        <f t="shared" si="55"/>
        <v>3.325330222836707E-3</v>
      </c>
      <c r="I130" s="52">
        <f t="shared" si="63"/>
        <v>0</v>
      </c>
      <c r="J130" s="53">
        <f t="shared" si="68"/>
        <v>101.851201</v>
      </c>
      <c r="K130" s="94">
        <f t="shared" si="78"/>
        <v>0</v>
      </c>
      <c r="L130" s="252">
        <f t="shared" si="78"/>
        <v>0</v>
      </c>
      <c r="M130" s="252">
        <f t="shared" si="78"/>
        <v>101.851201</v>
      </c>
      <c r="N130" s="94">
        <f t="shared" si="71"/>
        <v>0</v>
      </c>
      <c r="O130" s="95" t="s">
        <v>479</v>
      </c>
      <c r="P130" s="242" t="s">
        <v>129</v>
      </c>
      <c r="Q130" s="75">
        <f t="shared" si="74"/>
        <v>0</v>
      </c>
      <c r="R130" s="75">
        <f t="shared" si="74"/>
        <v>0</v>
      </c>
      <c r="S130" s="75">
        <f t="shared" si="74"/>
        <v>-0.33253302228367071</v>
      </c>
      <c r="T130" s="256">
        <f t="shared" si="74"/>
        <v>0</v>
      </c>
      <c r="U130" s="75">
        <f t="shared" si="74"/>
        <v>0</v>
      </c>
      <c r="V130" s="75">
        <f t="shared" si="74"/>
        <v>0</v>
      </c>
      <c r="W130" s="207">
        <v>0</v>
      </c>
      <c r="X130" s="248">
        <v>0</v>
      </c>
      <c r="Y130" s="250">
        <v>-101.851201</v>
      </c>
      <c r="Z130" s="257">
        <v>0</v>
      </c>
      <c r="AA130" s="207">
        <v>0</v>
      </c>
      <c r="AB130" s="207">
        <v>0</v>
      </c>
      <c r="AC130" s="176">
        <v>0</v>
      </c>
      <c r="AD130" s="176">
        <f t="shared" si="76"/>
        <v>0</v>
      </c>
      <c r="AE130" s="49" t="s">
        <v>1383</v>
      </c>
    </row>
    <row r="131" spans="1:31" s="1" customFormat="1" ht="55.5" customHeight="1" outlineLevel="1" x14ac:dyDescent="0.35">
      <c r="A131" s="205"/>
      <c r="B131" s="234"/>
      <c r="C131" s="63">
        <v>44313</v>
      </c>
      <c r="D131" s="233" t="s">
        <v>957</v>
      </c>
      <c r="E131" s="49" t="s">
        <v>1384</v>
      </c>
      <c r="F131" s="124"/>
      <c r="G131" s="52">
        <f t="shared" ref="G131:G132" si="79">L131/$R$8</f>
        <v>0</v>
      </c>
      <c r="H131" s="52">
        <f t="shared" ref="H131:H132" si="80">M131/$S$8</f>
        <v>1.7842886341178559E-3</v>
      </c>
      <c r="I131" s="52">
        <f t="shared" ref="I131:I132" si="81">N131/$U$8</f>
        <v>0</v>
      </c>
      <c r="J131" s="53">
        <f t="shared" ref="J131:J132" si="82">L131+M131+N131</f>
        <v>54.650795000000002</v>
      </c>
      <c r="K131" s="94">
        <f t="shared" ref="K131:M132" si="83">-W131</f>
        <v>0</v>
      </c>
      <c r="L131" s="252">
        <f t="shared" ref="L131" si="84">-X131</f>
        <v>0</v>
      </c>
      <c r="M131" s="252">
        <f t="shared" ref="M131" si="85">-Y131</f>
        <v>54.650795000000002</v>
      </c>
      <c r="N131" s="94">
        <f t="shared" ref="N131:N132" si="86">-AA131</f>
        <v>0</v>
      </c>
      <c r="O131" s="95" t="s">
        <v>479</v>
      </c>
      <c r="P131" s="242" t="s">
        <v>129</v>
      </c>
      <c r="Q131" s="75">
        <f t="shared" ref="Q131:V132" si="87">W131/Q$8*100</f>
        <v>0</v>
      </c>
      <c r="R131" s="75">
        <f t="shared" ref="R131" si="88">X131/R$8*100</f>
        <v>0</v>
      </c>
      <c r="S131" s="75">
        <f t="shared" ref="S131" si="89">Y131/S$8*100</f>
        <v>-0.1784288634117856</v>
      </c>
      <c r="T131" s="256">
        <f t="shared" ref="T131" si="90">Z131/T$8*100</f>
        <v>0</v>
      </c>
      <c r="U131" s="75">
        <f t="shared" ref="U131" si="91">AA131/U$8*100</f>
        <v>0</v>
      </c>
      <c r="V131" s="75">
        <f t="shared" ref="V131" si="92">AB131/V$8*100</f>
        <v>0</v>
      </c>
      <c r="W131" s="207">
        <v>0</v>
      </c>
      <c r="X131" s="248">
        <v>0</v>
      </c>
      <c r="Y131" s="250">
        <v>-54.650795000000002</v>
      </c>
      <c r="Z131" s="257">
        <v>0</v>
      </c>
      <c r="AA131" s="207">
        <v>0</v>
      </c>
      <c r="AB131" s="207">
        <v>0</v>
      </c>
      <c r="AC131" s="176">
        <v>0</v>
      </c>
      <c r="AD131" s="176">
        <f t="shared" si="76"/>
        <v>0</v>
      </c>
      <c r="AE131" s="49" t="s">
        <v>1385</v>
      </c>
    </row>
    <row r="132" spans="1:31" s="1" customFormat="1" ht="78" customHeight="1" outlineLevel="1" x14ac:dyDescent="0.35">
      <c r="A132" s="205"/>
      <c r="B132" s="234"/>
      <c r="C132" s="178">
        <v>44334</v>
      </c>
      <c r="D132" s="172" t="s">
        <v>957</v>
      </c>
      <c r="E132" s="49" t="s">
        <v>1411</v>
      </c>
      <c r="F132" s="27">
        <f t="shared" ref="F132" si="93">K132/$Q$8</f>
        <v>0</v>
      </c>
      <c r="G132" s="179">
        <f t="shared" si="79"/>
        <v>0</v>
      </c>
      <c r="H132" s="179">
        <f t="shared" si="80"/>
        <v>1.1960991778552256E-4</v>
      </c>
      <c r="I132" s="179">
        <f t="shared" si="81"/>
        <v>0</v>
      </c>
      <c r="J132" s="175">
        <f t="shared" si="82"/>
        <v>3.6635200000000001</v>
      </c>
      <c r="K132" s="183">
        <f t="shared" si="83"/>
        <v>0</v>
      </c>
      <c r="L132" s="185">
        <f t="shared" si="83"/>
        <v>0</v>
      </c>
      <c r="M132" s="185">
        <f t="shared" si="83"/>
        <v>3.6635200000000001</v>
      </c>
      <c r="N132" s="185">
        <f t="shared" si="86"/>
        <v>0</v>
      </c>
      <c r="O132" s="95" t="s">
        <v>479</v>
      </c>
      <c r="P132" s="186" t="s">
        <v>130</v>
      </c>
      <c r="Q132" s="187">
        <f t="shared" si="87"/>
        <v>0</v>
      </c>
      <c r="R132" s="188">
        <f t="shared" si="87"/>
        <v>0</v>
      </c>
      <c r="S132" s="188">
        <f t="shared" si="87"/>
        <v>-1.1960991778552256E-2</v>
      </c>
      <c r="T132" s="137">
        <f t="shared" si="87"/>
        <v>0</v>
      </c>
      <c r="U132" s="188">
        <f t="shared" si="87"/>
        <v>0</v>
      </c>
      <c r="V132" s="188">
        <f t="shared" si="87"/>
        <v>0</v>
      </c>
      <c r="W132" s="190">
        <v>0</v>
      </c>
      <c r="X132" s="176">
        <v>0</v>
      </c>
      <c r="Y132" s="191">
        <v>-3.6635200000000001</v>
      </c>
      <c r="Z132" s="134">
        <v>0</v>
      </c>
      <c r="AA132" s="176">
        <v>0</v>
      </c>
      <c r="AB132" s="176">
        <v>0</v>
      </c>
      <c r="AC132" s="176">
        <v>0</v>
      </c>
      <c r="AD132" s="176">
        <f t="shared" si="66"/>
        <v>0</v>
      </c>
      <c r="AE132" s="177"/>
    </row>
    <row r="133" spans="1:31" ht="58" outlineLevel="1" x14ac:dyDescent="0.35">
      <c r="A133" s="1303">
        <v>3</v>
      </c>
      <c r="B133" s="1305" t="s">
        <v>108</v>
      </c>
      <c r="C133" s="86" t="s">
        <v>647</v>
      </c>
      <c r="D133" s="48" t="s">
        <v>932</v>
      </c>
      <c r="E133" s="49" t="s">
        <v>933</v>
      </c>
      <c r="F133" s="124">
        <f t="shared" si="77"/>
        <v>1.2953394339221111E-5</v>
      </c>
      <c r="G133" s="52">
        <f t="shared" si="67"/>
        <v>1.244998807527264E-5</v>
      </c>
      <c r="H133" s="52">
        <f t="shared" si="55"/>
        <v>0</v>
      </c>
      <c r="I133" s="52">
        <f t="shared" si="63"/>
        <v>0</v>
      </c>
      <c r="J133" s="53">
        <f t="shared" si="68"/>
        <v>0.36520799999999998</v>
      </c>
      <c r="K133" s="165">
        <f t="shared" si="78"/>
        <v>0.36520799999999998</v>
      </c>
      <c r="L133" s="252">
        <f t="shared" si="78"/>
        <v>0.36520799999999998</v>
      </c>
      <c r="M133" s="252">
        <f t="shared" si="78"/>
        <v>0</v>
      </c>
      <c r="N133" s="94">
        <f t="shared" si="71"/>
        <v>0</v>
      </c>
      <c r="O133" s="242" t="s">
        <v>880</v>
      </c>
      <c r="P133" s="242" t="s">
        <v>129</v>
      </c>
      <c r="Q133" s="150">
        <f t="shared" si="74"/>
        <v>-1.2953394339221111E-3</v>
      </c>
      <c r="R133" s="82">
        <f t="shared" si="74"/>
        <v>-1.244998807527264E-3</v>
      </c>
      <c r="S133" s="75">
        <f t="shared" si="65"/>
        <v>0</v>
      </c>
      <c r="T133" s="137">
        <f t="shared" si="65"/>
        <v>0</v>
      </c>
      <c r="U133" s="75">
        <f t="shared" si="65"/>
        <v>0</v>
      </c>
      <c r="V133" s="75">
        <f t="shared" si="65"/>
        <v>0</v>
      </c>
      <c r="W133" s="151">
        <v>-0.36520799999999998</v>
      </c>
      <c r="X133" s="255">
        <v>-0.36520799999999998</v>
      </c>
      <c r="Y133" s="248">
        <v>0</v>
      </c>
      <c r="Z133" s="132">
        <v>0</v>
      </c>
      <c r="AA133" s="207">
        <v>0</v>
      </c>
      <c r="AB133" s="207">
        <v>0</v>
      </c>
      <c r="AC133" s="176">
        <v>0</v>
      </c>
      <c r="AD133" s="176">
        <f t="shared" si="66"/>
        <v>0</v>
      </c>
      <c r="AE133" s="51" t="s">
        <v>934</v>
      </c>
    </row>
    <row r="134" spans="1:31" ht="72" customHeight="1" outlineLevel="1" x14ac:dyDescent="0.35">
      <c r="A134" s="1307"/>
      <c r="B134" s="1308"/>
      <c r="C134" s="86">
        <v>43909</v>
      </c>
      <c r="D134" s="48" t="s">
        <v>109</v>
      </c>
      <c r="E134" s="49" t="s">
        <v>935</v>
      </c>
      <c r="F134" s="124">
        <f t="shared" si="77"/>
        <v>7.2057884656309858E-6</v>
      </c>
      <c r="G134" s="52">
        <f t="shared" si="67"/>
        <v>6.9257507430625555E-6</v>
      </c>
      <c r="H134" s="52">
        <f t="shared" si="55"/>
        <v>0</v>
      </c>
      <c r="I134" s="52">
        <f t="shared" si="63"/>
        <v>0</v>
      </c>
      <c r="J134" s="53">
        <f t="shared" si="68"/>
        <v>0.20316000000000001</v>
      </c>
      <c r="K134" s="165">
        <f t="shared" si="78"/>
        <v>0.20316000000000001</v>
      </c>
      <c r="L134" s="252">
        <f t="shared" si="78"/>
        <v>0.20316000000000001</v>
      </c>
      <c r="M134" s="252">
        <f t="shared" si="78"/>
        <v>0</v>
      </c>
      <c r="N134" s="94">
        <f t="shared" si="71"/>
        <v>0</v>
      </c>
      <c r="O134" s="95" t="s">
        <v>880</v>
      </c>
      <c r="P134" s="242" t="s">
        <v>129</v>
      </c>
      <c r="Q134" s="168">
        <f t="shared" si="74"/>
        <v>-7.2057884656309863E-4</v>
      </c>
      <c r="R134" s="75">
        <f t="shared" si="74"/>
        <v>-6.9257507430625555E-4</v>
      </c>
      <c r="S134" s="75">
        <f t="shared" si="65"/>
        <v>0</v>
      </c>
      <c r="T134" s="137">
        <f t="shared" si="65"/>
        <v>0</v>
      </c>
      <c r="U134" s="75">
        <f t="shared" si="65"/>
        <v>0</v>
      </c>
      <c r="V134" s="75">
        <f t="shared" si="65"/>
        <v>0</v>
      </c>
      <c r="W134" s="169">
        <v>-0.20316000000000001</v>
      </c>
      <c r="X134" s="248">
        <v>-0.20316000000000001</v>
      </c>
      <c r="Y134" s="248">
        <v>0</v>
      </c>
      <c r="Z134" s="132">
        <v>0</v>
      </c>
      <c r="AA134" s="207">
        <v>0</v>
      </c>
      <c r="AB134" s="207">
        <v>0</v>
      </c>
      <c r="AC134" s="176">
        <v>0</v>
      </c>
      <c r="AD134" s="176">
        <f t="shared" si="66"/>
        <v>0</v>
      </c>
      <c r="AE134" s="51" t="s">
        <v>936</v>
      </c>
    </row>
    <row r="135" spans="1:31" ht="77.25" customHeight="1" outlineLevel="1" x14ac:dyDescent="0.35">
      <c r="A135" s="1307"/>
      <c r="B135" s="1308"/>
      <c r="C135" s="86">
        <v>43914</v>
      </c>
      <c r="D135" s="49" t="s">
        <v>110</v>
      </c>
      <c r="E135" s="49" t="s">
        <v>937</v>
      </c>
      <c r="F135" s="124">
        <f t="shared" si="77"/>
        <v>8.2844576860324897E-6</v>
      </c>
      <c r="G135" s="52">
        <f t="shared" si="67"/>
        <v>7.9624997664826104E-6</v>
      </c>
      <c r="H135" s="52">
        <f t="shared" si="55"/>
        <v>0</v>
      </c>
      <c r="I135" s="52">
        <f t="shared" si="63"/>
        <v>0</v>
      </c>
      <c r="J135" s="53">
        <f t="shared" si="68"/>
        <v>0.233572</v>
      </c>
      <c r="K135" s="165">
        <f t="shared" si="78"/>
        <v>0.233572</v>
      </c>
      <c r="L135" s="252">
        <f t="shared" si="78"/>
        <v>0.233572</v>
      </c>
      <c r="M135" s="252">
        <f t="shared" si="78"/>
        <v>0</v>
      </c>
      <c r="N135" s="94">
        <f t="shared" si="71"/>
        <v>0</v>
      </c>
      <c r="O135" s="95" t="s">
        <v>880</v>
      </c>
      <c r="P135" s="242" t="s">
        <v>129</v>
      </c>
      <c r="Q135" s="168">
        <f t="shared" si="74"/>
        <v>-8.28445768603249E-4</v>
      </c>
      <c r="R135" s="75">
        <f t="shared" si="74"/>
        <v>-7.9624997664826103E-4</v>
      </c>
      <c r="S135" s="75">
        <f t="shared" si="65"/>
        <v>0</v>
      </c>
      <c r="T135" s="137">
        <f t="shared" si="65"/>
        <v>0</v>
      </c>
      <c r="U135" s="75">
        <f t="shared" si="65"/>
        <v>0</v>
      </c>
      <c r="V135" s="75">
        <f t="shared" si="65"/>
        <v>0</v>
      </c>
      <c r="W135" s="169">
        <v>-0.233572</v>
      </c>
      <c r="X135" s="248">
        <v>-0.233572</v>
      </c>
      <c r="Y135" s="248">
        <v>0</v>
      </c>
      <c r="Z135" s="132">
        <v>0</v>
      </c>
      <c r="AA135" s="207">
        <v>0</v>
      </c>
      <c r="AB135" s="207">
        <v>0</v>
      </c>
      <c r="AC135" s="176">
        <v>0</v>
      </c>
      <c r="AD135" s="176">
        <f t="shared" si="66"/>
        <v>0</v>
      </c>
      <c r="AE135" s="51" t="s">
        <v>120</v>
      </c>
    </row>
    <row r="136" spans="1:31" ht="77.25" customHeight="1" outlineLevel="1" x14ac:dyDescent="0.35">
      <c r="A136" s="1307"/>
      <c r="B136" s="1308"/>
      <c r="C136" s="63">
        <v>44082</v>
      </c>
      <c r="D136" s="48" t="s">
        <v>938</v>
      </c>
      <c r="E136" s="49" t="s">
        <v>939</v>
      </c>
      <c r="F136" s="124">
        <f t="shared" si="77"/>
        <v>7.0937078811094566E-6</v>
      </c>
      <c r="G136" s="52">
        <f t="shared" si="67"/>
        <v>6.8136623967188371E-6</v>
      </c>
      <c r="H136" s="52">
        <f t="shared" si="55"/>
        <v>9.1416935024092434E-5</v>
      </c>
      <c r="I136" s="52">
        <f t="shared" si="63"/>
        <v>0</v>
      </c>
      <c r="J136" s="53">
        <f t="shared" si="68"/>
        <v>2.9998719999999999</v>
      </c>
      <c r="K136" s="165">
        <f t="shared" si="78"/>
        <v>0.2</v>
      </c>
      <c r="L136" s="252">
        <f t="shared" si="78"/>
        <v>0.19987199999999999</v>
      </c>
      <c r="M136" s="252">
        <f t="shared" si="78"/>
        <v>2.8</v>
      </c>
      <c r="N136" s="94">
        <f t="shared" si="71"/>
        <v>0</v>
      </c>
      <c r="O136" s="95" t="s">
        <v>880</v>
      </c>
      <c r="P136" s="242" t="s">
        <v>129</v>
      </c>
      <c r="Q136" s="168">
        <f t="shared" si="74"/>
        <v>-7.0937078811094561E-4</v>
      </c>
      <c r="R136" s="75">
        <f t="shared" si="74"/>
        <v>-6.8136623967188367E-4</v>
      </c>
      <c r="S136" s="75">
        <f t="shared" si="65"/>
        <v>-9.1416935024092438E-3</v>
      </c>
      <c r="T136" s="137">
        <f t="shared" si="65"/>
        <v>-9.1416935024092438E-3</v>
      </c>
      <c r="U136" s="75">
        <f t="shared" si="65"/>
        <v>0</v>
      </c>
      <c r="V136" s="75">
        <f t="shared" si="65"/>
        <v>0</v>
      </c>
      <c r="W136" s="169">
        <v>-0.2</v>
      </c>
      <c r="X136" s="248">
        <v>-0.19987199999999999</v>
      </c>
      <c r="Y136" s="248">
        <v>-2.8</v>
      </c>
      <c r="Z136" s="132">
        <v>-2.8</v>
      </c>
      <c r="AA136" s="207">
        <v>0</v>
      </c>
      <c r="AB136" s="207">
        <v>0</v>
      </c>
      <c r="AC136" s="176">
        <f>-1.539693</f>
        <v>-1.539693</v>
      </c>
      <c r="AD136" s="176">
        <f t="shared" si="66"/>
        <v>1.539693</v>
      </c>
      <c r="AE136" s="51" t="s">
        <v>940</v>
      </c>
    </row>
    <row r="137" spans="1:31" ht="72.75" customHeight="1" outlineLevel="1" x14ac:dyDescent="0.35">
      <c r="A137" s="1307"/>
      <c r="B137" s="1308"/>
      <c r="C137" s="63">
        <v>44159</v>
      </c>
      <c r="D137" s="48" t="s">
        <v>464</v>
      </c>
      <c r="E137" s="49" t="s">
        <v>941</v>
      </c>
      <c r="F137" s="124">
        <f t="shared" si="77"/>
        <v>3.912101865645173E-5</v>
      </c>
      <c r="G137" s="52">
        <f t="shared" si="67"/>
        <v>3.7600663039385961E-5</v>
      </c>
      <c r="H137" s="52">
        <f t="shared" si="55"/>
        <v>0</v>
      </c>
      <c r="I137" s="52">
        <f t="shared" si="63"/>
        <v>0</v>
      </c>
      <c r="J137" s="53">
        <f t="shared" si="68"/>
        <v>1.102978</v>
      </c>
      <c r="K137" s="165">
        <f t="shared" si="78"/>
        <v>1.102978</v>
      </c>
      <c r="L137" s="252">
        <f t="shared" si="78"/>
        <v>1.102978</v>
      </c>
      <c r="M137" s="252">
        <f t="shared" si="78"/>
        <v>0</v>
      </c>
      <c r="N137" s="94">
        <f t="shared" si="71"/>
        <v>0</v>
      </c>
      <c r="O137" s="95" t="s">
        <v>880</v>
      </c>
      <c r="P137" s="242" t="s">
        <v>130</v>
      </c>
      <c r="Q137" s="168">
        <f t="shared" si="74"/>
        <v>-3.912101865645173E-3</v>
      </c>
      <c r="R137" s="75">
        <f t="shared" si="74"/>
        <v>-3.7600663039385959E-3</v>
      </c>
      <c r="S137" s="75">
        <f t="shared" si="65"/>
        <v>0</v>
      </c>
      <c r="T137" s="137">
        <f t="shared" si="65"/>
        <v>0</v>
      </c>
      <c r="U137" s="75">
        <f t="shared" si="65"/>
        <v>0</v>
      </c>
      <c r="V137" s="75">
        <f t="shared" si="65"/>
        <v>0</v>
      </c>
      <c r="W137" s="169">
        <v>-1.102978</v>
      </c>
      <c r="X137" s="248">
        <v>-1.102978</v>
      </c>
      <c r="Y137" s="248">
        <v>0</v>
      </c>
      <c r="Z137" s="132">
        <v>0</v>
      </c>
      <c r="AA137" s="207">
        <v>0</v>
      </c>
      <c r="AB137" s="207">
        <v>0</v>
      </c>
      <c r="AC137" s="176">
        <v>0</v>
      </c>
      <c r="AD137" s="176">
        <f t="shared" si="66"/>
        <v>0</v>
      </c>
      <c r="AE137" s="51" t="s">
        <v>120</v>
      </c>
    </row>
    <row r="138" spans="1:31" ht="121.5" customHeight="1" outlineLevel="1" x14ac:dyDescent="0.35">
      <c r="A138" s="1307"/>
      <c r="B138" s="1308"/>
      <c r="C138" s="63">
        <v>44224</v>
      </c>
      <c r="D138" s="48" t="s">
        <v>942</v>
      </c>
      <c r="E138" s="49" t="s">
        <v>943</v>
      </c>
      <c r="F138" s="124">
        <f t="shared" si="77"/>
        <v>0</v>
      </c>
      <c r="G138" s="52">
        <f t="shared" si="67"/>
        <v>0</v>
      </c>
      <c r="H138" s="52">
        <f t="shared" si="55"/>
        <v>2.0699464769913446E-4</v>
      </c>
      <c r="I138" s="52">
        <f t="shared" si="63"/>
        <v>0</v>
      </c>
      <c r="J138" s="53">
        <f t="shared" si="68"/>
        <v>6.3400179999999997</v>
      </c>
      <c r="K138" s="165">
        <f t="shared" si="78"/>
        <v>0</v>
      </c>
      <c r="L138" s="252">
        <f t="shared" si="78"/>
        <v>0</v>
      </c>
      <c r="M138" s="252">
        <f t="shared" si="78"/>
        <v>6.3400179999999997</v>
      </c>
      <c r="N138" s="94">
        <f t="shared" si="71"/>
        <v>0</v>
      </c>
      <c r="O138" s="95" t="s">
        <v>880</v>
      </c>
      <c r="P138" s="242" t="s">
        <v>130</v>
      </c>
      <c r="Q138" s="168">
        <f t="shared" si="74"/>
        <v>0</v>
      </c>
      <c r="R138" s="75">
        <f t="shared" si="74"/>
        <v>0</v>
      </c>
      <c r="S138" s="75">
        <f t="shared" si="65"/>
        <v>-2.0699464769913446E-2</v>
      </c>
      <c r="T138" s="137">
        <f t="shared" si="65"/>
        <v>-2.0699464769913446E-2</v>
      </c>
      <c r="U138" s="75">
        <f t="shared" si="65"/>
        <v>0</v>
      </c>
      <c r="V138" s="75">
        <f t="shared" si="65"/>
        <v>0</v>
      </c>
      <c r="W138" s="169">
        <v>0</v>
      </c>
      <c r="X138" s="248">
        <v>0</v>
      </c>
      <c r="Y138" s="248">
        <v>-6.3400179999999997</v>
      </c>
      <c r="Z138" s="132">
        <v>-6.3400179999999997</v>
      </c>
      <c r="AA138" s="207">
        <v>0</v>
      </c>
      <c r="AB138" s="207">
        <v>0</v>
      </c>
      <c r="AC138" s="176">
        <f>-6.332491-0.004227-0.0006-0.003478</f>
        <v>-6.340796000000001</v>
      </c>
      <c r="AD138" s="176">
        <f t="shared" si="66"/>
        <v>6.340796000000001</v>
      </c>
      <c r="AE138" s="51" t="s">
        <v>944</v>
      </c>
    </row>
    <row r="139" spans="1:31" ht="121.5" customHeight="1" outlineLevel="1" x14ac:dyDescent="0.35">
      <c r="A139" s="1307"/>
      <c r="B139" s="1308"/>
      <c r="C139" s="63">
        <v>44250</v>
      </c>
      <c r="D139" s="48" t="s">
        <v>1251</v>
      </c>
      <c r="E139" s="49" t="s">
        <v>1123</v>
      </c>
      <c r="F139" s="124">
        <f t="shared" si="77"/>
        <v>0</v>
      </c>
      <c r="G139" s="52">
        <f t="shared" si="67"/>
        <v>0</v>
      </c>
      <c r="H139" s="52">
        <f t="shared" si="55"/>
        <v>4.0196927439881542E-4</v>
      </c>
      <c r="I139" s="52">
        <f t="shared" si="63"/>
        <v>0</v>
      </c>
      <c r="J139" s="53">
        <f t="shared" si="68"/>
        <v>12.311876</v>
      </c>
      <c r="K139" s="165">
        <f t="shared" si="78"/>
        <v>0</v>
      </c>
      <c r="L139" s="252">
        <f>-X139</f>
        <v>0</v>
      </c>
      <c r="M139" s="252">
        <f t="shared" si="78"/>
        <v>12.311876</v>
      </c>
      <c r="N139" s="94">
        <f t="shared" si="71"/>
        <v>0</v>
      </c>
      <c r="O139" s="95" t="s">
        <v>880</v>
      </c>
      <c r="P139" s="242" t="s">
        <v>1118</v>
      </c>
      <c r="Q139" s="168">
        <f t="shared" si="74"/>
        <v>0</v>
      </c>
      <c r="R139" s="75">
        <f t="shared" si="74"/>
        <v>0</v>
      </c>
      <c r="S139" s="75">
        <f t="shared" si="65"/>
        <v>-4.0196927439881541E-2</v>
      </c>
      <c r="T139" s="137">
        <f t="shared" si="65"/>
        <v>-4.0196927439881541E-2</v>
      </c>
      <c r="U139" s="75">
        <f t="shared" si="65"/>
        <v>0</v>
      </c>
      <c r="V139" s="75">
        <f t="shared" si="65"/>
        <v>0</v>
      </c>
      <c r="W139" s="169">
        <v>0</v>
      </c>
      <c r="X139" s="248">
        <v>0</v>
      </c>
      <c r="Y139" s="248">
        <v>-12.311876</v>
      </c>
      <c r="Z139" s="132">
        <v>-12.311876</v>
      </c>
      <c r="AA139" s="207">
        <v>0</v>
      </c>
      <c r="AB139" s="207">
        <v>0</v>
      </c>
      <c r="AC139" s="176">
        <f>-11.976984-0.00031-0.004883-0.041036-0.003084-0.000527-0.002138-0.003387-0.002602-0.000484-0.000286-0.000311-0.000265-0.000258-0.000888-0.023758-0.002012-0.000132-0.003996-0.008277-0.0031-0.03268-0.000498-0.016912-0.000941-0.00204-0.000977-0.001297-0.001803-0.007091-0.001458-0.014874-0.006361-0.002803-0.007609-0.001589-0.001307-0.000739-0.001558-0.001474-0.014912-0.02645-0.016353-0.092531-0.012403</f>
        <v>-12.345378000000002</v>
      </c>
      <c r="AD139" s="176">
        <f t="shared" si="66"/>
        <v>12.345378000000002</v>
      </c>
      <c r="AE139" s="51" t="s">
        <v>1124</v>
      </c>
    </row>
    <row r="140" spans="1:31" ht="121.5" customHeight="1" outlineLevel="1" x14ac:dyDescent="0.35">
      <c r="A140" s="1304"/>
      <c r="B140" s="1306"/>
      <c r="C140" s="63">
        <v>44294</v>
      </c>
      <c r="D140" s="48" t="s">
        <v>957</v>
      </c>
      <c r="E140" s="49" t="s">
        <v>1299</v>
      </c>
      <c r="F140" s="124">
        <f t="shared" si="77"/>
        <v>0</v>
      </c>
      <c r="G140" s="52">
        <f t="shared" si="67"/>
        <v>0</v>
      </c>
      <c r="H140" s="52">
        <f t="shared" si="55"/>
        <v>6.9133012346998211E-5</v>
      </c>
      <c r="I140" s="52">
        <f t="shared" si="63"/>
        <v>0</v>
      </c>
      <c r="J140" s="53">
        <f t="shared" si="68"/>
        <v>2.1174680000000001</v>
      </c>
      <c r="K140" s="165">
        <f t="shared" si="78"/>
        <v>0</v>
      </c>
      <c r="L140" s="252">
        <f>-X140</f>
        <v>0</v>
      </c>
      <c r="M140" s="252">
        <f t="shared" si="78"/>
        <v>2.1174680000000001</v>
      </c>
      <c r="N140" s="94">
        <f t="shared" si="71"/>
        <v>0</v>
      </c>
      <c r="O140" s="95" t="s">
        <v>880</v>
      </c>
      <c r="P140" s="242" t="s">
        <v>127</v>
      </c>
      <c r="Q140" s="168">
        <f t="shared" si="74"/>
        <v>0</v>
      </c>
      <c r="R140" s="75">
        <f t="shared" si="74"/>
        <v>0</v>
      </c>
      <c r="S140" s="75">
        <f t="shared" si="65"/>
        <v>-6.9133012346998214E-3</v>
      </c>
      <c r="T140" s="137">
        <f t="shared" si="65"/>
        <v>0</v>
      </c>
      <c r="U140" s="75">
        <f t="shared" si="65"/>
        <v>0</v>
      </c>
      <c r="V140" s="75">
        <f t="shared" si="65"/>
        <v>0</v>
      </c>
      <c r="W140" s="169">
        <v>0</v>
      </c>
      <c r="X140" s="248">
        <v>0</v>
      </c>
      <c r="Y140" s="248">
        <v>-2.1174680000000001</v>
      </c>
      <c r="Z140" s="132">
        <v>0</v>
      </c>
      <c r="AA140" s="207">
        <v>0</v>
      </c>
      <c r="AB140" s="207">
        <v>0</v>
      </c>
      <c r="AC140" s="176">
        <f>-0.010089-0.49849-0.027541-0.0003-0.027987-0.011974-0.000336-0.0003-0.018075-0.035114-0.026037-0.044724-0.032124-0.00524-0.025644-0.015609-0.054371-0.085301-0.589985</f>
        <v>-1.5092409999999998</v>
      </c>
      <c r="AD140" s="176">
        <f t="shared" si="66"/>
        <v>1.5092409999999998</v>
      </c>
      <c r="AE140" s="51" t="s">
        <v>1300</v>
      </c>
    </row>
    <row r="141" spans="1:31" ht="61.5" customHeight="1" outlineLevel="1" x14ac:dyDescent="0.35">
      <c r="A141" s="1303">
        <v>4</v>
      </c>
      <c r="B141" s="1305" t="s">
        <v>945</v>
      </c>
      <c r="C141" s="86" t="s">
        <v>703</v>
      </c>
      <c r="D141" s="89" t="s">
        <v>10</v>
      </c>
      <c r="E141" s="49" t="s">
        <v>111</v>
      </c>
      <c r="F141" s="124">
        <f t="shared" si="77"/>
        <v>2.2345179825494785E-6</v>
      </c>
      <c r="G141" s="52">
        <f t="shared" si="67"/>
        <v>2.1476781689945905E-6</v>
      </c>
      <c r="H141" s="52">
        <f t="shared" si="55"/>
        <v>2.7751569560885207E-6</v>
      </c>
      <c r="I141" s="52">
        <f t="shared" si="63"/>
        <v>0</v>
      </c>
      <c r="J141" s="53">
        <f t="shared" si="68"/>
        <v>0.14800000000000002</v>
      </c>
      <c r="K141" s="165">
        <f t="shared" si="78"/>
        <v>6.3E-2</v>
      </c>
      <c r="L141" s="252">
        <f>-X141</f>
        <v>6.3E-2</v>
      </c>
      <c r="M141" s="252">
        <f t="shared" si="78"/>
        <v>8.5000000000000006E-2</v>
      </c>
      <c r="N141" s="94">
        <f t="shared" si="71"/>
        <v>0</v>
      </c>
      <c r="O141" s="242" t="s">
        <v>483</v>
      </c>
      <c r="P141" s="242" t="s">
        <v>127</v>
      </c>
      <c r="Q141" s="168">
        <f t="shared" si="74"/>
        <v>-2.2345179825494785E-4</v>
      </c>
      <c r="R141" s="75">
        <f t="shared" si="74"/>
        <v>-2.1476781689945906E-4</v>
      </c>
      <c r="S141" s="75">
        <f t="shared" si="65"/>
        <v>-2.7751569560885208E-4</v>
      </c>
      <c r="T141" s="137">
        <f t="shared" si="65"/>
        <v>-2.7751569560885208E-4</v>
      </c>
      <c r="U141" s="75">
        <f t="shared" si="65"/>
        <v>0</v>
      </c>
      <c r="V141" s="75">
        <f t="shared" si="65"/>
        <v>0</v>
      </c>
      <c r="W141" s="169">
        <v>-6.3E-2</v>
      </c>
      <c r="X141" s="248">
        <v>-6.3E-2</v>
      </c>
      <c r="Y141" s="248">
        <v>-8.5000000000000006E-2</v>
      </c>
      <c r="Z141" s="132">
        <v>-8.5000000000000006E-2</v>
      </c>
      <c r="AA141" s="207">
        <v>0</v>
      </c>
      <c r="AB141" s="207">
        <v>0</v>
      </c>
      <c r="AC141" s="176">
        <v>-4.4742999999999998E-2</v>
      </c>
      <c r="AD141" s="176">
        <f t="shared" si="66"/>
        <v>4.4742999999999998E-2</v>
      </c>
      <c r="AE141" s="51" t="s">
        <v>946</v>
      </c>
    </row>
    <row r="142" spans="1:31" ht="95.25" customHeight="1" outlineLevel="1" x14ac:dyDescent="0.35">
      <c r="A142" s="1307"/>
      <c r="B142" s="1308"/>
      <c r="C142" s="86">
        <v>43909</v>
      </c>
      <c r="D142" s="48" t="s">
        <v>947</v>
      </c>
      <c r="E142" s="49" t="s">
        <v>112</v>
      </c>
      <c r="F142" s="124">
        <f t="shared" si="77"/>
        <v>9.1956089948215948E-6</v>
      </c>
      <c r="G142" s="52">
        <f t="shared" si="67"/>
        <v>7.1663929683789486E-6</v>
      </c>
      <c r="H142" s="52">
        <f t="shared" si="55"/>
        <v>0</v>
      </c>
      <c r="I142" s="52">
        <f t="shared" si="63"/>
        <v>0</v>
      </c>
      <c r="J142" s="53">
        <f t="shared" si="68"/>
        <v>0.21021899999999999</v>
      </c>
      <c r="K142" s="165">
        <f t="shared" si="78"/>
        <v>0.25926100000000002</v>
      </c>
      <c r="L142" s="252">
        <f t="shared" si="78"/>
        <v>0.21021899999999999</v>
      </c>
      <c r="M142" s="252">
        <v>0</v>
      </c>
      <c r="N142" s="94">
        <v>0</v>
      </c>
      <c r="O142" s="242" t="s">
        <v>484</v>
      </c>
      <c r="P142" s="242" t="s">
        <v>129</v>
      </c>
      <c r="Q142" s="150">
        <f t="shared" si="74"/>
        <v>-9.1956089948215948E-4</v>
      </c>
      <c r="R142" s="82">
        <f t="shared" si="74"/>
        <v>-7.166392968378949E-4</v>
      </c>
      <c r="S142" s="75">
        <f t="shared" si="65"/>
        <v>0</v>
      </c>
      <c r="T142" s="137">
        <f t="shared" si="65"/>
        <v>0</v>
      </c>
      <c r="U142" s="75">
        <f t="shared" si="65"/>
        <v>0</v>
      </c>
      <c r="V142" s="75">
        <f t="shared" si="65"/>
        <v>0</v>
      </c>
      <c r="W142" s="151">
        <v>-0.25926100000000002</v>
      </c>
      <c r="X142" s="255">
        <v>-0.21021899999999999</v>
      </c>
      <c r="Y142" s="248">
        <v>0</v>
      </c>
      <c r="Z142" s="132">
        <v>0</v>
      </c>
      <c r="AA142" s="207">
        <v>0</v>
      </c>
      <c r="AB142" s="207">
        <v>0</v>
      </c>
      <c r="AC142" s="176">
        <v>0</v>
      </c>
      <c r="AD142" s="176">
        <f t="shared" si="66"/>
        <v>0</v>
      </c>
      <c r="AE142" s="51" t="s">
        <v>948</v>
      </c>
    </row>
    <row r="143" spans="1:31" ht="148.5" customHeight="1" outlineLevel="1" x14ac:dyDescent="0.35">
      <c r="A143" s="1307"/>
      <c r="B143" s="1308"/>
      <c r="C143" s="86">
        <v>43928</v>
      </c>
      <c r="D143" s="48" t="s">
        <v>949</v>
      </c>
      <c r="E143" s="49" t="s">
        <v>145</v>
      </c>
      <c r="F143" s="124">
        <f t="shared" si="77"/>
        <v>3.692019578633752E-5</v>
      </c>
      <c r="G143" s="52">
        <f t="shared" si="67"/>
        <v>3.5456359793228353E-5</v>
      </c>
      <c r="H143" s="52">
        <f t="shared" si="55"/>
        <v>0</v>
      </c>
      <c r="I143" s="52">
        <f t="shared" si="63"/>
        <v>0</v>
      </c>
      <c r="J143" s="53">
        <f t="shared" si="68"/>
        <v>1.0400769999999999</v>
      </c>
      <c r="K143" s="165">
        <f t="shared" si="78"/>
        <v>1.0409280000000001</v>
      </c>
      <c r="L143" s="252">
        <f t="shared" si="78"/>
        <v>1.0400769999999999</v>
      </c>
      <c r="M143" s="252">
        <v>0</v>
      </c>
      <c r="N143" s="94">
        <v>0</v>
      </c>
      <c r="O143" s="242" t="s">
        <v>485</v>
      </c>
      <c r="P143" s="242" t="s">
        <v>127</v>
      </c>
      <c r="Q143" s="150">
        <f t="shared" si="74"/>
        <v>-3.692019578633752E-3</v>
      </c>
      <c r="R143" s="82">
        <f t="shared" si="74"/>
        <v>-3.5456359793228352E-3</v>
      </c>
      <c r="S143" s="75">
        <f t="shared" si="65"/>
        <v>0</v>
      </c>
      <c r="T143" s="137">
        <f t="shared" si="65"/>
        <v>0</v>
      </c>
      <c r="U143" s="75">
        <f t="shared" si="65"/>
        <v>0</v>
      </c>
      <c r="V143" s="75">
        <f t="shared" si="65"/>
        <v>0</v>
      </c>
      <c r="W143" s="151">
        <v>-1.0409280000000001</v>
      </c>
      <c r="X143" s="255">
        <v>-1.0400769999999999</v>
      </c>
      <c r="Y143" s="248">
        <v>0</v>
      </c>
      <c r="Z143" s="132">
        <v>0</v>
      </c>
      <c r="AA143" s="207">
        <v>0</v>
      </c>
      <c r="AB143" s="207">
        <v>0</v>
      </c>
      <c r="AC143" s="176">
        <v>0</v>
      </c>
      <c r="AD143" s="176">
        <f t="shared" si="66"/>
        <v>0</v>
      </c>
      <c r="AE143" s="51" t="s">
        <v>321</v>
      </c>
    </row>
    <row r="144" spans="1:31" ht="72.5" outlineLevel="1" x14ac:dyDescent="0.35">
      <c r="A144" s="1307"/>
      <c r="B144" s="1308"/>
      <c r="C144" s="86">
        <v>43928</v>
      </c>
      <c r="D144" s="48" t="s">
        <v>949</v>
      </c>
      <c r="E144" s="90" t="s">
        <v>113</v>
      </c>
      <c r="F144" s="124">
        <f t="shared" si="77"/>
        <v>3.5468539405547281E-5</v>
      </c>
      <c r="G144" s="52">
        <f t="shared" si="67"/>
        <v>3.4090129666580798E-5</v>
      </c>
      <c r="H144" s="52">
        <f t="shared" ref="H144:H216" si="94">M144/$S$8</f>
        <v>0</v>
      </c>
      <c r="I144" s="52">
        <f t="shared" si="63"/>
        <v>0</v>
      </c>
      <c r="J144" s="53">
        <f t="shared" si="68"/>
        <v>1</v>
      </c>
      <c r="K144" s="165">
        <f t="shared" si="78"/>
        <v>1</v>
      </c>
      <c r="L144" s="252">
        <f t="shared" si="78"/>
        <v>1</v>
      </c>
      <c r="M144" s="252">
        <f t="shared" si="78"/>
        <v>0</v>
      </c>
      <c r="N144" s="94">
        <f t="shared" ref="N144:N151" si="95">-AA144</f>
        <v>0</v>
      </c>
      <c r="O144" s="242" t="s">
        <v>484</v>
      </c>
      <c r="P144" s="242" t="s">
        <v>127</v>
      </c>
      <c r="Q144" s="150">
        <f t="shared" si="74"/>
        <v>-3.5468539405547278E-3</v>
      </c>
      <c r="R144" s="82">
        <f t="shared" si="74"/>
        <v>-3.4090129666580799E-3</v>
      </c>
      <c r="S144" s="75">
        <f t="shared" si="65"/>
        <v>0</v>
      </c>
      <c r="T144" s="137">
        <f t="shared" si="65"/>
        <v>0</v>
      </c>
      <c r="U144" s="75">
        <f t="shared" si="65"/>
        <v>0</v>
      </c>
      <c r="V144" s="75">
        <f t="shared" si="65"/>
        <v>0</v>
      </c>
      <c r="W144" s="151">
        <v>-1</v>
      </c>
      <c r="X144" s="255">
        <v>-1</v>
      </c>
      <c r="Y144" s="248">
        <v>0</v>
      </c>
      <c r="Z144" s="132">
        <v>0</v>
      </c>
      <c r="AA144" s="207">
        <v>0</v>
      </c>
      <c r="AB144" s="207">
        <v>0</v>
      </c>
      <c r="AC144" s="176">
        <v>0</v>
      </c>
      <c r="AD144" s="176">
        <f t="shared" si="66"/>
        <v>0</v>
      </c>
      <c r="AE144" s="51" t="s">
        <v>950</v>
      </c>
    </row>
    <row r="145" spans="1:31" ht="72.5" outlineLevel="1" x14ac:dyDescent="0.35">
      <c r="A145" s="1307"/>
      <c r="B145" s="1308"/>
      <c r="C145" s="86">
        <v>43938</v>
      </c>
      <c r="D145" s="91" t="s">
        <v>148</v>
      </c>
      <c r="E145" s="90" t="s">
        <v>149</v>
      </c>
      <c r="F145" s="124">
        <f t="shared" si="77"/>
        <v>5.4945023763921396E-6</v>
      </c>
      <c r="G145" s="52">
        <f t="shared" si="67"/>
        <v>5.2809701669093647E-6</v>
      </c>
      <c r="H145" s="52">
        <f t="shared" si="94"/>
        <v>0</v>
      </c>
      <c r="I145" s="52">
        <f t="shared" si="63"/>
        <v>0</v>
      </c>
      <c r="J145" s="53">
        <f t="shared" si="68"/>
        <v>0.15491199999999999</v>
      </c>
      <c r="K145" s="165">
        <f t="shared" si="78"/>
        <v>0.15491199999999999</v>
      </c>
      <c r="L145" s="252">
        <f t="shared" si="78"/>
        <v>0.15491199999999999</v>
      </c>
      <c r="M145" s="252">
        <f t="shared" si="78"/>
        <v>0</v>
      </c>
      <c r="N145" s="94">
        <f t="shared" si="95"/>
        <v>0</v>
      </c>
      <c r="O145" s="242" t="s">
        <v>485</v>
      </c>
      <c r="P145" s="242" t="s">
        <v>127</v>
      </c>
      <c r="Q145" s="150">
        <f t="shared" si="74"/>
        <v>-5.4945023763921402E-4</v>
      </c>
      <c r="R145" s="82">
        <f t="shared" si="74"/>
        <v>-5.2809701669093644E-4</v>
      </c>
      <c r="S145" s="75">
        <f t="shared" si="65"/>
        <v>0</v>
      </c>
      <c r="T145" s="137">
        <f t="shared" si="65"/>
        <v>0</v>
      </c>
      <c r="U145" s="75">
        <f t="shared" si="65"/>
        <v>0</v>
      </c>
      <c r="V145" s="75">
        <f t="shared" si="65"/>
        <v>0</v>
      </c>
      <c r="W145" s="151">
        <v>-0.15491199999999999</v>
      </c>
      <c r="X145" s="255">
        <v>-0.15491199999999999</v>
      </c>
      <c r="Y145" s="248">
        <v>0</v>
      </c>
      <c r="Z145" s="132">
        <v>0</v>
      </c>
      <c r="AA145" s="207">
        <v>0</v>
      </c>
      <c r="AB145" s="207">
        <v>0</v>
      </c>
      <c r="AC145" s="176">
        <v>0</v>
      </c>
      <c r="AD145" s="176">
        <f t="shared" si="66"/>
        <v>0</v>
      </c>
      <c r="AE145" s="51" t="s">
        <v>120</v>
      </c>
    </row>
    <row r="146" spans="1:31" ht="101.5" outlineLevel="1" x14ac:dyDescent="0.35">
      <c r="A146" s="1307"/>
      <c r="B146" s="1308"/>
      <c r="C146" s="86">
        <v>44123</v>
      </c>
      <c r="D146" s="48" t="s">
        <v>951</v>
      </c>
      <c r="E146" s="51" t="s">
        <v>391</v>
      </c>
      <c r="F146" s="124">
        <f t="shared" si="77"/>
        <v>1.0970419238135772E-6</v>
      </c>
      <c r="G146" s="52">
        <f t="shared" si="67"/>
        <v>1.0544077105873441E-6</v>
      </c>
      <c r="H146" s="52">
        <f t="shared" si="94"/>
        <v>0</v>
      </c>
      <c r="I146" s="52">
        <f t="shared" si="63"/>
        <v>0</v>
      </c>
      <c r="J146" s="53">
        <f t="shared" si="68"/>
        <v>3.0929999999999999E-2</v>
      </c>
      <c r="K146" s="165">
        <f t="shared" si="78"/>
        <v>3.0929999999999999E-2</v>
      </c>
      <c r="L146" s="252">
        <f t="shared" si="78"/>
        <v>3.0929999999999999E-2</v>
      </c>
      <c r="M146" s="252">
        <f t="shared" si="78"/>
        <v>0</v>
      </c>
      <c r="N146" s="94">
        <f t="shared" si="95"/>
        <v>0</v>
      </c>
      <c r="O146" s="242" t="s">
        <v>484</v>
      </c>
      <c r="P146" s="242" t="s">
        <v>127</v>
      </c>
      <c r="Q146" s="150">
        <f t="shared" si="74"/>
        <v>-1.0970419238135772E-4</v>
      </c>
      <c r="R146" s="82">
        <f t="shared" si="74"/>
        <v>-1.0544077105873441E-4</v>
      </c>
      <c r="S146" s="75">
        <f t="shared" si="65"/>
        <v>0</v>
      </c>
      <c r="T146" s="137">
        <f t="shared" si="65"/>
        <v>0</v>
      </c>
      <c r="U146" s="75">
        <f t="shared" si="65"/>
        <v>0</v>
      </c>
      <c r="V146" s="75">
        <f t="shared" si="65"/>
        <v>0</v>
      </c>
      <c r="W146" s="151">
        <v>-3.0929999999999999E-2</v>
      </c>
      <c r="X146" s="255">
        <v>-3.0929999999999999E-2</v>
      </c>
      <c r="Y146" s="248">
        <v>0</v>
      </c>
      <c r="Z146" s="132">
        <v>0</v>
      </c>
      <c r="AA146" s="207">
        <v>0</v>
      </c>
      <c r="AB146" s="207">
        <v>0</v>
      </c>
      <c r="AC146" s="176">
        <v>0</v>
      </c>
      <c r="AD146" s="176">
        <f t="shared" si="66"/>
        <v>0</v>
      </c>
      <c r="AE146" s="51" t="s">
        <v>952</v>
      </c>
    </row>
    <row r="147" spans="1:31" ht="58" outlineLevel="1" x14ac:dyDescent="0.35">
      <c r="A147" s="1307"/>
      <c r="B147" s="1308"/>
      <c r="C147" s="63" t="s">
        <v>713</v>
      </c>
      <c r="D147" s="48" t="s">
        <v>1252</v>
      </c>
      <c r="E147" s="49" t="s">
        <v>953</v>
      </c>
      <c r="F147" s="124">
        <f t="shared" si="77"/>
        <v>1.5793431226502092E-6</v>
      </c>
      <c r="G147" s="52">
        <f>L147/$Q$8</f>
        <v>0</v>
      </c>
      <c r="H147" s="52">
        <f>M147/$S$8</f>
        <v>1.5328008091111043E-6</v>
      </c>
      <c r="I147" s="52">
        <f t="shared" si="63"/>
        <v>0</v>
      </c>
      <c r="J147" s="53">
        <f t="shared" si="68"/>
        <v>4.6947999999999997E-2</v>
      </c>
      <c r="K147" s="149">
        <f t="shared" si="78"/>
        <v>4.4527999999999998E-2</v>
      </c>
      <c r="L147" s="254">
        <f t="shared" si="78"/>
        <v>0</v>
      </c>
      <c r="M147" s="252">
        <f t="shared" si="78"/>
        <v>4.6947999999999997E-2</v>
      </c>
      <c r="N147" s="94">
        <f t="shared" si="95"/>
        <v>0</v>
      </c>
      <c r="O147" s="242" t="s">
        <v>486</v>
      </c>
      <c r="P147" s="242" t="s">
        <v>127</v>
      </c>
      <c r="Q147" s="150">
        <f t="shared" si="74"/>
        <v>-1.5793431226502093E-4</v>
      </c>
      <c r="R147" s="82">
        <f t="shared" si="74"/>
        <v>0</v>
      </c>
      <c r="S147" s="75">
        <f>Y147/S$8*100</f>
        <v>-1.5328008091111044E-4</v>
      </c>
      <c r="T147" s="137">
        <f>Z147/T$8*100</f>
        <v>-1.5328008091111044E-4</v>
      </c>
      <c r="U147" s="75">
        <f>AA147/U$8*100</f>
        <v>0</v>
      </c>
      <c r="V147" s="75">
        <f t="shared" si="65"/>
        <v>0</v>
      </c>
      <c r="W147" s="151">
        <v>-4.4527999999999998E-2</v>
      </c>
      <c r="X147" s="255">
        <v>0</v>
      </c>
      <c r="Y147" s="248">
        <v>-4.6947999999999997E-2</v>
      </c>
      <c r="Z147" s="132">
        <v>-4.6947999999999997E-2</v>
      </c>
      <c r="AA147" s="207">
        <v>0</v>
      </c>
      <c r="AB147" s="207">
        <v>0</v>
      </c>
      <c r="AC147" s="176">
        <v>-4.6947999999999997E-2</v>
      </c>
      <c r="AD147" s="176">
        <f t="shared" si="66"/>
        <v>4.6947999999999997E-2</v>
      </c>
      <c r="AE147" s="49" t="s">
        <v>954</v>
      </c>
    </row>
    <row r="148" spans="1:31" ht="72.5" outlineLevel="1" x14ac:dyDescent="0.35">
      <c r="A148" s="1307"/>
      <c r="B148" s="1308"/>
      <c r="C148" s="63">
        <v>44253</v>
      </c>
      <c r="D148" s="48" t="s">
        <v>1160</v>
      </c>
      <c r="E148" s="49" t="s">
        <v>1161</v>
      </c>
      <c r="F148" s="124">
        <f t="shared" si="77"/>
        <v>0</v>
      </c>
      <c r="G148" s="52">
        <f>L148/$Q$8</f>
        <v>0</v>
      </c>
      <c r="H148" s="52">
        <f>M148/$S$8</f>
        <v>1.0638211582987393E-4</v>
      </c>
      <c r="I148" s="52">
        <f t="shared" si="63"/>
        <v>0</v>
      </c>
      <c r="J148" s="53">
        <f t="shared" si="68"/>
        <v>3.2583669999999998</v>
      </c>
      <c r="K148" s="149">
        <f t="shared" si="78"/>
        <v>0</v>
      </c>
      <c r="L148" s="254">
        <f t="shared" si="78"/>
        <v>0</v>
      </c>
      <c r="M148" s="252">
        <f t="shared" si="78"/>
        <v>3.2583669999999998</v>
      </c>
      <c r="N148" s="94">
        <f t="shared" si="95"/>
        <v>0</v>
      </c>
      <c r="O148" s="242" t="s">
        <v>1163</v>
      </c>
      <c r="P148" s="242" t="s">
        <v>127</v>
      </c>
      <c r="Q148" s="150">
        <f t="shared" si="74"/>
        <v>0</v>
      </c>
      <c r="R148" s="82">
        <f t="shared" si="74"/>
        <v>0</v>
      </c>
      <c r="S148" s="75">
        <f t="shared" si="74"/>
        <v>-1.0638211582987393E-2</v>
      </c>
      <c r="T148" s="137">
        <f t="shared" si="74"/>
        <v>-1.0638211582987393E-2</v>
      </c>
      <c r="U148" s="75">
        <f t="shared" si="74"/>
        <v>0</v>
      </c>
      <c r="V148" s="75">
        <f t="shared" si="65"/>
        <v>0</v>
      </c>
      <c r="W148" s="151">
        <v>0</v>
      </c>
      <c r="X148" s="255">
        <v>0</v>
      </c>
      <c r="Y148" s="248">
        <v>-3.2583669999999998</v>
      </c>
      <c r="Z148" s="132">
        <v>-3.2583669999999998</v>
      </c>
      <c r="AA148" s="207">
        <v>0</v>
      </c>
      <c r="AB148" s="207">
        <v>0</v>
      </c>
      <c r="AC148" s="176">
        <v>0</v>
      </c>
      <c r="AD148" s="176">
        <f t="shared" si="66"/>
        <v>0</v>
      </c>
      <c r="AE148" s="49" t="s">
        <v>1162</v>
      </c>
    </row>
    <row r="149" spans="1:31" ht="77.25" customHeight="1" outlineLevel="1" x14ac:dyDescent="0.35">
      <c r="A149" s="1307"/>
      <c r="B149" s="1308"/>
      <c r="C149" s="63">
        <v>44260</v>
      </c>
      <c r="D149" s="48" t="s">
        <v>1253</v>
      </c>
      <c r="E149" s="49" t="s">
        <v>1174</v>
      </c>
      <c r="F149" s="124">
        <f t="shared" si="77"/>
        <v>0</v>
      </c>
      <c r="G149" s="52">
        <f>L149/$Q$8</f>
        <v>0</v>
      </c>
      <c r="H149" s="52">
        <f>M149/$S$8</f>
        <v>3.8695809128537359E-6</v>
      </c>
      <c r="I149" s="52">
        <f t="shared" si="63"/>
        <v>0</v>
      </c>
      <c r="J149" s="53">
        <f t="shared" si="68"/>
        <v>0.118521</v>
      </c>
      <c r="K149" s="149">
        <f t="shared" si="78"/>
        <v>0</v>
      </c>
      <c r="L149" s="254">
        <f t="shared" si="78"/>
        <v>0</v>
      </c>
      <c r="M149" s="252">
        <f t="shared" si="78"/>
        <v>0.118521</v>
      </c>
      <c r="N149" s="94">
        <f t="shared" si="95"/>
        <v>0</v>
      </c>
      <c r="O149" s="242" t="s">
        <v>459</v>
      </c>
      <c r="P149" s="242" t="s">
        <v>127</v>
      </c>
      <c r="Q149" s="150">
        <f t="shared" si="74"/>
        <v>0</v>
      </c>
      <c r="R149" s="82">
        <f t="shared" si="74"/>
        <v>0</v>
      </c>
      <c r="S149" s="75">
        <f t="shared" si="74"/>
        <v>-3.8695809128537359E-4</v>
      </c>
      <c r="T149" s="137">
        <f t="shared" si="74"/>
        <v>-3.8695809128537359E-4</v>
      </c>
      <c r="U149" s="75">
        <f t="shared" si="74"/>
        <v>0</v>
      </c>
      <c r="V149" s="75">
        <f t="shared" si="65"/>
        <v>0</v>
      </c>
      <c r="W149" s="151">
        <v>0</v>
      </c>
      <c r="X149" s="255">
        <v>0</v>
      </c>
      <c r="Y149" s="248">
        <v>-0.118521</v>
      </c>
      <c r="Z149" s="132">
        <v>-0.118521</v>
      </c>
      <c r="AA149" s="207">
        <v>0</v>
      </c>
      <c r="AB149" s="207">
        <v>0</v>
      </c>
      <c r="AC149" s="176">
        <v>0</v>
      </c>
      <c r="AD149" s="176">
        <f t="shared" si="66"/>
        <v>0</v>
      </c>
      <c r="AE149" s="49" t="s">
        <v>1175</v>
      </c>
    </row>
    <row r="150" spans="1:31" ht="77.25" customHeight="1" outlineLevel="1" x14ac:dyDescent="0.35">
      <c r="A150" s="1307"/>
      <c r="B150" s="1308"/>
      <c r="C150" s="63">
        <v>44265</v>
      </c>
      <c r="D150" s="48" t="s">
        <v>1254</v>
      </c>
      <c r="E150" s="49" t="s">
        <v>1255</v>
      </c>
      <c r="F150" s="124">
        <f t="shared" si="77"/>
        <v>0</v>
      </c>
      <c r="G150" s="52">
        <f>L150/$Q$8</f>
        <v>0</v>
      </c>
      <c r="H150" s="52">
        <f>M150/$S$8</f>
        <v>1.077413877069661E-5</v>
      </c>
      <c r="I150" s="52">
        <f t="shared" si="63"/>
        <v>0</v>
      </c>
      <c r="J150" s="53">
        <f t="shared" si="68"/>
        <v>0.33</v>
      </c>
      <c r="K150" s="149">
        <f t="shared" si="78"/>
        <v>0</v>
      </c>
      <c r="L150" s="254">
        <f t="shared" si="78"/>
        <v>0</v>
      </c>
      <c r="M150" s="252">
        <f t="shared" si="78"/>
        <v>0.33</v>
      </c>
      <c r="N150" s="94">
        <f t="shared" si="95"/>
        <v>0</v>
      </c>
      <c r="O150" s="242" t="s">
        <v>483</v>
      </c>
      <c r="P150" s="242" t="s">
        <v>127</v>
      </c>
      <c r="Q150" s="150">
        <f t="shared" si="74"/>
        <v>0</v>
      </c>
      <c r="R150" s="82">
        <f t="shared" si="74"/>
        <v>0</v>
      </c>
      <c r="S150" s="75">
        <f t="shared" si="74"/>
        <v>-1.077413877069661E-3</v>
      </c>
      <c r="T150" s="137">
        <f t="shared" si="74"/>
        <v>-1.077413877069661E-3</v>
      </c>
      <c r="U150" s="75">
        <f t="shared" si="74"/>
        <v>0</v>
      </c>
      <c r="V150" s="75">
        <f t="shared" si="65"/>
        <v>0</v>
      </c>
      <c r="W150" s="151">
        <v>0</v>
      </c>
      <c r="X150" s="255">
        <v>0</v>
      </c>
      <c r="Y150" s="248">
        <v>-0.33</v>
      </c>
      <c r="Z150" s="132">
        <v>-0.33</v>
      </c>
      <c r="AA150" s="207">
        <v>0</v>
      </c>
      <c r="AB150" s="207">
        <v>0</v>
      </c>
      <c r="AC150" s="176">
        <v>0</v>
      </c>
      <c r="AD150" s="176">
        <f t="shared" si="66"/>
        <v>0</v>
      </c>
      <c r="AE150" s="49" t="s">
        <v>1256</v>
      </c>
    </row>
    <row r="151" spans="1:31" ht="77.25" customHeight="1" outlineLevel="1" x14ac:dyDescent="0.35">
      <c r="A151" s="1304"/>
      <c r="B151" s="1306"/>
      <c r="C151" s="63">
        <v>44287</v>
      </c>
      <c r="D151" s="48" t="s">
        <v>1301</v>
      </c>
      <c r="E151" s="49" t="s">
        <v>1302</v>
      </c>
      <c r="F151" s="124">
        <f>K151/$Q$8</f>
        <v>0</v>
      </c>
      <c r="G151" s="52">
        <f>L151/$R$8</f>
        <v>0</v>
      </c>
      <c r="H151" s="52">
        <f>M151/$S$8</f>
        <v>9.1061061955605796E-7</v>
      </c>
      <c r="I151" s="52">
        <f t="shared" si="63"/>
        <v>0</v>
      </c>
      <c r="J151" s="53">
        <f t="shared" si="68"/>
        <v>2.7890999999999999E-2</v>
      </c>
      <c r="K151" s="149">
        <f t="shared" si="78"/>
        <v>0</v>
      </c>
      <c r="L151" s="254">
        <f t="shared" si="78"/>
        <v>0</v>
      </c>
      <c r="M151" s="252">
        <f t="shared" si="78"/>
        <v>2.7890999999999999E-2</v>
      </c>
      <c r="N151" s="94">
        <f t="shared" si="95"/>
        <v>0</v>
      </c>
      <c r="O151" s="242" t="s">
        <v>486</v>
      </c>
      <c r="P151" s="242" t="s">
        <v>127</v>
      </c>
      <c r="Q151" s="150">
        <f t="shared" si="74"/>
        <v>0</v>
      </c>
      <c r="R151" s="82">
        <f t="shared" si="74"/>
        <v>0</v>
      </c>
      <c r="S151" s="75">
        <f t="shared" si="74"/>
        <v>-9.1061061955605794E-5</v>
      </c>
      <c r="T151" s="137">
        <f t="shared" si="74"/>
        <v>0</v>
      </c>
      <c r="U151" s="75">
        <f t="shared" si="74"/>
        <v>0</v>
      </c>
      <c r="V151" s="75">
        <f t="shared" si="65"/>
        <v>0</v>
      </c>
      <c r="W151" s="151">
        <v>0</v>
      </c>
      <c r="X151" s="255">
        <v>0</v>
      </c>
      <c r="Y151" s="248">
        <v>-2.7890999999999999E-2</v>
      </c>
      <c r="Z151" s="132">
        <v>0</v>
      </c>
      <c r="AA151" s="207">
        <v>0</v>
      </c>
      <c r="AB151" s="207">
        <v>0</v>
      </c>
      <c r="AC151" s="176">
        <v>-2.6759000000000002E-2</v>
      </c>
      <c r="AD151" s="176">
        <f t="shared" si="66"/>
        <v>2.6759000000000002E-2</v>
      </c>
      <c r="AE151" s="49" t="s">
        <v>1303</v>
      </c>
    </row>
    <row r="152" spans="1:31" ht="150" customHeight="1" outlineLevel="1" x14ac:dyDescent="0.35">
      <c r="A152" s="92">
        <v>5</v>
      </c>
      <c r="B152" s="171" t="s">
        <v>955</v>
      </c>
      <c r="C152" s="86" t="s">
        <v>498</v>
      </c>
      <c r="D152" s="48" t="s">
        <v>114</v>
      </c>
      <c r="E152" s="49" t="s">
        <v>115</v>
      </c>
      <c r="F152" s="124">
        <f t="shared" si="77"/>
        <v>0</v>
      </c>
      <c r="G152" s="52">
        <f t="shared" ref="G152:G229" si="96">L152/$R$8</f>
        <v>0</v>
      </c>
      <c r="H152" s="52">
        <f t="shared" si="94"/>
        <v>0</v>
      </c>
      <c r="I152" s="52">
        <f t="shared" si="63"/>
        <v>0</v>
      </c>
      <c r="J152" s="53">
        <f t="shared" si="68"/>
        <v>0</v>
      </c>
      <c r="K152" s="149">
        <v>0</v>
      </c>
      <c r="L152" s="254">
        <f t="shared" si="78"/>
        <v>0</v>
      </c>
      <c r="M152" s="252">
        <v>0</v>
      </c>
      <c r="N152" s="94">
        <v>0</v>
      </c>
      <c r="O152" s="242" t="s">
        <v>185</v>
      </c>
      <c r="P152" s="242" t="s">
        <v>127</v>
      </c>
      <c r="Q152" s="150">
        <f t="shared" si="74"/>
        <v>0</v>
      </c>
      <c r="R152" s="82">
        <f t="shared" si="74"/>
        <v>0</v>
      </c>
      <c r="S152" s="75">
        <f t="shared" si="65"/>
        <v>0</v>
      </c>
      <c r="T152" s="137">
        <f t="shared" si="74"/>
        <v>0</v>
      </c>
      <c r="U152" s="75">
        <f t="shared" si="65"/>
        <v>0</v>
      </c>
      <c r="V152" s="75">
        <f t="shared" si="65"/>
        <v>0</v>
      </c>
      <c r="W152" s="151">
        <v>0</v>
      </c>
      <c r="X152" s="255">
        <v>0</v>
      </c>
      <c r="Y152" s="248">
        <v>0</v>
      </c>
      <c r="Z152" s="132">
        <v>0</v>
      </c>
      <c r="AA152" s="207">
        <v>0</v>
      </c>
      <c r="AB152" s="207">
        <v>0</v>
      </c>
      <c r="AC152" s="176">
        <v>0</v>
      </c>
      <c r="AD152" s="176">
        <f t="shared" si="66"/>
        <v>0</v>
      </c>
      <c r="AE152" s="51" t="s">
        <v>956</v>
      </c>
    </row>
    <row r="153" spans="1:31" ht="171.75" customHeight="1" outlineLevel="1" x14ac:dyDescent="0.35">
      <c r="A153" s="1303">
        <v>6</v>
      </c>
      <c r="B153" s="1305" t="s">
        <v>116</v>
      </c>
      <c r="C153" s="63">
        <v>43938</v>
      </c>
      <c r="D153" s="93" t="s">
        <v>151</v>
      </c>
      <c r="E153" s="49" t="s">
        <v>117</v>
      </c>
      <c r="F153" s="124">
        <f t="shared" si="77"/>
        <v>1.6138185429524013E-3</v>
      </c>
      <c r="G153" s="52">
        <f t="shared" si="96"/>
        <v>1.2797697170832865E-3</v>
      </c>
      <c r="H153" s="52">
        <f t="shared" si="94"/>
        <v>0</v>
      </c>
      <c r="I153" s="52">
        <f t="shared" si="63"/>
        <v>0</v>
      </c>
      <c r="J153" s="53">
        <f t="shared" si="68"/>
        <v>37.540770000000002</v>
      </c>
      <c r="K153" s="149">
        <f t="shared" ref="K153:M180" si="97">-W153</f>
        <v>45.5</v>
      </c>
      <c r="L153" s="254">
        <f t="shared" si="97"/>
        <v>37.540770000000002</v>
      </c>
      <c r="M153" s="252">
        <f t="shared" si="97"/>
        <v>0</v>
      </c>
      <c r="N153" s="94">
        <f t="shared" ref="N153:N225" si="98">-AA153</f>
        <v>0</v>
      </c>
      <c r="O153" s="242" t="s">
        <v>186</v>
      </c>
      <c r="P153" s="242" t="s">
        <v>131</v>
      </c>
      <c r="Q153" s="150">
        <f t="shared" si="74"/>
        <v>-0.16138185429524013</v>
      </c>
      <c r="R153" s="82">
        <f t="shared" si="74"/>
        <v>-0.12797697170832864</v>
      </c>
      <c r="S153" s="75">
        <f t="shared" si="65"/>
        <v>0</v>
      </c>
      <c r="T153" s="137">
        <f t="shared" si="74"/>
        <v>0</v>
      </c>
      <c r="U153" s="75">
        <f t="shared" si="65"/>
        <v>0</v>
      </c>
      <c r="V153" s="75">
        <f t="shared" si="65"/>
        <v>0</v>
      </c>
      <c r="W153" s="151">
        <v>-45.5</v>
      </c>
      <c r="X153" s="255">
        <v>-37.540770000000002</v>
      </c>
      <c r="Y153" s="248">
        <v>0</v>
      </c>
      <c r="Z153" s="132">
        <v>0</v>
      </c>
      <c r="AA153" s="207">
        <v>0</v>
      </c>
      <c r="AB153" s="207">
        <v>0</v>
      </c>
      <c r="AC153" s="176">
        <v>0</v>
      </c>
      <c r="AD153" s="176">
        <f t="shared" si="66"/>
        <v>0</v>
      </c>
      <c r="AE153" s="51" t="s">
        <v>121</v>
      </c>
    </row>
    <row r="154" spans="1:31" ht="171.75" customHeight="1" outlineLevel="1" x14ac:dyDescent="0.35">
      <c r="A154" s="1304"/>
      <c r="B154" s="1306"/>
      <c r="C154" s="63">
        <v>44244</v>
      </c>
      <c r="D154" s="93" t="s">
        <v>1257</v>
      </c>
      <c r="E154" s="49" t="s">
        <v>958</v>
      </c>
      <c r="F154" s="124">
        <f t="shared" si="77"/>
        <v>0</v>
      </c>
      <c r="G154" s="52">
        <f t="shared" si="96"/>
        <v>0</v>
      </c>
      <c r="H154" s="52">
        <f t="shared" si="94"/>
        <v>1.4855251941415023E-3</v>
      </c>
      <c r="I154" s="52">
        <f t="shared" si="63"/>
        <v>0</v>
      </c>
      <c r="J154" s="53">
        <f t="shared" si="68"/>
        <v>45.5</v>
      </c>
      <c r="K154" s="149">
        <f t="shared" si="97"/>
        <v>0</v>
      </c>
      <c r="L154" s="254">
        <f t="shared" si="97"/>
        <v>0</v>
      </c>
      <c r="M154" s="252">
        <f t="shared" si="97"/>
        <v>45.5</v>
      </c>
      <c r="N154" s="94">
        <f t="shared" si="98"/>
        <v>0</v>
      </c>
      <c r="O154" s="242" t="s">
        <v>186</v>
      </c>
      <c r="P154" s="242" t="s">
        <v>131</v>
      </c>
      <c r="Q154" s="150">
        <f t="shared" si="74"/>
        <v>0</v>
      </c>
      <c r="R154" s="82">
        <f t="shared" si="74"/>
        <v>0</v>
      </c>
      <c r="S154" s="75">
        <f t="shared" si="65"/>
        <v>-0.14855251941415024</v>
      </c>
      <c r="T154" s="137">
        <f t="shared" si="74"/>
        <v>-0.14855251941415024</v>
      </c>
      <c r="U154" s="75">
        <f t="shared" si="65"/>
        <v>0</v>
      </c>
      <c r="V154" s="75">
        <f t="shared" si="65"/>
        <v>0</v>
      </c>
      <c r="W154" s="151">
        <v>0</v>
      </c>
      <c r="X154" s="255">
        <v>0</v>
      </c>
      <c r="Y154" s="248">
        <v>-45.5</v>
      </c>
      <c r="Z154" s="132">
        <v>-45.5</v>
      </c>
      <c r="AA154" s="207">
        <v>0</v>
      </c>
      <c r="AB154" s="207">
        <v>0</v>
      </c>
      <c r="AC154" s="176">
        <v>0</v>
      </c>
      <c r="AD154" s="176">
        <f t="shared" ref="AD154:AD202" si="99">-AC154</f>
        <v>0</v>
      </c>
      <c r="AE154" s="51" t="s">
        <v>959</v>
      </c>
    </row>
    <row r="155" spans="1:31" ht="74.25" customHeight="1" outlineLevel="1" x14ac:dyDescent="0.35">
      <c r="A155" s="1303">
        <v>7</v>
      </c>
      <c r="B155" s="1305" t="s">
        <v>320</v>
      </c>
      <c r="C155" s="63">
        <v>44056</v>
      </c>
      <c r="D155" s="93" t="s">
        <v>960</v>
      </c>
      <c r="E155" s="90" t="s">
        <v>961</v>
      </c>
      <c r="F155" s="124">
        <f t="shared" si="77"/>
        <v>2.3661169043058806E-5</v>
      </c>
      <c r="G155" s="52">
        <f t="shared" si="96"/>
        <v>2.2741627770965052E-5</v>
      </c>
      <c r="H155" s="52">
        <f t="shared" si="94"/>
        <v>0</v>
      </c>
      <c r="I155" s="52">
        <f t="shared" si="63"/>
        <v>0</v>
      </c>
      <c r="J155" s="53">
        <f t="shared" si="68"/>
        <v>0.667103</v>
      </c>
      <c r="K155" s="149">
        <f t="shared" si="97"/>
        <v>0.667103</v>
      </c>
      <c r="L155" s="254">
        <f t="shared" si="97"/>
        <v>0.667103</v>
      </c>
      <c r="M155" s="252">
        <f t="shared" si="97"/>
        <v>0</v>
      </c>
      <c r="N155" s="94">
        <f t="shared" si="98"/>
        <v>0</v>
      </c>
      <c r="O155" s="242" t="s">
        <v>480</v>
      </c>
      <c r="P155" s="242" t="s">
        <v>130</v>
      </c>
      <c r="Q155" s="150">
        <f t="shared" si="74"/>
        <v>-2.3661169043058808E-3</v>
      </c>
      <c r="R155" s="82">
        <f t="shared" si="74"/>
        <v>-2.2741627770965053E-3</v>
      </c>
      <c r="S155" s="75">
        <f t="shared" si="65"/>
        <v>0</v>
      </c>
      <c r="T155" s="137">
        <f t="shared" si="74"/>
        <v>0</v>
      </c>
      <c r="U155" s="75">
        <f t="shared" si="65"/>
        <v>0</v>
      </c>
      <c r="V155" s="75">
        <f t="shared" si="65"/>
        <v>0</v>
      </c>
      <c r="W155" s="151">
        <v>-0.667103</v>
      </c>
      <c r="X155" s="255">
        <v>-0.667103</v>
      </c>
      <c r="Y155" s="248">
        <v>0</v>
      </c>
      <c r="Z155" s="132">
        <v>0</v>
      </c>
      <c r="AA155" s="207">
        <v>0</v>
      </c>
      <c r="AB155" s="207">
        <v>0</v>
      </c>
      <c r="AC155" s="176">
        <v>0</v>
      </c>
      <c r="AD155" s="176">
        <f t="shared" si="99"/>
        <v>0</v>
      </c>
      <c r="AE155" s="84" t="s">
        <v>962</v>
      </c>
    </row>
    <row r="156" spans="1:31" ht="167.25" customHeight="1" outlineLevel="1" x14ac:dyDescent="0.35">
      <c r="A156" s="1307"/>
      <c r="B156" s="1308"/>
      <c r="C156" s="63" t="s">
        <v>644</v>
      </c>
      <c r="D156" s="93" t="s">
        <v>963</v>
      </c>
      <c r="E156" s="90" t="s">
        <v>465</v>
      </c>
      <c r="F156" s="124">
        <f t="shared" si="77"/>
        <v>2.4877385259275026E-5</v>
      </c>
      <c r="G156" s="52">
        <f t="shared" si="96"/>
        <v>2.3910578317232108E-5</v>
      </c>
      <c r="H156" s="52">
        <f>M156/$S$8</f>
        <v>0</v>
      </c>
      <c r="I156" s="52">
        <f t="shared" si="63"/>
        <v>0</v>
      </c>
      <c r="J156" s="53">
        <f t="shared" si="68"/>
        <v>0.70139300000000004</v>
      </c>
      <c r="K156" s="149">
        <f t="shared" si="97"/>
        <v>0.70139300000000004</v>
      </c>
      <c r="L156" s="254">
        <f>-X156</f>
        <v>0.70139300000000004</v>
      </c>
      <c r="M156" s="252">
        <f t="shared" si="97"/>
        <v>0</v>
      </c>
      <c r="N156" s="94">
        <f t="shared" si="98"/>
        <v>0</v>
      </c>
      <c r="O156" s="242" t="s">
        <v>480</v>
      </c>
      <c r="P156" s="242" t="s">
        <v>130</v>
      </c>
      <c r="Q156" s="150">
        <f t="shared" si="74"/>
        <v>-2.4877385259275027E-3</v>
      </c>
      <c r="R156" s="82">
        <f t="shared" si="74"/>
        <v>-2.391057831723211E-3</v>
      </c>
      <c r="S156" s="75">
        <f>Y156/S$8*100</f>
        <v>0</v>
      </c>
      <c r="T156" s="137">
        <f>Z156/T$8*100</f>
        <v>0</v>
      </c>
      <c r="U156" s="75">
        <f>AA156/U$8*100</f>
        <v>0</v>
      </c>
      <c r="V156" s="75">
        <f t="shared" si="65"/>
        <v>0</v>
      </c>
      <c r="W156" s="151">
        <v>-0.70139300000000004</v>
      </c>
      <c r="X156" s="255">
        <v>-0.70139300000000004</v>
      </c>
      <c r="Y156" s="248">
        <v>0</v>
      </c>
      <c r="Z156" s="132">
        <v>0</v>
      </c>
      <c r="AA156" s="207">
        <v>0</v>
      </c>
      <c r="AB156" s="207">
        <v>0</v>
      </c>
      <c r="AC156" s="176">
        <v>0</v>
      </c>
      <c r="AD156" s="176">
        <f t="shared" si="99"/>
        <v>0</v>
      </c>
      <c r="AE156" s="51" t="s">
        <v>1258</v>
      </c>
    </row>
    <row r="157" spans="1:31" ht="167.25" customHeight="1" outlineLevel="1" x14ac:dyDescent="0.35">
      <c r="A157" s="1307"/>
      <c r="B157" s="1308"/>
      <c r="C157" s="63">
        <v>44232</v>
      </c>
      <c r="D157" s="93" t="s">
        <v>964</v>
      </c>
      <c r="E157" s="90" t="s">
        <v>965</v>
      </c>
      <c r="F157" s="124">
        <f t="shared" si="77"/>
        <v>0</v>
      </c>
      <c r="G157" s="52">
        <f t="shared" si="96"/>
        <v>0</v>
      </c>
      <c r="H157" s="52">
        <f>M157/$S$8</f>
        <v>3.4702292970915249E-5</v>
      </c>
      <c r="I157" s="52">
        <f t="shared" si="63"/>
        <v>0</v>
      </c>
      <c r="J157" s="53">
        <f>L157+M157+N157</f>
        <v>1.0628930000000001</v>
      </c>
      <c r="K157" s="149">
        <f t="shared" si="97"/>
        <v>0</v>
      </c>
      <c r="L157" s="254">
        <f t="shared" si="97"/>
        <v>0</v>
      </c>
      <c r="M157" s="252">
        <f t="shared" si="97"/>
        <v>1.0628930000000001</v>
      </c>
      <c r="N157" s="94">
        <f t="shared" si="98"/>
        <v>0</v>
      </c>
      <c r="O157" s="242" t="s">
        <v>480</v>
      </c>
      <c r="P157" s="242" t="s">
        <v>130</v>
      </c>
      <c r="Q157" s="150">
        <f t="shared" si="74"/>
        <v>0</v>
      </c>
      <c r="R157" s="82">
        <f t="shared" si="74"/>
        <v>0</v>
      </c>
      <c r="S157" s="75">
        <f t="shared" si="74"/>
        <v>-3.470229297091525E-3</v>
      </c>
      <c r="T157" s="137">
        <f t="shared" si="74"/>
        <v>-3.470229297091525E-3</v>
      </c>
      <c r="U157" s="75">
        <f t="shared" si="74"/>
        <v>0</v>
      </c>
      <c r="V157" s="75">
        <f t="shared" si="65"/>
        <v>0</v>
      </c>
      <c r="W157" s="151">
        <v>0</v>
      </c>
      <c r="X157" s="255">
        <v>0</v>
      </c>
      <c r="Y157" s="248">
        <f>-1.062893</f>
        <v>-1.0628930000000001</v>
      </c>
      <c r="Z157" s="132">
        <f>-1.062893</f>
        <v>-1.0628930000000001</v>
      </c>
      <c r="AA157" s="207">
        <v>0</v>
      </c>
      <c r="AB157" s="207">
        <v>0</v>
      </c>
      <c r="AC157" s="232">
        <v>-1.0628930000000001</v>
      </c>
      <c r="AD157" s="232">
        <f>-AC157</f>
        <v>1.0628930000000001</v>
      </c>
      <c r="AE157" s="51" t="s">
        <v>1259</v>
      </c>
    </row>
    <row r="158" spans="1:31" ht="94.5" customHeight="1" outlineLevel="1" x14ac:dyDescent="0.35">
      <c r="A158" s="1307"/>
      <c r="B158" s="1308"/>
      <c r="C158" s="63">
        <v>44260</v>
      </c>
      <c r="D158" s="93" t="s">
        <v>1260</v>
      </c>
      <c r="E158" s="90" t="s">
        <v>1261</v>
      </c>
      <c r="F158" s="124">
        <f t="shared" si="77"/>
        <v>0</v>
      </c>
      <c r="G158" s="52">
        <f t="shared" si="96"/>
        <v>0</v>
      </c>
      <c r="H158" s="52">
        <f t="shared" ref="H158:H161" si="100">M158/$S$8</f>
        <v>3.7261901853779103E-5</v>
      </c>
      <c r="I158" s="52">
        <f t="shared" si="63"/>
        <v>0</v>
      </c>
      <c r="J158" s="53">
        <f t="shared" ref="J158:J161" si="101">L158+M158+N158</f>
        <v>1.1412910000000001</v>
      </c>
      <c r="K158" s="149">
        <f t="shared" si="97"/>
        <v>0</v>
      </c>
      <c r="L158" s="254">
        <f t="shared" si="97"/>
        <v>0</v>
      </c>
      <c r="M158" s="252">
        <f t="shared" si="97"/>
        <v>1.1412910000000001</v>
      </c>
      <c r="N158" s="94">
        <f t="shared" si="98"/>
        <v>0</v>
      </c>
      <c r="O158" s="242" t="s">
        <v>480</v>
      </c>
      <c r="P158" s="242" t="s">
        <v>130</v>
      </c>
      <c r="Q158" s="150">
        <f>W158/Q$8*100</f>
        <v>0</v>
      </c>
      <c r="R158" s="82">
        <f>X158/R$8*100</f>
        <v>0</v>
      </c>
      <c r="S158" s="75">
        <f t="shared" si="74"/>
        <v>-3.7261901853779104E-3</v>
      </c>
      <c r="T158" s="137">
        <f t="shared" si="74"/>
        <v>-3.7261901853779104E-3</v>
      </c>
      <c r="U158" s="75">
        <f t="shared" si="74"/>
        <v>0</v>
      </c>
      <c r="V158" s="75">
        <f t="shared" si="65"/>
        <v>0</v>
      </c>
      <c r="W158" s="151">
        <v>0</v>
      </c>
      <c r="X158" s="255">
        <v>0</v>
      </c>
      <c r="Y158" s="248">
        <f>-1.141291</f>
        <v>-1.1412910000000001</v>
      </c>
      <c r="Z158" s="132">
        <f>-1.141291</f>
        <v>-1.1412910000000001</v>
      </c>
      <c r="AA158" s="207">
        <v>0</v>
      </c>
      <c r="AB158" s="207">
        <v>0</v>
      </c>
      <c r="AC158" s="232">
        <v>-1.104309</v>
      </c>
      <c r="AD158" s="232">
        <f>-AC158</f>
        <v>1.104309</v>
      </c>
      <c r="AE158" s="51" t="s">
        <v>1262</v>
      </c>
    </row>
    <row r="159" spans="1:31" ht="87" outlineLevel="1" x14ac:dyDescent="0.35">
      <c r="A159" s="1307"/>
      <c r="B159" s="1308"/>
      <c r="C159" s="63">
        <v>44287</v>
      </c>
      <c r="D159" s="93" t="s">
        <v>1301</v>
      </c>
      <c r="E159" s="90" t="s">
        <v>1304</v>
      </c>
      <c r="F159" s="124">
        <f t="shared" ref="F159:F161" si="102">K159/$Q$8</f>
        <v>0</v>
      </c>
      <c r="G159" s="52">
        <f t="shared" ref="G159:G161" si="103">L159/$R$8</f>
        <v>0</v>
      </c>
      <c r="H159" s="52">
        <f t="shared" si="100"/>
        <v>2.5347140925224747E-5</v>
      </c>
      <c r="I159" s="52">
        <f t="shared" ref="I159:I161" si="104">N159/$U$8</f>
        <v>0</v>
      </c>
      <c r="J159" s="53">
        <f t="shared" si="101"/>
        <v>0.77635500000000002</v>
      </c>
      <c r="K159" s="149">
        <f t="shared" ref="K159:M161" si="105">-W159</f>
        <v>0</v>
      </c>
      <c r="L159" s="254">
        <f t="shared" ref="L159:L160" si="106">-X159</f>
        <v>0</v>
      </c>
      <c r="M159" s="252">
        <f t="shared" ref="M159:M160" si="107">-Y159</f>
        <v>0.77635500000000002</v>
      </c>
      <c r="N159" s="94">
        <f t="shared" ref="N159:N161" si="108">-AA159</f>
        <v>0</v>
      </c>
      <c r="O159" s="242" t="s">
        <v>480</v>
      </c>
      <c r="P159" s="242" t="s">
        <v>130</v>
      </c>
      <c r="Q159" s="150">
        <f>W159/Q$8*100</f>
        <v>0</v>
      </c>
      <c r="R159" s="82">
        <f>X159/R$8*100</f>
        <v>0</v>
      </c>
      <c r="S159" s="75">
        <f t="shared" si="74"/>
        <v>-2.5347140925224745E-3</v>
      </c>
      <c r="T159" s="137">
        <f t="shared" si="74"/>
        <v>0</v>
      </c>
      <c r="U159" s="75">
        <f t="shared" si="74"/>
        <v>0</v>
      </c>
      <c r="V159" s="75">
        <f t="shared" ref="V159:V160" si="109">AB159/V$8*100</f>
        <v>0</v>
      </c>
      <c r="W159" s="151">
        <v>0</v>
      </c>
      <c r="X159" s="255">
        <v>0</v>
      </c>
      <c r="Y159" s="248">
        <f>-0.776355</f>
        <v>-0.77635500000000002</v>
      </c>
      <c r="Z159" s="132">
        <v>0</v>
      </c>
      <c r="AA159" s="207">
        <v>0</v>
      </c>
      <c r="AB159" s="207">
        <v>0</v>
      </c>
      <c r="AC159" s="232">
        <f>-0.333883-0.454898</f>
        <v>-0.78878099999999995</v>
      </c>
      <c r="AD159" s="232">
        <f>-AC159</f>
        <v>0.78878099999999995</v>
      </c>
      <c r="AE159" s="51" t="s">
        <v>1305</v>
      </c>
    </row>
    <row r="160" spans="1:31" ht="58" outlineLevel="1" x14ac:dyDescent="0.35">
      <c r="A160" s="1307"/>
      <c r="B160" s="1308"/>
      <c r="C160" s="63">
        <v>44329</v>
      </c>
      <c r="D160" s="93" t="s">
        <v>1301</v>
      </c>
      <c r="E160" s="90" t="s">
        <v>1412</v>
      </c>
      <c r="F160" s="27">
        <f t="shared" si="102"/>
        <v>0</v>
      </c>
      <c r="G160" s="179">
        <f t="shared" si="103"/>
        <v>0</v>
      </c>
      <c r="H160" s="179">
        <f t="shared" si="100"/>
        <v>3.4540909431692359E-6</v>
      </c>
      <c r="I160" s="179">
        <f t="shared" si="104"/>
        <v>0</v>
      </c>
      <c r="J160" s="175">
        <f t="shared" si="101"/>
        <v>0.105795</v>
      </c>
      <c r="K160" s="20">
        <f t="shared" si="105"/>
        <v>0</v>
      </c>
      <c r="L160" s="173">
        <f t="shared" si="106"/>
        <v>0</v>
      </c>
      <c r="M160" s="185">
        <f t="shared" si="107"/>
        <v>0.105795</v>
      </c>
      <c r="N160" s="185">
        <f t="shared" si="108"/>
        <v>0</v>
      </c>
      <c r="O160" s="242" t="s">
        <v>480</v>
      </c>
      <c r="P160" s="186" t="s">
        <v>130</v>
      </c>
      <c r="Q160" s="28">
        <f t="shared" ref="Q160:R161" si="110">W160/Q$8*100</f>
        <v>0</v>
      </c>
      <c r="R160" s="189">
        <f t="shared" si="110"/>
        <v>0</v>
      </c>
      <c r="S160" s="188">
        <f t="shared" si="74"/>
        <v>-3.454090943169236E-4</v>
      </c>
      <c r="T160" s="137">
        <f t="shared" si="74"/>
        <v>0</v>
      </c>
      <c r="U160" s="188">
        <f t="shared" si="74"/>
        <v>0</v>
      </c>
      <c r="V160" s="188">
        <f t="shared" si="109"/>
        <v>0</v>
      </c>
      <c r="W160" s="29">
        <v>0</v>
      </c>
      <c r="X160" s="192">
        <v>0</v>
      </c>
      <c r="Y160" s="176">
        <v>-0.105795</v>
      </c>
      <c r="Z160" s="132">
        <v>0</v>
      </c>
      <c r="AA160" s="176">
        <v>0</v>
      </c>
      <c r="AB160" s="176">
        <v>0</v>
      </c>
      <c r="AC160" s="232">
        <v>0</v>
      </c>
      <c r="AD160" s="232">
        <f>-AC160</f>
        <v>0</v>
      </c>
      <c r="AE160" s="174"/>
    </row>
    <row r="161" spans="1:31" ht="94.5" customHeight="1" outlineLevel="1" x14ac:dyDescent="0.35">
      <c r="A161" s="1304"/>
      <c r="B161" s="1306"/>
      <c r="C161" s="63">
        <v>44329</v>
      </c>
      <c r="D161" s="93" t="s">
        <v>1301</v>
      </c>
      <c r="E161" s="90" t="s">
        <v>1413</v>
      </c>
      <c r="F161" s="27">
        <f t="shared" si="102"/>
        <v>0</v>
      </c>
      <c r="G161" s="179">
        <f t="shared" si="103"/>
        <v>0</v>
      </c>
      <c r="H161" s="179">
        <f t="shared" si="100"/>
        <v>2.7775762399761223E-5</v>
      </c>
      <c r="I161" s="179">
        <f t="shared" si="104"/>
        <v>0</v>
      </c>
      <c r="J161" s="175">
        <f t="shared" si="101"/>
        <v>0.85074099999999997</v>
      </c>
      <c r="K161" s="20">
        <f t="shared" si="105"/>
        <v>0</v>
      </c>
      <c r="L161" s="173">
        <f t="shared" si="105"/>
        <v>0</v>
      </c>
      <c r="M161" s="185">
        <f t="shared" si="105"/>
        <v>0.85074099999999997</v>
      </c>
      <c r="N161" s="185">
        <f t="shared" si="108"/>
        <v>0</v>
      </c>
      <c r="O161" s="242" t="s">
        <v>480</v>
      </c>
      <c r="P161" s="186" t="s">
        <v>130</v>
      </c>
      <c r="Q161" s="28">
        <f t="shared" si="110"/>
        <v>0</v>
      </c>
      <c r="R161" s="189">
        <f t="shared" si="110"/>
        <v>0</v>
      </c>
      <c r="S161" s="188">
        <f t="shared" si="74"/>
        <v>-2.7775762399761222E-3</v>
      </c>
      <c r="T161" s="137">
        <f t="shared" si="74"/>
        <v>0</v>
      </c>
      <c r="U161" s="188">
        <f t="shared" si="74"/>
        <v>0</v>
      </c>
      <c r="V161" s="188">
        <f t="shared" si="74"/>
        <v>0</v>
      </c>
      <c r="W161" s="29">
        <v>0</v>
      </c>
      <c r="X161" s="192">
        <v>0</v>
      </c>
      <c r="Y161" s="176">
        <v>-0.85074099999999997</v>
      </c>
      <c r="Z161" s="132">
        <v>0</v>
      </c>
      <c r="AA161" s="176">
        <v>0</v>
      </c>
      <c r="AB161" s="176">
        <v>0</v>
      </c>
      <c r="AC161" s="232">
        <v>-0.371006</v>
      </c>
      <c r="AD161" s="232">
        <f>-AC161</f>
        <v>0.371006</v>
      </c>
      <c r="AE161" s="174"/>
    </row>
    <row r="162" spans="1:31" ht="64.5" customHeight="1" outlineLevel="1" x14ac:dyDescent="0.35">
      <c r="A162" s="1303">
        <v>8</v>
      </c>
      <c r="B162" s="1305" t="s">
        <v>180</v>
      </c>
      <c r="C162" s="63">
        <v>43950</v>
      </c>
      <c r="D162" s="48" t="s">
        <v>966</v>
      </c>
      <c r="E162" s="49" t="s">
        <v>181</v>
      </c>
      <c r="F162" s="124">
        <f t="shared" si="77"/>
        <v>2.6601404554160461E-3</v>
      </c>
      <c r="G162" s="52">
        <f t="shared" si="96"/>
        <v>2.4719519367352645E-3</v>
      </c>
      <c r="H162" s="52">
        <f t="shared" si="94"/>
        <v>0</v>
      </c>
      <c r="I162" s="52">
        <f t="shared" si="63"/>
        <v>0</v>
      </c>
      <c r="J162" s="53">
        <f t="shared" si="68"/>
        <v>72.512248</v>
      </c>
      <c r="K162" s="149">
        <f t="shared" si="97"/>
        <v>75</v>
      </c>
      <c r="L162" s="254">
        <f t="shared" si="97"/>
        <v>72.512248</v>
      </c>
      <c r="M162" s="252">
        <f t="shared" si="97"/>
        <v>0</v>
      </c>
      <c r="N162" s="94">
        <f t="shared" si="98"/>
        <v>0</v>
      </c>
      <c r="O162" s="242" t="s">
        <v>478</v>
      </c>
      <c r="P162" s="242" t="s">
        <v>171</v>
      </c>
      <c r="Q162" s="150">
        <f t="shared" si="74"/>
        <v>-0.26601404554160463</v>
      </c>
      <c r="R162" s="82">
        <f t="shared" si="74"/>
        <v>-0.24719519367352644</v>
      </c>
      <c r="S162" s="75">
        <f t="shared" si="65"/>
        <v>0</v>
      </c>
      <c r="T162" s="137">
        <f t="shared" si="74"/>
        <v>0</v>
      </c>
      <c r="U162" s="75">
        <f t="shared" si="65"/>
        <v>0</v>
      </c>
      <c r="V162" s="75">
        <f t="shared" si="65"/>
        <v>0</v>
      </c>
      <c r="W162" s="151">
        <v>-75</v>
      </c>
      <c r="X162" s="255">
        <v>-72.512248</v>
      </c>
      <c r="Y162" s="248">
        <v>0</v>
      </c>
      <c r="Z162" s="132">
        <v>0</v>
      </c>
      <c r="AA162" s="207">
        <v>0</v>
      </c>
      <c r="AB162" s="207">
        <v>0</v>
      </c>
      <c r="AC162" s="176">
        <v>0</v>
      </c>
      <c r="AD162" s="176">
        <f t="shared" ref="AD162:AD164" si="111">-AC162</f>
        <v>0</v>
      </c>
      <c r="AE162" s="51" t="s">
        <v>182</v>
      </c>
    </row>
    <row r="163" spans="1:31" ht="84.75" customHeight="1" outlineLevel="1" x14ac:dyDescent="0.35">
      <c r="A163" s="1307"/>
      <c r="B163" s="1308"/>
      <c r="C163" s="63">
        <v>44273</v>
      </c>
      <c r="D163" s="48" t="s">
        <v>1263</v>
      </c>
      <c r="E163" s="49" t="s">
        <v>1264</v>
      </c>
      <c r="F163" s="124">
        <f t="shared" si="77"/>
        <v>0</v>
      </c>
      <c r="G163" s="52">
        <f>L163/$R$8</f>
        <v>0</v>
      </c>
      <c r="H163" s="52">
        <f t="shared" si="94"/>
        <v>1.7956897951161015E-3</v>
      </c>
      <c r="I163" s="52">
        <f t="shared" si="63"/>
        <v>0</v>
      </c>
      <c r="J163" s="53">
        <f t="shared" si="68"/>
        <v>55</v>
      </c>
      <c r="K163" s="149">
        <f t="shared" si="97"/>
        <v>0</v>
      </c>
      <c r="L163" s="254">
        <f t="shared" si="97"/>
        <v>0</v>
      </c>
      <c r="M163" s="252">
        <f t="shared" si="97"/>
        <v>55</v>
      </c>
      <c r="N163" s="94">
        <f t="shared" si="98"/>
        <v>0</v>
      </c>
      <c r="O163" s="242" t="s">
        <v>478</v>
      </c>
      <c r="P163" s="242" t="s">
        <v>171</v>
      </c>
      <c r="Q163" s="150">
        <f t="shared" si="74"/>
        <v>0</v>
      </c>
      <c r="R163" s="82"/>
      <c r="S163" s="75">
        <f t="shared" ref="S163:V194" si="112">Y163/S$8*100</f>
        <v>-0.17956897951161016</v>
      </c>
      <c r="T163" s="137">
        <f t="shared" si="74"/>
        <v>0</v>
      </c>
      <c r="U163" s="75">
        <f t="shared" si="74"/>
        <v>0</v>
      </c>
      <c r="V163" s="75">
        <f t="shared" si="74"/>
        <v>0</v>
      </c>
      <c r="W163" s="151">
        <v>0</v>
      </c>
      <c r="X163" s="255">
        <v>0</v>
      </c>
      <c r="Y163" s="248">
        <v>-55</v>
      </c>
      <c r="Z163" s="132">
        <v>0</v>
      </c>
      <c r="AA163" s="207">
        <v>0</v>
      </c>
      <c r="AB163" s="207">
        <v>0</v>
      </c>
      <c r="AC163" s="176">
        <v>0</v>
      </c>
      <c r="AD163" s="176">
        <f t="shared" si="111"/>
        <v>0</v>
      </c>
      <c r="AE163" s="51" t="s">
        <v>1265</v>
      </c>
    </row>
    <row r="164" spans="1:31" ht="64.5" customHeight="1" outlineLevel="1" x14ac:dyDescent="0.35">
      <c r="A164" s="1304"/>
      <c r="B164" s="1306"/>
      <c r="C164" s="63">
        <v>44294</v>
      </c>
      <c r="D164" s="48" t="s">
        <v>1263</v>
      </c>
      <c r="E164" s="49" t="s">
        <v>1266</v>
      </c>
      <c r="F164" s="124">
        <f t="shared" si="77"/>
        <v>0</v>
      </c>
      <c r="G164" s="52">
        <f t="shared" si="96"/>
        <v>0</v>
      </c>
      <c r="H164" s="52">
        <f t="shared" si="94"/>
        <v>3.2648905365747303E-3</v>
      </c>
      <c r="I164" s="52">
        <f t="shared" si="63"/>
        <v>0</v>
      </c>
      <c r="J164" s="53">
        <f t="shared" si="68"/>
        <v>100</v>
      </c>
      <c r="K164" s="149">
        <f t="shared" si="97"/>
        <v>0</v>
      </c>
      <c r="L164" s="254">
        <f t="shared" si="97"/>
        <v>0</v>
      </c>
      <c r="M164" s="252">
        <f t="shared" si="97"/>
        <v>100</v>
      </c>
      <c r="N164" s="94">
        <f t="shared" si="98"/>
        <v>0</v>
      </c>
      <c r="O164" s="242" t="s">
        <v>478</v>
      </c>
      <c r="P164" s="242" t="s">
        <v>171</v>
      </c>
      <c r="Q164" s="150">
        <f t="shared" si="74"/>
        <v>0</v>
      </c>
      <c r="R164" s="82"/>
      <c r="S164" s="75">
        <f t="shared" si="112"/>
        <v>-0.32648905365747305</v>
      </c>
      <c r="T164" s="137">
        <f t="shared" si="74"/>
        <v>-0.32648905365747305</v>
      </c>
      <c r="U164" s="75">
        <f t="shared" si="74"/>
        <v>0</v>
      </c>
      <c r="V164" s="75">
        <f t="shared" si="74"/>
        <v>0</v>
      </c>
      <c r="W164" s="151">
        <v>0</v>
      </c>
      <c r="X164" s="255">
        <v>0</v>
      </c>
      <c r="Y164" s="248">
        <v>-100</v>
      </c>
      <c r="Z164" s="132">
        <v>-100</v>
      </c>
      <c r="AA164" s="207">
        <v>0</v>
      </c>
      <c r="AB164" s="207">
        <v>0</v>
      </c>
      <c r="AC164" s="176">
        <v>-1.082587</v>
      </c>
      <c r="AD164" s="176">
        <f t="shared" si="111"/>
        <v>1.082587</v>
      </c>
      <c r="AE164" s="51" t="s">
        <v>1267</v>
      </c>
    </row>
    <row r="165" spans="1:31" ht="115.5" customHeight="1" outlineLevel="1" x14ac:dyDescent="0.35">
      <c r="A165" s="1303">
        <v>9</v>
      </c>
      <c r="B165" s="1305" t="s">
        <v>245</v>
      </c>
      <c r="C165" s="63">
        <v>43956</v>
      </c>
      <c r="D165" s="48" t="s">
        <v>967</v>
      </c>
      <c r="E165" s="49" t="s">
        <v>183</v>
      </c>
      <c r="F165" s="124">
        <f t="shared" si="77"/>
        <v>1.773426970277364E-4</v>
      </c>
      <c r="G165" s="52">
        <f t="shared" si="96"/>
        <v>1.697066994331902E-4</v>
      </c>
      <c r="H165" s="52">
        <f t="shared" si="94"/>
        <v>0</v>
      </c>
      <c r="I165" s="52">
        <f t="shared" si="63"/>
        <v>0</v>
      </c>
      <c r="J165" s="53">
        <f t="shared" si="68"/>
        <v>4.9781769999999996</v>
      </c>
      <c r="K165" s="149">
        <f t="shared" si="97"/>
        <v>5</v>
      </c>
      <c r="L165" s="254">
        <f t="shared" si="97"/>
        <v>4.9781769999999996</v>
      </c>
      <c r="M165" s="252">
        <f t="shared" si="97"/>
        <v>0</v>
      </c>
      <c r="N165" s="94">
        <f t="shared" si="98"/>
        <v>0</v>
      </c>
      <c r="O165" s="242" t="s">
        <v>880</v>
      </c>
      <c r="P165" s="242" t="s">
        <v>129</v>
      </c>
      <c r="Q165" s="150">
        <f t="shared" si="74"/>
        <v>-1.7734269702773642E-2</v>
      </c>
      <c r="R165" s="82">
        <f t="shared" si="74"/>
        <v>-1.6970669943319021E-2</v>
      </c>
      <c r="S165" s="75">
        <f t="shared" si="112"/>
        <v>0</v>
      </c>
      <c r="T165" s="137">
        <f t="shared" si="74"/>
        <v>0</v>
      </c>
      <c r="U165" s="75">
        <f t="shared" si="74"/>
        <v>0</v>
      </c>
      <c r="V165" s="75">
        <f t="shared" si="74"/>
        <v>0</v>
      </c>
      <c r="W165" s="151">
        <v>-5</v>
      </c>
      <c r="X165" s="255">
        <v>-4.9781769999999996</v>
      </c>
      <c r="Y165" s="248">
        <v>0</v>
      </c>
      <c r="Z165" s="132">
        <v>0</v>
      </c>
      <c r="AA165" s="207">
        <v>0</v>
      </c>
      <c r="AB165" s="207">
        <v>0</v>
      </c>
      <c r="AC165" s="176">
        <v>0</v>
      </c>
      <c r="AD165" s="176">
        <f t="shared" si="99"/>
        <v>0</v>
      </c>
      <c r="AE165" s="51" t="s">
        <v>184</v>
      </c>
    </row>
    <row r="166" spans="1:31" ht="87" outlineLevel="1" x14ac:dyDescent="0.35">
      <c r="A166" s="1307"/>
      <c r="B166" s="1308"/>
      <c r="C166" s="63">
        <v>44069</v>
      </c>
      <c r="D166" s="48" t="s">
        <v>968</v>
      </c>
      <c r="E166" s="49" t="s">
        <v>969</v>
      </c>
      <c r="F166" s="124">
        <f t="shared" si="77"/>
        <v>7.2355820387316451E-5</v>
      </c>
      <c r="G166" s="52">
        <f t="shared" si="96"/>
        <v>3.4000857844022924E-4</v>
      </c>
      <c r="H166" s="52">
        <f t="shared" si="94"/>
        <v>0</v>
      </c>
      <c r="I166" s="52">
        <f t="shared" ref="I166:I235" si="113">N166/$U$8</f>
        <v>0</v>
      </c>
      <c r="J166" s="1317">
        <f>SUM(L166:N169)</f>
        <v>9.9738129999999998</v>
      </c>
      <c r="K166" s="149">
        <f t="shared" si="97"/>
        <v>2.04</v>
      </c>
      <c r="L166" s="1320">
        <f>-X166</f>
        <v>9.9738129999999998</v>
      </c>
      <c r="M166" s="252">
        <f t="shared" si="97"/>
        <v>0</v>
      </c>
      <c r="N166" s="94">
        <f t="shared" si="98"/>
        <v>0</v>
      </c>
      <c r="O166" s="242" t="s">
        <v>880</v>
      </c>
      <c r="P166" s="242" t="s">
        <v>129</v>
      </c>
      <c r="Q166" s="150">
        <f t="shared" si="74"/>
        <v>-7.2355820387316454E-3</v>
      </c>
      <c r="R166" s="1331">
        <f t="shared" si="74"/>
        <v>-3.4000857844022923E-2</v>
      </c>
      <c r="S166" s="75">
        <f t="shared" si="112"/>
        <v>0</v>
      </c>
      <c r="T166" s="137">
        <f t="shared" si="74"/>
        <v>0</v>
      </c>
      <c r="U166" s="75">
        <f t="shared" si="74"/>
        <v>0</v>
      </c>
      <c r="V166" s="75">
        <f t="shared" si="74"/>
        <v>0</v>
      </c>
      <c r="W166" s="151">
        <f>-2.04</f>
        <v>-2.04</v>
      </c>
      <c r="X166" s="1418">
        <v>-9.9738129999999998</v>
      </c>
      <c r="Y166" s="248">
        <v>0</v>
      </c>
      <c r="Z166" s="132">
        <v>0</v>
      </c>
      <c r="AA166" s="207">
        <v>0</v>
      </c>
      <c r="AB166" s="207">
        <v>0</v>
      </c>
      <c r="AC166" s="176">
        <v>0</v>
      </c>
      <c r="AD166" s="176">
        <f t="shared" si="99"/>
        <v>0</v>
      </c>
      <c r="AE166" s="51" t="s">
        <v>970</v>
      </c>
    </row>
    <row r="167" spans="1:31" ht="72.5" outlineLevel="1" x14ac:dyDescent="0.35">
      <c r="A167" s="1307"/>
      <c r="B167" s="1308"/>
      <c r="C167" s="63">
        <v>44069</v>
      </c>
      <c r="D167" s="48" t="s">
        <v>971</v>
      </c>
      <c r="E167" s="49" t="s">
        <v>972</v>
      </c>
      <c r="F167" s="124">
        <f t="shared" si="77"/>
        <v>5.7851032134496702E-5</v>
      </c>
      <c r="G167" s="52">
        <f t="shared" si="96"/>
        <v>0</v>
      </c>
      <c r="H167" s="52">
        <f t="shared" si="94"/>
        <v>0</v>
      </c>
      <c r="I167" s="52">
        <f t="shared" si="113"/>
        <v>0</v>
      </c>
      <c r="J167" s="1318"/>
      <c r="K167" s="149">
        <f t="shared" si="97"/>
        <v>1.6310519999999999</v>
      </c>
      <c r="L167" s="1321"/>
      <c r="M167" s="252">
        <f t="shared" si="97"/>
        <v>0</v>
      </c>
      <c r="N167" s="94">
        <f t="shared" si="98"/>
        <v>0</v>
      </c>
      <c r="O167" s="242" t="s">
        <v>880</v>
      </c>
      <c r="P167" s="242" t="s">
        <v>129</v>
      </c>
      <c r="Q167" s="150">
        <f t="shared" ref="Q167:V205" si="114">W167/Q$8*100</f>
        <v>-5.78510321344967E-3</v>
      </c>
      <c r="R167" s="1417"/>
      <c r="S167" s="75">
        <f t="shared" si="112"/>
        <v>0</v>
      </c>
      <c r="T167" s="137">
        <f t="shared" si="112"/>
        <v>0</v>
      </c>
      <c r="U167" s="75">
        <f t="shared" si="112"/>
        <v>0</v>
      </c>
      <c r="V167" s="75">
        <f t="shared" si="112"/>
        <v>0</v>
      </c>
      <c r="W167" s="151">
        <v>-1.6310519999999999</v>
      </c>
      <c r="X167" s="1419"/>
      <c r="Y167" s="248">
        <v>0</v>
      </c>
      <c r="Z167" s="132">
        <v>0</v>
      </c>
      <c r="AA167" s="207">
        <v>0</v>
      </c>
      <c r="AB167" s="207">
        <v>0</v>
      </c>
      <c r="AC167" s="176">
        <v>0</v>
      </c>
      <c r="AD167" s="176">
        <f t="shared" si="99"/>
        <v>0</v>
      </c>
      <c r="AE167" s="49" t="s">
        <v>972</v>
      </c>
    </row>
    <row r="168" spans="1:31" ht="101.5" outlineLevel="1" x14ac:dyDescent="0.35">
      <c r="A168" s="1307"/>
      <c r="B168" s="1308"/>
      <c r="C168" s="63">
        <v>44082</v>
      </c>
      <c r="D168" s="48" t="s">
        <v>973</v>
      </c>
      <c r="E168" s="49" t="s">
        <v>974</v>
      </c>
      <c r="F168" s="124">
        <f t="shared" si="77"/>
        <v>8.7110129814854217E-5</v>
      </c>
      <c r="G168" s="52">
        <f t="shared" si="96"/>
        <v>0</v>
      </c>
      <c r="H168" s="52">
        <f t="shared" si="94"/>
        <v>0</v>
      </c>
      <c r="I168" s="52">
        <f t="shared" si="113"/>
        <v>0</v>
      </c>
      <c r="J168" s="1318"/>
      <c r="K168" s="149">
        <f t="shared" si="97"/>
        <v>2.4559829999999998</v>
      </c>
      <c r="L168" s="1321"/>
      <c r="M168" s="252">
        <f t="shared" si="97"/>
        <v>0</v>
      </c>
      <c r="N168" s="94">
        <f t="shared" si="98"/>
        <v>0</v>
      </c>
      <c r="O168" s="242" t="s">
        <v>880</v>
      </c>
      <c r="P168" s="242" t="s">
        <v>129</v>
      </c>
      <c r="Q168" s="150">
        <f t="shared" si="114"/>
        <v>-8.7110129814854213E-3</v>
      </c>
      <c r="R168" s="1417"/>
      <c r="S168" s="75">
        <f t="shared" si="112"/>
        <v>0</v>
      </c>
      <c r="T168" s="137">
        <f t="shared" si="112"/>
        <v>0</v>
      </c>
      <c r="U168" s="75">
        <f t="shared" si="112"/>
        <v>0</v>
      </c>
      <c r="V168" s="75">
        <f t="shared" si="112"/>
        <v>0</v>
      </c>
      <c r="W168" s="151">
        <v>-2.4559829999999998</v>
      </c>
      <c r="X168" s="1419"/>
      <c r="Y168" s="248">
        <v>0</v>
      </c>
      <c r="Z168" s="132">
        <v>0</v>
      </c>
      <c r="AA168" s="207">
        <v>0</v>
      </c>
      <c r="AB168" s="207">
        <v>0</v>
      </c>
      <c r="AC168" s="176">
        <v>0</v>
      </c>
      <c r="AD168" s="176">
        <f t="shared" si="99"/>
        <v>0</v>
      </c>
      <c r="AE168" s="49" t="s">
        <v>974</v>
      </c>
    </row>
    <row r="169" spans="1:31" ht="58" outlineLevel="1" x14ac:dyDescent="0.35">
      <c r="A169" s="1307"/>
      <c r="B169" s="1308"/>
      <c r="C169" s="63">
        <v>44090</v>
      </c>
      <c r="D169" s="48" t="s">
        <v>975</v>
      </c>
      <c r="E169" s="49" t="s">
        <v>976</v>
      </c>
      <c r="F169" s="124">
        <f t="shared" si="77"/>
        <v>1.408101014400227E-4</v>
      </c>
      <c r="G169" s="52">
        <f t="shared" si="96"/>
        <v>0</v>
      </c>
      <c r="H169" s="52">
        <f t="shared" si="94"/>
        <v>0</v>
      </c>
      <c r="I169" s="52">
        <f t="shared" si="113"/>
        <v>0</v>
      </c>
      <c r="J169" s="1319"/>
      <c r="K169" s="149">
        <f t="shared" si="97"/>
        <v>3.97</v>
      </c>
      <c r="L169" s="1322"/>
      <c r="M169" s="252">
        <f t="shared" si="97"/>
        <v>0</v>
      </c>
      <c r="N169" s="94">
        <f t="shared" si="98"/>
        <v>0</v>
      </c>
      <c r="O169" s="242" t="s">
        <v>880</v>
      </c>
      <c r="P169" s="242" t="s">
        <v>129</v>
      </c>
      <c r="Q169" s="150">
        <f t="shared" si="114"/>
        <v>-1.408101014400227E-2</v>
      </c>
      <c r="R169" s="1332"/>
      <c r="S169" s="75">
        <f t="shared" si="112"/>
        <v>0</v>
      </c>
      <c r="T169" s="137">
        <f t="shared" si="112"/>
        <v>0</v>
      </c>
      <c r="U169" s="75">
        <f t="shared" si="112"/>
        <v>0</v>
      </c>
      <c r="V169" s="75">
        <f t="shared" si="112"/>
        <v>0</v>
      </c>
      <c r="W169" s="151">
        <v>-3.97</v>
      </c>
      <c r="X169" s="1420"/>
      <c r="Y169" s="248">
        <v>0</v>
      </c>
      <c r="Z169" s="132">
        <v>0</v>
      </c>
      <c r="AA169" s="207">
        <v>0</v>
      </c>
      <c r="AB169" s="207">
        <v>0</v>
      </c>
      <c r="AC169" s="176">
        <v>0</v>
      </c>
      <c r="AD169" s="176">
        <f t="shared" si="99"/>
        <v>0</v>
      </c>
      <c r="AE169" s="49" t="s">
        <v>976</v>
      </c>
    </row>
    <row r="170" spans="1:31" ht="87" outlineLevel="1" x14ac:dyDescent="0.35">
      <c r="A170" s="1307"/>
      <c r="B170" s="1308"/>
      <c r="C170" s="63" t="s">
        <v>598</v>
      </c>
      <c r="D170" s="48" t="s">
        <v>247</v>
      </c>
      <c r="E170" s="49" t="s">
        <v>977</v>
      </c>
      <c r="F170" s="124">
        <f t="shared" si="77"/>
        <v>0</v>
      </c>
      <c r="G170" s="52">
        <f t="shared" si="96"/>
        <v>0</v>
      </c>
      <c r="H170" s="52">
        <f t="shared" si="94"/>
        <v>2.8552643102939179E-4</v>
      </c>
      <c r="I170" s="52">
        <f t="shared" si="113"/>
        <v>0</v>
      </c>
      <c r="J170" s="53">
        <f t="shared" ref="J170:J201" si="115">L170+M170+N170</f>
        <v>8.7453599999999998</v>
      </c>
      <c r="K170" s="149">
        <f t="shared" si="97"/>
        <v>0</v>
      </c>
      <c r="L170" s="254">
        <f>-X170</f>
        <v>0</v>
      </c>
      <c r="M170" s="252">
        <f t="shared" si="97"/>
        <v>8.7453599999999998</v>
      </c>
      <c r="N170" s="94">
        <f t="shared" si="98"/>
        <v>0</v>
      </c>
      <c r="O170" s="242" t="s">
        <v>880</v>
      </c>
      <c r="P170" s="242" t="s">
        <v>129</v>
      </c>
      <c r="Q170" s="150">
        <f t="shared" si="114"/>
        <v>0</v>
      </c>
      <c r="R170" s="82">
        <f t="shared" si="114"/>
        <v>0</v>
      </c>
      <c r="S170" s="75">
        <f t="shared" si="112"/>
        <v>-2.8552643102939181E-2</v>
      </c>
      <c r="T170" s="137">
        <f t="shared" si="112"/>
        <v>-2.8552643102939181E-2</v>
      </c>
      <c r="U170" s="75">
        <f t="shared" si="112"/>
        <v>0</v>
      </c>
      <c r="V170" s="75">
        <f t="shared" si="112"/>
        <v>0</v>
      </c>
      <c r="W170" s="151">
        <v>0</v>
      </c>
      <c r="X170" s="255">
        <v>0</v>
      </c>
      <c r="Y170" s="248">
        <v>-8.7453599999999998</v>
      </c>
      <c r="Z170" s="132">
        <v>-8.7453599999999998</v>
      </c>
      <c r="AA170" s="207">
        <v>0</v>
      </c>
      <c r="AB170" s="207">
        <v>0</v>
      </c>
      <c r="AC170" s="176">
        <f>-2.675-2.354</f>
        <v>-5.0289999999999999</v>
      </c>
      <c r="AD170" s="176">
        <f t="shared" si="99"/>
        <v>5.0289999999999999</v>
      </c>
      <c r="AE170" s="49" t="s">
        <v>978</v>
      </c>
    </row>
    <row r="171" spans="1:31" ht="43.5" outlineLevel="1" x14ac:dyDescent="0.35">
      <c r="A171" s="1307"/>
      <c r="B171" s="1308"/>
      <c r="C171" s="63" t="s">
        <v>598</v>
      </c>
      <c r="D171" s="48" t="s">
        <v>247</v>
      </c>
      <c r="E171" s="49" t="s">
        <v>979</v>
      </c>
      <c r="F171" s="124">
        <f t="shared" si="77"/>
        <v>0</v>
      </c>
      <c r="G171" s="52">
        <f t="shared" si="96"/>
        <v>0</v>
      </c>
      <c r="H171" s="52">
        <f t="shared" si="94"/>
        <v>7.1135598255417051E-5</v>
      </c>
      <c r="I171" s="52">
        <f t="shared" si="113"/>
        <v>0</v>
      </c>
      <c r="J171" s="53">
        <f t="shared" si="115"/>
        <v>2.1788050000000001</v>
      </c>
      <c r="K171" s="149">
        <f t="shared" si="97"/>
        <v>0</v>
      </c>
      <c r="L171" s="254">
        <f>-X171</f>
        <v>0</v>
      </c>
      <c r="M171" s="252">
        <f t="shared" si="97"/>
        <v>2.1788050000000001</v>
      </c>
      <c r="N171" s="94">
        <f t="shared" si="98"/>
        <v>0</v>
      </c>
      <c r="O171" s="242" t="s">
        <v>880</v>
      </c>
      <c r="P171" s="242" t="s">
        <v>129</v>
      </c>
      <c r="Q171" s="150">
        <f t="shared" si="114"/>
        <v>0</v>
      </c>
      <c r="R171" s="82">
        <f t="shared" si="114"/>
        <v>0</v>
      </c>
      <c r="S171" s="75">
        <f t="shared" si="112"/>
        <v>-7.1135598255417046E-3</v>
      </c>
      <c r="T171" s="137">
        <f t="shared" si="112"/>
        <v>-7.1135598255417046E-3</v>
      </c>
      <c r="U171" s="75">
        <f t="shared" si="112"/>
        <v>0</v>
      </c>
      <c r="V171" s="75">
        <f t="shared" si="112"/>
        <v>0</v>
      </c>
      <c r="W171" s="151">
        <v>0</v>
      </c>
      <c r="X171" s="255">
        <v>0</v>
      </c>
      <c r="Y171" s="248">
        <v>-2.1788050000000001</v>
      </c>
      <c r="Z171" s="132">
        <v>-2.1788050000000001</v>
      </c>
      <c r="AA171" s="207">
        <v>0</v>
      </c>
      <c r="AB171" s="207">
        <v>0</v>
      </c>
      <c r="AC171" s="176">
        <v>-0.33075599999999999</v>
      </c>
      <c r="AD171" s="176">
        <f t="shared" si="99"/>
        <v>0.33075599999999999</v>
      </c>
      <c r="AE171" s="49" t="s">
        <v>980</v>
      </c>
    </row>
    <row r="172" spans="1:31" ht="72.5" outlineLevel="1" x14ac:dyDescent="0.35">
      <c r="A172" s="1307"/>
      <c r="B172" s="1308"/>
      <c r="C172" s="63" t="s">
        <v>598</v>
      </c>
      <c r="D172" s="48" t="s">
        <v>247</v>
      </c>
      <c r="E172" s="49" t="s">
        <v>981</v>
      </c>
      <c r="F172" s="124">
        <f t="shared" si="77"/>
        <v>0</v>
      </c>
      <c r="G172" s="52">
        <f t="shared" si="96"/>
        <v>0</v>
      </c>
      <c r="H172" s="52">
        <f t="shared" si="94"/>
        <v>9.9905650419186744E-5</v>
      </c>
      <c r="I172" s="52">
        <f t="shared" si="113"/>
        <v>0</v>
      </c>
      <c r="J172" s="53">
        <f t="shared" si="115"/>
        <v>3.06</v>
      </c>
      <c r="K172" s="149">
        <f t="shared" si="97"/>
        <v>0</v>
      </c>
      <c r="L172" s="254">
        <f t="shared" si="97"/>
        <v>0</v>
      </c>
      <c r="M172" s="252">
        <f t="shared" si="97"/>
        <v>3.06</v>
      </c>
      <c r="N172" s="94">
        <f t="shared" si="98"/>
        <v>0</v>
      </c>
      <c r="O172" s="242" t="s">
        <v>880</v>
      </c>
      <c r="P172" s="242" t="s">
        <v>129</v>
      </c>
      <c r="Q172" s="150">
        <f t="shared" si="114"/>
        <v>0</v>
      </c>
      <c r="R172" s="82">
        <f t="shared" si="114"/>
        <v>0</v>
      </c>
      <c r="S172" s="75">
        <f t="shared" si="112"/>
        <v>-9.990565041918675E-3</v>
      </c>
      <c r="T172" s="137">
        <f t="shared" si="112"/>
        <v>-9.990565041918675E-3</v>
      </c>
      <c r="U172" s="75">
        <f t="shared" si="112"/>
        <v>0</v>
      </c>
      <c r="V172" s="75">
        <f t="shared" si="112"/>
        <v>0</v>
      </c>
      <c r="W172" s="151">
        <v>0</v>
      </c>
      <c r="X172" s="255">
        <v>0</v>
      </c>
      <c r="Y172" s="248">
        <v>-3.06</v>
      </c>
      <c r="Z172" s="132">
        <v>-3.06</v>
      </c>
      <c r="AA172" s="207">
        <v>0</v>
      </c>
      <c r="AB172" s="207">
        <v>0</v>
      </c>
      <c r="AC172" s="176">
        <v>0</v>
      </c>
      <c r="AD172" s="176">
        <f t="shared" si="99"/>
        <v>0</v>
      </c>
      <c r="AE172" s="51" t="s">
        <v>982</v>
      </c>
    </row>
    <row r="173" spans="1:31" ht="58" outlineLevel="1" x14ac:dyDescent="0.35">
      <c r="A173" s="1307"/>
      <c r="B173" s="1308"/>
      <c r="C173" s="63">
        <v>44266</v>
      </c>
      <c r="D173" s="48" t="s">
        <v>957</v>
      </c>
      <c r="E173" s="49" t="s">
        <v>1268</v>
      </c>
      <c r="F173" s="124">
        <f t="shared" si="77"/>
        <v>0</v>
      </c>
      <c r="G173" s="52">
        <f t="shared" si="96"/>
        <v>0</v>
      </c>
      <c r="H173" s="52">
        <f t="shared" si="94"/>
        <v>1.2183265526282264E-6</v>
      </c>
      <c r="I173" s="52">
        <f t="shared" si="113"/>
        <v>0</v>
      </c>
      <c r="J173" s="53">
        <f t="shared" si="115"/>
        <v>3.7316000000000002E-2</v>
      </c>
      <c r="K173" s="149">
        <f t="shared" si="97"/>
        <v>0</v>
      </c>
      <c r="L173" s="254">
        <f t="shared" si="97"/>
        <v>0</v>
      </c>
      <c r="M173" s="252">
        <f t="shared" si="97"/>
        <v>3.7316000000000002E-2</v>
      </c>
      <c r="N173" s="94">
        <f t="shared" si="98"/>
        <v>0</v>
      </c>
      <c r="O173" s="242" t="s">
        <v>186</v>
      </c>
      <c r="P173" s="242" t="s">
        <v>129</v>
      </c>
      <c r="Q173" s="150">
        <f t="shared" si="114"/>
        <v>0</v>
      </c>
      <c r="R173" s="82"/>
      <c r="S173" s="75">
        <f t="shared" si="112"/>
        <v>-1.2183265526282263E-4</v>
      </c>
      <c r="T173" s="137">
        <f t="shared" si="112"/>
        <v>-1.2183265526282263E-4</v>
      </c>
      <c r="U173" s="75">
        <f t="shared" si="112"/>
        <v>0</v>
      </c>
      <c r="V173" s="75">
        <f t="shared" si="112"/>
        <v>0</v>
      </c>
      <c r="W173" s="151">
        <v>0</v>
      </c>
      <c r="X173" s="255">
        <v>0</v>
      </c>
      <c r="Y173" s="248">
        <v>-3.7316000000000002E-2</v>
      </c>
      <c r="Z173" s="132">
        <v>-3.7316000000000002E-2</v>
      </c>
      <c r="AA173" s="207">
        <v>0</v>
      </c>
      <c r="AB173" s="207">
        <v>0</v>
      </c>
      <c r="AC173" s="176">
        <v>0</v>
      </c>
      <c r="AD173" s="176">
        <f t="shared" si="99"/>
        <v>0</v>
      </c>
      <c r="AE173" s="51" t="s">
        <v>1269</v>
      </c>
    </row>
    <row r="174" spans="1:31" ht="90" customHeight="1" outlineLevel="1" x14ac:dyDescent="0.35">
      <c r="A174" s="1304"/>
      <c r="B174" s="1306"/>
      <c r="C174" s="63">
        <v>44273</v>
      </c>
      <c r="D174" s="48" t="s">
        <v>1306</v>
      </c>
      <c r="E174" s="49" t="s">
        <v>1270</v>
      </c>
      <c r="F174" s="124">
        <f t="shared" si="77"/>
        <v>0</v>
      </c>
      <c r="G174" s="52">
        <f t="shared" si="96"/>
        <v>0</v>
      </c>
      <c r="H174" s="52">
        <f t="shared" si="94"/>
        <v>1.632445268287365E-5</v>
      </c>
      <c r="I174" s="52">
        <f t="shared" si="113"/>
        <v>0</v>
      </c>
      <c r="J174" s="53">
        <f t="shared" si="115"/>
        <v>0.5</v>
      </c>
      <c r="K174" s="149">
        <f t="shared" si="97"/>
        <v>0</v>
      </c>
      <c r="L174" s="254">
        <f t="shared" si="97"/>
        <v>0</v>
      </c>
      <c r="M174" s="252">
        <f t="shared" si="97"/>
        <v>0.5</v>
      </c>
      <c r="N174" s="94">
        <f t="shared" si="98"/>
        <v>0</v>
      </c>
      <c r="O174" s="242" t="s">
        <v>880</v>
      </c>
      <c r="P174" s="242" t="s">
        <v>129</v>
      </c>
      <c r="Q174" s="150">
        <f t="shared" si="114"/>
        <v>0</v>
      </c>
      <c r="R174" s="82"/>
      <c r="S174" s="75">
        <f t="shared" si="112"/>
        <v>-1.6324452682873651E-3</v>
      </c>
      <c r="T174" s="137">
        <f t="shared" si="112"/>
        <v>0</v>
      </c>
      <c r="U174" s="75">
        <f t="shared" si="112"/>
        <v>0</v>
      </c>
      <c r="V174" s="75">
        <f t="shared" si="112"/>
        <v>0</v>
      </c>
      <c r="W174" s="151">
        <v>0</v>
      </c>
      <c r="X174" s="255">
        <v>0</v>
      </c>
      <c r="Y174" s="248">
        <v>-0.5</v>
      </c>
      <c r="Z174" s="132">
        <v>0</v>
      </c>
      <c r="AA174" s="207">
        <v>0</v>
      </c>
      <c r="AB174" s="207">
        <v>0</v>
      </c>
      <c r="AC174" s="176">
        <v>-4.2059999999999997E-3</v>
      </c>
      <c r="AD174" s="176">
        <f t="shared" si="99"/>
        <v>4.2059999999999997E-3</v>
      </c>
      <c r="AE174" s="51" t="s">
        <v>1271</v>
      </c>
    </row>
    <row r="175" spans="1:31" ht="58" outlineLevel="1" x14ac:dyDescent="0.35">
      <c r="A175" s="1303">
        <v>10</v>
      </c>
      <c r="B175" s="1305" t="s">
        <v>202</v>
      </c>
      <c r="C175" s="63">
        <v>43965</v>
      </c>
      <c r="D175" s="48" t="s">
        <v>1307</v>
      </c>
      <c r="E175" s="49" t="s">
        <v>207</v>
      </c>
      <c r="F175" s="124">
        <f t="shared" si="77"/>
        <v>8.3847627154713774E-6</v>
      </c>
      <c r="G175" s="52">
        <f t="shared" si="96"/>
        <v>2.3343898091784531E-6</v>
      </c>
      <c r="H175" s="52">
        <f t="shared" si="94"/>
        <v>0</v>
      </c>
      <c r="I175" s="52">
        <f t="shared" si="113"/>
        <v>0</v>
      </c>
      <c r="J175" s="53">
        <f t="shared" si="115"/>
        <v>6.8476999999999996E-2</v>
      </c>
      <c r="K175" s="149">
        <f t="shared" si="97"/>
        <v>0.2364</v>
      </c>
      <c r="L175" s="254">
        <f t="shared" si="97"/>
        <v>6.8476999999999996E-2</v>
      </c>
      <c r="M175" s="252">
        <f t="shared" si="97"/>
        <v>0</v>
      </c>
      <c r="N175" s="94">
        <f t="shared" si="98"/>
        <v>0</v>
      </c>
      <c r="O175" s="242" t="s">
        <v>486</v>
      </c>
      <c r="P175" s="242" t="s">
        <v>127</v>
      </c>
      <c r="Q175" s="150">
        <f t="shared" si="114"/>
        <v>-8.3847627154713775E-4</v>
      </c>
      <c r="R175" s="82">
        <f t="shared" si="114"/>
        <v>-2.3343898091784531E-4</v>
      </c>
      <c r="S175" s="75">
        <f t="shared" si="112"/>
        <v>0</v>
      </c>
      <c r="T175" s="137">
        <f t="shared" si="112"/>
        <v>0</v>
      </c>
      <c r="U175" s="75">
        <f t="shared" si="112"/>
        <v>0</v>
      </c>
      <c r="V175" s="75">
        <f t="shared" si="112"/>
        <v>0</v>
      </c>
      <c r="W175" s="151">
        <v>-0.2364</v>
      </c>
      <c r="X175" s="255">
        <v>-6.8476999999999996E-2</v>
      </c>
      <c r="Y175" s="248">
        <v>0</v>
      </c>
      <c r="Z175" s="132">
        <v>0</v>
      </c>
      <c r="AA175" s="207">
        <v>0</v>
      </c>
      <c r="AB175" s="207">
        <v>0</v>
      </c>
      <c r="AC175" s="176">
        <v>0</v>
      </c>
      <c r="AD175" s="176">
        <f t="shared" si="99"/>
        <v>0</v>
      </c>
      <c r="AE175" s="51" t="s">
        <v>207</v>
      </c>
    </row>
    <row r="176" spans="1:31" ht="89.25" customHeight="1" outlineLevel="1" x14ac:dyDescent="0.35">
      <c r="A176" s="1304"/>
      <c r="B176" s="1306"/>
      <c r="C176" s="63">
        <v>44287</v>
      </c>
      <c r="D176" s="48" t="s">
        <v>1308</v>
      </c>
      <c r="E176" s="49" t="s">
        <v>1309</v>
      </c>
      <c r="F176" s="124">
        <f t="shared" si="77"/>
        <v>0</v>
      </c>
      <c r="G176" s="52">
        <f t="shared" si="96"/>
        <v>0</v>
      </c>
      <c r="H176" s="52">
        <f t="shared" si="94"/>
        <v>8.2895570723632411E-6</v>
      </c>
      <c r="I176" s="52">
        <f t="shared" si="113"/>
        <v>0</v>
      </c>
      <c r="J176" s="53">
        <f t="shared" si="115"/>
        <v>0.25390000000000001</v>
      </c>
      <c r="K176" s="149">
        <f t="shared" si="97"/>
        <v>0</v>
      </c>
      <c r="L176" s="254">
        <f t="shared" si="97"/>
        <v>0</v>
      </c>
      <c r="M176" s="252">
        <f t="shared" si="97"/>
        <v>0.25390000000000001</v>
      </c>
      <c r="N176" s="94">
        <f t="shared" si="98"/>
        <v>0</v>
      </c>
      <c r="O176" s="242" t="s">
        <v>486</v>
      </c>
      <c r="P176" s="242" t="s">
        <v>127</v>
      </c>
      <c r="Q176" s="150">
        <f t="shared" si="114"/>
        <v>0</v>
      </c>
      <c r="R176" s="82">
        <f t="shared" si="114"/>
        <v>0</v>
      </c>
      <c r="S176" s="75">
        <f t="shared" si="112"/>
        <v>-8.2895570723632412E-4</v>
      </c>
      <c r="T176" s="137">
        <f t="shared" si="112"/>
        <v>0</v>
      </c>
      <c r="U176" s="75">
        <f t="shared" si="112"/>
        <v>0</v>
      </c>
      <c r="V176" s="75">
        <f t="shared" si="112"/>
        <v>0</v>
      </c>
      <c r="W176" s="151">
        <v>0</v>
      </c>
      <c r="X176" s="255">
        <v>0</v>
      </c>
      <c r="Y176" s="248">
        <v>-0.25390000000000001</v>
      </c>
      <c r="Z176" s="132">
        <v>0</v>
      </c>
      <c r="AA176" s="207">
        <v>0</v>
      </c>
      <c r="AB176" s="207">
        <v>0</v>
      </c>
      <c r="AC176" s="176">
        <v>-0.2319</v>
      </c>
      <c r="AD176" s="176">
        <f t="shared" si="99"/>
        <v>0.2319</v>
      </c>
      <c r="AE176" s="51" t="s">
        <v>1310</v>
      </c>
    </row>
    <row r="177" spans="1:31" ht="58" outlineLevel="1" x14ac:dyDescent="0.35">
      <c r="A177" s="1303">
        <v>11</v>
      </c>
      <c r="B177" s="1305" t="s">
        <v>983</v>
      </c>
      <c r="C177" s="63">
        <v>43959</v>
      </c>
      <c r="D177" s="48" t="s">
        <v>984</v>
      </c>
      <c r="E177" s="49" t="s">
        <v>985</v>
      </c>
      <c r="F177" s="124">
        <f t="shared" si="77"/>
        <v>8.8653614244165423E-7</v>
      </c>
      <c r="G177" s="52">
        <f t="shared" si="96"/>
        <v>8.5208279101618712E-7</v>
      </c>
      <c r="H177" s="52">
        <f t="shared" si="94"/>
        <v>0</v>
      </c>
      <c r="I177" s="52">
        <f t="shared" si="113"/>
        <v>0</v>
      </c>
      <c r="J177" s="53">
        <f t="shared" si="115"/>
        <v>2.4995E-2</v>
      </c>
      <c r="K177" s="149">
        <f t="shared" si="97"/>
        <v>2.4995E-2</v>
      </c>
      <c r="L177" s="254">
        <f t="shared" si="97"/>
        <v>2.4995E-2</v>
      </c>
      <c r="M177" s="252">
        <f t="shared" si="97"/>
        <v>0</v>
      </c>
      <c r="N177" s="94">
        <f t="shared" si="98"/>
        <v>0</v>
      </c>
      <c r="O177" s="242" t="s">
        <v>486</v>
      </c>
      <c r="P177" s="242" t="s">
        <v>127</v>
      </c>
      <c r="Q177" s="150">
        <f t="shared" si="114"/>
        <v>-8.8653614244165425E-5</v>
      </c>
      <c r="R177" s="82">
        <f t="shared" si="114"/>
        <v>-8.5208279101618717E-5</v>
      </c>
      <c r="S177" s="75">
        <f t="shared" si="112"/>
        <v>0</v>
      </c>
      <c r="T177" s="137">
        <f t="shared" si="112"/>
        <v>0</v>
      </c>
      <c r="U177" s="75">
        <f t="shared" si="112"/>
        <v>0</v>
      </c>
      <c r="V177" s="75">
        <f t="shared" si="112"/>
        <v>0</v>
      </c>
      <c r="W177" s="151">
        <v>-2.4995E-2</v>
      </c>
      <c r="X177" s="255">
        <v>-2.4995E-2</v>
      </c>
      <c r="Y177" s="248">
        <v>0</v>
      </c>
      <c r="Z177" s="132">
        <v>0</v>
      </c>
      <c r="AA177" s="207">
        <v>0</v>
      </c>
      <c r="AB177" s="207">
        <v>0</v>
      </c>
      <c r="AC177" s="176">
        <v>0</v>
      </c>
      <c r="AD177" s="176">
        <f t="shared" si="99"/>
        <v>0</v>
      </c>
      <c r="AE177" s="51" t="s">
        <v>986</v>
      </c>
    </row>
    <row r="178" spans="1:31" ht="48.75" customHeight="1" outlineLevel="1" x14ac:dyDescent="0.35">
      <c r="A178" s="1307"/>
      <c r="B178" s="1308"/>
      <c r="C178" s="63">
        <v>44076</v>
      </c>
      <c r="D178" s="48" t="s">
        <v>247</v>
      </c>
      <c r="E178" s="49" t="s">
        <v>987</v>
      </c>
      <c r="F178" s="124">
        <f t="shared" si="77"/>
        <v>0</v>
      </c>
      <c r="G178" s="52">
        <f t="shared" si="96"/>
        <v>0</v>
      </c>
      <c r="H178" s="52">
        <f t="shared" si="94"/>
        <v>8.0938268846955843E-6</v>
      </c>
      <c r="I178" s="52">
        <f t="shared" si="113"/>
        <v>0</v>
      </c>
      <c r="J178" s="53">
        <f t="shared" si="115"/>
        <v>0.24790499999999999</v>
      </c>
      <c r="K178" s="149">
        <f t="shared" si="97"/>
        <v>0</v>
      </c>
      <c r="L178" s="254">
        <f t="shared" si="97"/>
        <v>0</v>
      </c>
      <c r="M178" s="252">
        <f t="shared" si="97"/>
        <v>0.24790499999999999</v>
      </c>
      <c r="N178" s="94">
        <f t="shared" si="98"/>
        <v>0</v>
      </c>
      <c r="O178" s="242" t="s">
        <v>483</v>
      </c>
      <c r="P178" s="242" t="s">
        <v>129</v>
      </c>
      <c r="Q178" s="150">
        <f t="shared" si="114"/>
        <v>0</v>
      </c>
      <c r="R178" s="82">
        <f t="shared" si="114"/>
        <v>0</v>
      </c>
      <c r="S178" s="75">
        <f t="shared" si="112"/>
        <v>-8.0938268846955847E-4</v>
      </c>
      <c r="T178" s="137">
        <f t="shared" si="112"/>
        <v>-8.0938268846955847E-4</v>
      </c>
      <c r="U178" s="75">
        <f t="shared" si="112"/>
        <v>0</v>
      </c>
      <c r="V178" s="75">
        <f t="shared" si="112"/>
        <v>0</v>
      </c>
      <c r="W178" s="151">
        <v>0</v>
      </c>
      <c r="X178" s="255">
        <v>0</v>
      </c>
      <c r="Y178" s="248">
        <v>-0.24790499999999999</v>
      </c>
      <c r="Z178" s="132">
        <v>-0.24790499999999999</v>
      </c>
      <c r="AA178" s="207">
        <v>0</v>
      </c>
      <c r="AB178" s="207">
        <v>0</v>
      </c>
      <c r="AC178" s="176">
        <v>-2.4535000000000001E-2</v>
      </c>
      <c r="AD178" s="176">
        <f t="shared" si="99"/>
        <v>2.4535000000000001E-2</v>
      </c>
      <c r="AE178" s="51" t="s">
        <v>988</v>
      </c>
    </row>
    <row r="179" spans="1:31" ht="58" outlineLevel="1" x14ac:dyDescent="0.35">
      <c r="A179" s="1307"/>
      <c r="B179" s="1308"/>
      <c r="C179" s="63" t="s">
        <v>374</v>
      </c>
      <c r="D179" s="48" t="s">
        <v>989</v>
      </c>
      <c r="E179" s="49" t="s">
        <v>990</v>
      </c>
      <c r="F179" s="124">
        <f t="shared" si="77"/>
        <v>7.4838618145704761E-6</v>
      </c>
      <c r="G179" s="52">
        <f t="shared" si="96"/>
        <v>7.1482229292666621E-6</v>
      </c>
      <c r="H179" s="52">
        <f t="shared" si="94"/>
        <v>0</v>
      </c>
      <c r="I179" s="52">
        <f t="shared" si="113"/>
        <v>0</v>
      </c>
      <c r="J179" s="53">
        <f t="shared" si="115"/>
        <v>0.20968600000000001</v>
      </c>
      <c r="K179" s="149">
        <f t="shared" si="97"/>
        <v>0.21099999999999999</v>
      </c>
      <c r="L179" s="254">
        <f t="shared" si="97"/>
        <v>0.20968600000000001</v>
      </c>
      <c r="M179" s="252">
        <f t="shared" si="97"/>
        <v>0</v>
      </c>
      <c r="N179" s="94">
        <f t="shared" si="98"/>
        <v>0</v>
      </c>
      <c r="O179" s="242" t="s">
        <v>489</v>
      </c>
      <c r="P179" s="242" t="s">
        <v>129</v>
      </c>
      <c r="Q179" s="150">
        <f t="shared" si="114"/>
        <v>-7.483861814570476E-4</v>
      </c>
      <c r="R179" s="82">
        <f t="shared" si="114"/>
        <v>-7.1482229292666626E-4</v>
      </c>
      <c r="S179" s="75">
        <f t="shared" si="112"/>
        <v>0</v>
      </c>
      <c r="T179" s="137">
        <f t="shared" si="112"/>
        <v>0</v>
      </c>
      <c r="U179" s="75">
        <f t="shared" si="112"/>
        <v>0</v>
      </c>
      <c r="V179" s="75">
        <f t="shared" si="112"/>
        <v>0</v>
      </c>
      <c r="W179" s="151">
        <v>-0.21099999999999999</v>
      </c>
      <c r="X179" s="255">
        <v>-0.20968600000000001</v>
      </c>
      <c r="Y179" s="248">
        <v>0</v>
      </c>
      <c r="Z179" s="132">
        <v>0</v>
      </c>
      <c r="AA179" s="207">
        <v>0</v>
      </c>
      <c r="AB179" s="207">
        <v>0</v>
      </c>
      <c r="AC179" s="176">
        <v>0</v>
      </c>
      <c r="AD179" s="176">
        <f t="shared" si="99"/>
        <v>0</v>
      </c>
      <c r="AE179" s="51" t="s">
        <v>990</v>
      </c>
    </row>
    <row r="180" spans="1:31" ht="101.5" outlineLevel="1" x14ac:dyDescent="0.35">
      <c r="A180" s="1307"/>
      <c r="B180" s="1308"/>
      <c r="C180" s="63" t="s">
        <v>374</v>
      </c>
      <c r="D180" s="48" t="s">
        <v>991</v>
      </c>
      <c r="E180" s="49" t="s">
        <v>396</v>
      </c>
      <c r="F180" s="124">
        <f t="shared" si="77"/>
        <v>1.230651911754274E-5</v>
      </c>
      <c r="G180" s="52">
        <f t="shared" si="96"/>
        <v>1.182825229041354E-5</v>
      </c>
      <c r="H180" s="52">
        <f t="shared" si="94"/>
        <v>0</v>
      </c>
      <c r="I180" s="52">
        <f t="shared" si="113"/>
        <v>0</v>
      </c>
      <c r="J180" s="53">
        <f t="shared" si="115"/>
        <v>0.34697</v>
      </c>
      <c r="K180" s="149">
        <f t="shared" si="97"/>
        <v>0.34697</v>
      </c>
      <c r="L180" s="254">
        <f t="shared" si="97"/>
        <v>0.34697</v>
      </c>
      <c r="M180" s="252">
        <f t="shared" si="97"/>
        <v>0</v>
      </c>
      <c r="N180" s="94">
        <f t="shared" si="98"/>
        <v>0</v>
      </c>
      <c r="O180" s="242" t="s">
        <v>459</v>
      </c>
      <c r="P180" s="242" t="s">
        <v>129</v>
      </c>
      <c r="Q180" s="150">
        <f t="shared" si="114"/>
        <v>-1.230651911754274E-3</v>
      </c>
      <c r="R180" s="82">
        <f t="shared" si="114"/>
        <v>-1.182825229041354E-3</v>
      </c>
      <c r="S180" s="75">
        <f t="shared" si="112"/>
        <v>0</v>
      </c>
      <c r="T180" s="137">
        <f t="shared" si="112"/>
        <v>0</v>
      </c>
      <c r="U180" s="75">
        <f t="shared" si="112"/>
        <v>0</v>
      </c>
      <c r="V180" s="75">
        <f t="shared" si="112"/>
        <v>0</v>
      </c>
      <c r="W180" s="151">
        <v>-0.34697</v>
      </c>
      <c r="X180" s="255">
        <f>-0.08697-0.26</f>
        <v>-0.34697</v>
      </c>
      <c r="Y180" s="248">
        <v>0</v>
      </c>
      <c r="Z180" s="132">
        <v>0</v>
      </c>
      <c r="AA180" s="207">
        <v>0</v>
      </c>
      <c r="AB180" s="207">
        <v>0</v>
      </c>
      <c r="AC180" s="176">
        <v>0</v>
      </c>
      <c r="AD180" s="176">
        <f t="shared" si="99"/>
        <v>0</v>
      </c>
      <c r="AE180" s="51" t="s">
        <v>992</v>
      </c>
    </row>
    <row r="181" spans="1:31" ht="58" outlineLevel="1" x14ac:dyDescent="0.35">
      <c r="A181" s="1307"/>
      <c r="B181" s="1308"/>
      <c r="C181" s="63" t="s">
        <v>418</v>
      </c>
      <c r="D181" s="48" t="s">
        <v>993</v>
      </c>
      <c r="E181" s="49" t="s">
        <v>994</v>
      </c>
      <c r="F181" s="124">
        <f t="shared" si="77"/>
        <v>1.1122933957579626E-6</v>
      </c>
      <c r="G181" s="52">
        <f t="shared" si="96"/>
        <v>1.0690664663439739E-6</v>
      </c>
      <c r="H181" s="52">
        <f t="shared" si="94"/>
        <v>0</v>
      </c>
      <c r="I181" s="52">
        <f t="shared" si="113"/>
        <v>0</v>
      </c>
      <c r="J181" s="53">
        <f t="shared" si="115"/>
        <v>3.1359999999999999E-2</v>
      </c>
      <c r="K181" s="149">
        <f t="shared" ref="K181:M202" si="116">-W181</f>
        <v>3.1359999999999999E-2</v>
      </c>
      <c r="L181" s="254">
        <f t="shared" si="116"/>
        <v>3.1359999999999999E-2</v>
      </c>
      <c r="M181" s="252">
        <f t="shared" si="116"/>
        <v>0</v>
      </c>
      <c r="N181" s="94">
        <f t="shared" si="98"/>
        <v>0</v>
      </c>
      <c r="O181" s="242" t="s">
        <v>478</v>
      </c>
      <c r="P181" s="242" t="s">
        <v>127</v>
      </c>
      <c r="Q181" s="150">
        <f t="shared" si="114"/>
        <v>-1.1122933957579626E-4</v>
      </c>
      <c r="R181" s="82">
        <f t="shared" si="114"/>
        <v>-1.0690664663439739E-4</v>
      </c>
      <c r="S181" s="75">
        <f t="shared" si="112"/>
        <v>0</v>
      </c>
      <c r="T181" s="137">
        <f t="shared" si="112"/>
        <v>0</v>
      </c>
      <c r="U181" s="75">
        <f t="shared" si="112"/>
        <v>0</v>
      </c>
      <c r="V181" s="75">
        <f t="shared" si="112"/>
        <v>0</v>
      </c>
      <c r="W181" s="151">
        <v>-3.1359999999999999E-2</v>
      </c>
      <c r="X181" s="255">
        <v>-3.1359999999999999E-2</v>
      </c>
      <c r="Y181" s="248">
        <v>0</v>
      </c>
      <c r="Z181" s="132">
        <v>0</v>
      </c>
      <c r="AA181" s="207">
        <v>0</v>
      </c>
      <c r="AB181" s="207">
        <v>0</v>
      </c>
      <c r="AC181" s="176">
        <v>0</v>
      </c>
      <c r="AD181" s="176">
        <f t="shared" si="99"/>
        <v>0</v>
      </c>
      <c r="AE181" s="51" t="s">
        <v>995</v>
      </c>
    </row>
    <row r="182" spans="1:31" ht="58" outlineLevel="1" x14ac:dyDescent="0.35">
      <c r="A182" s="1307"/>
      <c r="B182" s="1308"/>
      <c r="C182" s="63" t="s">
        <v>418</v>
      </c>
      <c r="D182" s="48" t="s">
        <v>996</v>
      </c>
      <c r="E182" s="49" t="s">
        <v>997</v>
      </c>
      <c r="F182" s="124">
        <f t="shared" si="77"/>
        <v>3.3554657019223946E-6</v>
      </c>
      <c r="G182" s="52">
        <f t="shared" si="96"/>
        <v>3.2250626269772096E-6</v>
      </c>
      <c r="H182" s="52">
        <f t="shared" si="94"/>
        <v>0</v>
      </c>
      <c r="I182" s="52">
        <f t="shared" si="113"/>
        <v>0</v>
      </c>
      <c r="J182" s="53">
        <f t="shared" si="115"/>
        <v>9.4603999999999994E-2</v>
      </c>
      <c r="K182" s="149">
        <f t="shared" si="116"/>
        <v>9.4603999999999994E-2</v>
      </c>
      <c r="L182" s="254">
        <f t="shared" si="116"/>
        <v>9.4603999999999994E-2</v>
      </c>
      <c r="M182" s="252">
        <f t="shared" si="116"/>
        <v>0</v>
      </c>
      <c r="N182" s="94">
        <f t="shared" si="98"/>
        <v>0</v>
      </c>
      <c r="O182" s="242" t="s">
        <v>454</v>
      </c>
      <c r="P182" s="242" t="s">
        <v>129</v>
      </c>
      <c r="Q182" s="150">
        <f t="shared" si="114"/>
        <v>-3.3554657019223944E-4</v>
      </c>
      <c r="R182" s="82">
        <f t="shared" si="114"/>
        <v>-3.2250626269772096E-4</v>
      </c>
      <c r="S182" s="75">
        <f t="shared" si="112"/>
        <v>0</v>
      </c>
      <c r="T182" s="137">
        <f t="shared" si="112"/>
        <v>0</v>
      </c>
      <c r="U182" s="75">
        <f t="shared" si="112"/>
        <v>0</v>
      </c>
      <c r="V182" s="75">
        <f t="shared" si="112"/>
        <v>0</v>
      </c>
      <c r="W182" s="151">
        <v>-9.4603999999999994E-2</v>
      </c>
      <c r="X182" s="255">
        <v>-9.4603999999999994E-2</v>
      </c>
      <c r="Y182" s="248">
        <v>0</v>
      </c>
      <c r="Z182" s="132">
        <v>0</v>
      </c>
      <c r="AA182" s="207">
        <v>0</v>
      </c>
      <c r="AB182" s="207">
        <v>0</v>
      </c>
      <c r="AC182" s="176">
        <v>0</v>
      </c>
      <c r="AD182" s="176">
        <f t="shared" si="99"/>
        <v>0</v>
      </c>
      <c r="AE182" s="51" t="s">
        <v>998</v>
      </c>
    </row>
    <row r="183" spans="1:31" ht="58" outlineLevel="1" x14ac:dyDescent="0.35">
      <c r="A183" s="1307"/>
      <c r="B183" s="1308"/>
      <c r="C183" s="63" t="s">
        <v>516</v>
      </c>
      <c r="D183" s="48" t="s">
        <v>999</v>
      </c>
      <c r="E183" s="49" t="s">
        <v>1000</v>
      </c>
      <c r="F183" s="124">
        <f t="shared" si="77"/>
        <v>1.2768674185997021E-6</v>
      </c>
      <c r="G183" s="52">
        <f t="shared" si="96"/>
        <v>1.2272446679969087E-6</v>
      </c>
      <c r="H183" s="52">
        <f t="shared" si="94"/>
        <v>9.7946716097241901E-7</v>
      </c>
      <c r="I183" s="52">
        <f t="shared" si="113"/>
        <v>0</v>
      </c>
      <c r="J183" s="53">
        <f t="shared" si="115"/>
        <v>6.6000000000000003E-2</v>
      </c>
      <c r="K183" s="149">
        <f t="shared" si="116"/>
        <v>3.5999999999999997E-2</v>
      </c>
      <c r="L183" s="254">
        <f t="shared" si="116"/>
        <v>3.5999999999999997E-2</v>
      </c>
      <c r="M183" s="252">
        <f t="shared" si="116"/>
        <v>0.03</v>
      </c>
      <c r="N183" s="94">
        <f t="shared" si="98"/>
        <v>0</v>
      </c>
      <c r="O183" s="242" t="s">
        <v>480</v>
      </c>
      <c r="P183" s="242" t="s">
        <v>129</v>
      </c>
      <c r="Q183" s="150">
        <f t="shared" si="114"/>
        <v>-1.2768674185997019E-4</v>
      </c>
      <c r="R183" s="82">
        <f t="shared" si="114"/>
        <v>-1.2272446679969086E-4</v>
      </c>
      <c r="S183" s="75">
        <f t="shared" si="112"/>
        <v>-9.7946716097241902E-5</v>
      </c>
      <c r="T183" s="137">
        <f t="shared" si="112"/>
        <v>-9.7946716097241902E-5</v>
      </c>
      <c r="U183" s="75">
        <f t="shared" si="112"/>
        <v>0</v>
      </c>
      <c r="V183" s="75">
        <f t="shared" si="112"/>
        <v>0</v>
      </c>
      <c r="W183" s="151">
        <v>-3.5999999999999997E-2</v>
      </c>
      <c r="X183" s="255">
        <v>-3.5999999999999997E-2</v>
      </c>
      <c r="Y183" s="248">
        <v>-0.03</v>
      </c>
      <c r="Z183" s="132">
        <v>-0.03</v>
      </c>
      <c r="AA183" s="207">
        <v>0</v>
      </c>
      <c r="AB183" s="207">
        <v>0</v>
      </c>
      <c r="AC183" s="176">
        <v>0</v>
      </c>
      <c r="AD183" s="176">
        <f t="shared" si="99"/>
        <v>0</v>
      </c>
      <c r="AE183" s="49" t="s">
        <v>1001</v>
      </c>
    </row>
    <row r="184" spans="1:31" ht="64.5" customHeight="1" outlineLevel="1" x14ac:dyDescent="0.35">
      <c r="A184" s="1307"/>
      <c r="B184" s="1308"/>
      <c r="C184" s="63">
        <v>44239</v>
      </c>
      <c r="D184" s="48" t="s">
        <v>1272</v>
      </c>
      <c r="E184" s="49" t="s">
        <v>1002</v>
      </c>
      <c r="F184" s="124">
        <f t="shared" si="77"/>
        <v>0</v>
      </c>
      <c r="G184" s="52">
        <f t="shared" si="96"/>
        <v>0</v>
      </c>
      <c r="H184" s="52">
        <f t="shared" si="94"/>
        <v>4.1670124407356933E-6</v>
      </c>
      <c r="I184" s="52">
        <f t="shared" si="113"/>
        <v>0</v>
      </c>
      <c r="J184" s="53">
        <f t="shared" si="115"/>
        <v>0.12763099999999999</v>
      </c>
      <c r="K184" s="149">
        <f t="shared" si="116"/>
        <v>0</v>
      </c>
      <c r="L184" s="254">
        <f t="shared" si="116"/>
        <v>0</v>
      </c>
      <c r="M184" s="252">
        <f t="shared" si="116"/>
        <v>0.12763099999999999</v>
      </c>
      <c r="N184" s="94">
        <f t="shared" si="98"/>
        <v>0</v>
      </c>
      <c r="O184" s="242" t="s">
        <v>1003</v>
      </c>
      <c r="P184" s="242" t="s">
        <v>129</v>
      </c>
      <c r="Q184" s="150">
        <f t="shared" si="114"/>
        <v>0</v>
      </c>
      <c r="R184" s="82">
        <f t="shared" si="114"/>
        <v>0</v>
      </c>
      <c r="S184" s="75">
        <f t="shared" si="112"/>
        <v>-4.1670124407356931E-4</v>
      </c>
      <c r="T184" s="137">
        <f t="shared" si="112"/>
        <v>-4.1670124407356931E-4</v>
      </c>
      <c r="U184" s="75">
        <f t="shared" si="112"/>
        <v>0</v>
      </c>
      <c r="V184" s="75">
        <f t="shared" si="112"/>
        <v>0</v>
      </c>
      <c r="W184" s="151">
        <v>0</v>
      </c>
      <c r="X184" s="255">
        <v>0</v>
      </c>
      <c r="Y184" s="248">
        <v>-0.12763099999999999</v>
      </c>
      <c r="Z184" s="132">
        <v>-0.12763099999999999</v>
      </c>
      <c r="AA184" s="207">
        <v>0</v>
      </c>
      <c r="AB184" s="207">
        <v>0</v>
      </c>
      <c r="AC184" s="176">
        <v>-1.3014E-2</v>
      </c>
      <c r="AD184" s="176">
        <f t="shared" si="99"/>
        <v>1.3014E-2</v>
      </c>
      <c r="AE184" s="49" t="s">
        <v>1004</v>
      </c>
    </row>
    <row r="185" spans="1:31" ht="64.5" customHeight="1" outlineLevel="1" x14ac:dyDescent="0.35">
      <c r="A185" s="1307"/>
      <c r="B185" s="1308"/>
      <c r="C185" s="63">
        <v>44250</v>
      </c>
      <c r="D185" s="48" t="s">
        <v>1273</v>
      </c>
      <c r="E185" s="49" t="s">
        <v>1125</v>
      </c>
      <c r="F185" s="124">
        <f t="shared" si="77"/>
        <v>0</v>
      </c>
      <c r="G185" s="52">
        <f t="shared" si="96"/>
        <v>0</v>
      </c>
      <c r="H185" s="52">
        <f t="shared" si="94"/>
        <v>2.6760675283034776E-5</v>
      </c>
      <c r="I185" s="52">
        <f t="shared" si="113"/>
        <v>0</v>
      </c>
      <c r="J185" s="53">
        <f t="shared" si="115"/>
        <v>0.81964999999999999</v>
      </c>
      <c r="K185" s="149">
        <f t="shared" si="116"/>
        <v>0</v>
      </c>
      <c r="L185" s="254">
        <f>-X185</f>
        <v>0</v>
      </c>
      <c r="M185" s="252">
        <f t="shared" si="116"/>
        <v>0.81964999999999999</v>
      </c>
      <c r="N185" s="94">
        <f t="shared" si="98"/>
        <v>0</v>
      </c>
      <c r="O185" s="242" t="s">
        <v>480</v>
      </c>
      <c r="P185" s="242" t="s">
        <v>129</v>
      </c>
      <c r="Q185" s="150">
        <f t="shared" si="114"/>
        <v>0</v>
      </c>
      <c r="R185" s="82">
        <f t="shared" si="114"/>
        <v>0</v>
      </c>
      <c r="S185" s="75">
        <f t="shared" si="112"/>
        <v>-2.6760675283034776E-3</v>
      </c>
      <c r="T185" s="137">
        <f t="shared" si="112"/>
        <v>-2.6760675283034776E-3</v>
      </c>
      <c r="U185" s="75">
        <f t="shared" si="112"/>
        <v>0</v>
      </c>
      <c r="V185" s="75">
        <f t="shared" si="112"/>
        <v>0</v>
      </c>
      <c r="W185" s="151">
        <v>0</v>
      </c>
      <c r="X185" s="255">
        <v>0</v>
      </c>
      <c r="Y185" s="248">
        <v>-0.81964999999999999</v>
      </c>
      <c r="Z185" s="132">
        <v>-0.81964999999999999</v>
      </c>
      <c r="AA185" s="207">
        <v>0</v>
      </c>
      <c r="AB185" s="207">
        <v>0</v>
      </c>
      <c r="AC185" s="176">
        <v>0</v>
      </c>
      <c r="AD185" s="176">
        <f t="shared" si="99"/>
        <v>0</v>
      </c>
      <c r="AE185" s="49" t="s">
        <v>1126</v>
      </c>
    </row>
    <row r="186" spans="1:31" ht="74.25" customHeight="1" outlineLevel="1" x14ac:dyDescent="0.35">
      <c r="A186" s="1307"/>
      <c r="B186" s="1308"/>
      <c r="C186" s="63">
        <v>44260</v>
      </c>
      <c r="D186" s="48" t="s">
        <v>747</v>
      </c>
      <c r="E186" s="49" t="s">
        <v>1176</v>
      </c>
      <c r="F186" s="124">
        <f t="shared" si="77"/>
        <v>0</v>
      </c>
      <c r="G186" s="52">
        <f t="shared" si="96"/>
        <v>0</v>
      </c>
      <c r="H186" s="52">
        <f t="shared" si="94"/>
        <v>1.6256542959712898E-6</v>
      </c>
      <c r="I186" s="52">
        <f t="shared" si="113"/>
        <v>0</v>
      </c>
      <c r="J186" s="53">
        <f t="shared" si="115"/>
        <v>4.9792000000000003E-2</v>
      </c>
      <c r="K186" s="149">
        <f t="shared" si="116"/>
        <v>0</v>
      </c>
      <c r="L186" s="247">
        <f t="shared" si="116"/>
        <v>0</v>
      </c>
      <c r="M186" s="247">
        <f t="shared" si="116"/>
        <v>4.9792000000000003E-2</v>
      </c>
      <c r="N186" s="69">
        <f t="shared" si="98"/>
        <v>0</v>
      </c>
      <c r="O186" s="242" t="s">
        <v>1177</v>
      </c>
      <c r="P186" s="242" t="s">
        <v>129</v>
      </c>
      <c r="Q186" s="150">
        <f t="shared" si="114"/>
        <v>0</v>
      </c>
      <c r="R186" s="82">
        <f t="shared" si="114"/>
        <v>0</v>
      </c>
      <c r="S186" s="74">
        <f t="shared" si="112"/>
        <v>-1.6256542959712899E-4</v>
      </c>
      <c r="T186" s="136">
        <f t="shared" si="112"/>
        <v>-1.6256542959712899E-4</v>
      </c>
      <c r="U186" s="74">
        <f t="shared" si="112"/>
        <v>0</v>
      </c>
      <c r="V186" s="75">
        <f t="shared" si="112"/>
        <v>0</v>
      </c>
      <c r="W186" s="151">
        <v>0</v>
      </c>
      <c r="X186" s="248">
        <v>0</v>
      </c>
      <c r="Y186" s="248">
        <v>-4.9792000000000003E-2</v>
      </c>
      <c r="Z186" s="131">
        <v>-4.9792000000000003E-2</v>
      </c>
      <c r="AA186" s="76">
        <v>0</v>
      </c>
      <c r="AB186" s="207">
        <v>0</v>
      </c>
      <c r="AC186" s="176">
        <v>0</v>
      </c>
      <c r="AD186" s="176">
        <f>-AC186</f>
        <v>0</v>
      </c>
      <c r="AE186" s="49" t="s">
        <v>1274</v>
      </c>
    </row>
    <row r="187" spans="1:31" ht="74.25" customHeight="1" outlineLevel="1" x14ac:dyDescent="0.35">
      <c r="A187" s="1304"/>
      <c r="B187" s="1306"/>
      <c r="C187" s="63">
        <v>44313</v>
      </c>
      <c r="D187" s="48" t="s">
        <v>957</v>
      </c>
      <c r="E187" s="49" t="s">
        <v>1386</v>
      </c>
      <c r="F187" s="124"/>
      <c r="G187" s="52">
        <f>L187/$R$8</f>
        <v>0</v>
      </c>
      <c r="H187" s="52">
        <f t="shared" si="94"/>
        <v>1.2733073092641448E-5</v>
      </c>
      <c r="I187" s="52">
        <f t="shared" si="113"/>
        <v>0</v>
      </c>
      <c r="J187" s="53">
        <f t="shared" si="115"/>
        <v>0.39</v>
      </c>
      <c r="K187" s="69">
        <f t="shared" si="116"/>
        <v>0</v>
      </c>
      <c r="L187" s="247">
        <f t="shared" si="116"/>
        <v>0</v>
      </c>
      <c r="M187" s="247">
        <f t="shared" si="116"/>
        <v>0.39</v>
      </c>
      <c r="N187" s="69">
        <f t="shared" si="98"/>
        <v>0</v>
      </c>
      <c r="O187" s="242" t="s">
        <v>1177</v>
      </c>
      <c r="P187" s="241" t="s">
        <v>129</v>
      </c>
      <c r="Q187" s="74">
        <f t="shared" si="114"/>
        <v>0</v>
      </c>
      <c r="R187" s="74">
        <f t="shared" si="114"/>
        <v>0</v>
      </c>
      <c r="S187" s="74">
        <f t="shared" si="114"/>
        <v>-1.2733073092641449E-3</v>
      </c>
      <c r="T187" s="136">
        <f t="shared" si="114"/>
        <v>0</v>
      </c>
      <c r="U187" s="74">
        <f t="shared" si="114"/>
        <v>0</v>
      </c>
      <c r="V187" s="74">
        <f t="shared" si="114"/>
        <v>0</v>
      </c>
      <c r="W187" s="76">
        <v>0</v>
      </c>
      <c r="X187" s="248">
        <v>0</v>
      </c>
      <c r="Y187" s="248">
        <v>-0.39</v>
      </c>
      <c r="Z187" s="131">
        <v>0</v>
      </c>
      <c r="AA187" s="76">
        <v>0</v>
      </c>
      <c r="AB187" s="76">
        <v>0</v>
      </c>
      <c r="AC187" s="176">
        <v>0</v>
      </c>
      <c r="AD187" s="176">
        <f>-AC187</f>
        <v>0</v>
      </c>
      <c r="AE187" s="49" t="s">
        <v>1387</v>
      </c>
    </row>
    <row r="188" spans="1:31" ht="99" customHeight="1" outlineLevel="1" x14ac:dyDescent="0.35">
      <c r="A188" s="92">
        <v>12</v>
      </c>
      <c r="B188" s="171" t="s">
        <v>203</v>
      </c>
      <c r="C188" s="63">
        <v>43965</v>
      </c>
      <c r="D188" s="48" t="s">
        <v>1005</v>
      </c>
      <c r="E188" s="49" t="s">
        <v>208</v>
      </c>
      <c r="F188" s="124">
        <f t="shared" si="77"/>
        <v>2.8388309569411932E-6</v>
      </c>
      <c r="G188" s="52">
        <f t="shared" si="96"/>
        <v>2.7284717081241273E-6</v>
      </c>
      <c r="H188" s="52">
        <f t="shared" si="94"/>
        <v>0</v>
      </c>
      <c r="I188" s="52">
        <f t="shared" si="113"/>
        <v>0</v>
      </c>
      <c r="J188" s="53">
        <f t="shared" si="115"/>
        <v>8.0036999999999997E-2</v>
      </c>
      <c r="K188" s="149">
        <f t="shared" si="116"/>
        <v>8.0037999999999998E-2</v>
      </c>
      <c r="L188" s="254">
        <f t="shared" si="116"/>
        <v>8.0036999999999997E-2</v>
      </c>
      <c r="M188" s="252">
        <f t="shared" si="116"/>
        <v>0</v>
      </c>
      <c r="N188" s="94">
        <f t="shared" si="98"/>
        <v>0</v>
      </c>
      <c r="O188" s="242" t="s">
        <v>486</v>
      </c>
      <c r="P188" s="242" t="s">
        <v>130</v>
      </c>
      <c r="Q188" s="150">
        <f t="shared" si="114"/>
        <v>-2.8388309569411931E-4</v>
      </c>
      <c r="R188" s="82">
        <f t="shared" si="114"/>
        <v>-2.7284717081241272E-4</v>
      </c>
      <c r="S188" s="75">
        <f t="shared" si="112"/>
        <v>0</v>
      </c>
      <c r="T188" s="137">
        <f t="shared" si="112"/>
        <v>0</v>
      </c>
      <c r="U188" s="75">
        <f t="shared" si="112"/>
        <v>0</v>
      </c>
      <c r="V188" s="75">
        <f t="shared" si="112"/>
        <v>0</v>
      </c>
      <c r="W188" s="151">
        <v>-8.0037999999999998E-2</v>
      </c>
      <c r="X188" s="255">
        <v>-8.0036999999999997E-2</v>
      </c>
      <c r="Y188" s="248">
        <v>0</v>
      </c>
      <c r="Z188" s="132">
        <v>0</v>
      </c>
      <c r="AA188" s="207">
        <v>0</v>
      </c>
      <c r="AB188" s="207">
        <v>0</v>
      </c>
      <c r="AC188" s="176">
        <v>0</v>
      </c>
      <c r="AD188" s="176">
        <f t="shared" si="99"/>
        <v>0</v>
      </c>
      <c r="AE188" s="96" t="s">
        <v>1006</v>
      </c>
    </row>
    <row r="189" spans="1:31" ht="71.150000000000006" customHeight="1" outlineLevel="1" x14ac:dyDescent="0.35">
      <c r="A189" s="92">
        <v>13</v>
      </c>
      <c r="B189" s="171" t="s">
        <v>251</v>
      </c>
      <c r="C189" s="63" t="s">
        <v>600</v>
      </c>
      <c r="D189" s="48" t="s">
        <v>1007</v>
      </c>
      <c r="E189" s="49" t="s">
        <v>1008</v>
      </c>
      <c r="F189" s="124">
        <f t="shared" si="77"/>
        <v>5.1429382138043551E-6</v>
      </c>
      <c r="G189" s="52">
        <f t="shared" si="96"/>
        <v>0</v>
      </c>
      <c r="H189" s="52">
        <f t="shared" si="94"/>
        <v>7.9989818146080895E-6</v>
      </c>
      <c r="I189" s="52">
        <f t="shared" si="113"/>
        <v>0</v>
      </c>
      <c r="J189" s="53">
        <f t="shared" si="115"/>
        <v>0.245</v>
      </c>
      <c r="K189" s="149">
        <f t="shared" si="116"/>
        <v>0.14499999999999999</v>
      </c>
      <c r="L189" s="254">
        <f t="shared" si="116"/>
        <v>0</v>
      </c>
      <c r="M189" s="252">
        <f t="shared" si="116"/>
        <v>0.245</v>
      </c>
      <c r="N189" s="94">
        <f t="shared" si="98"/>
        <v>0</v>
      </c>
      <c r="O189" s="242" t="s">
        <v>487</v>
      </c>
      <c r="P189" s="242" t="s">
        <v>129</v>
      </c>
      <c r="Q189" s="150">
        <f t="shared" si="114"/>
        <v>-5.1429382138043554E-4</v>
      </c>
      <c r="R189" s="82">
        <f t="shared" si="114"/>
        <v>0</v>
      </c>
      <c r="S189" s="75">
        <f t="shared" si="112"/>
        <v>-7.9989818146080889E-4</v>
      </c>
      <c r="T189" s="137">
        <f t="shared" si="112"/>
        <v>-7.9989818146080889E-4</v>
      </c>
      <c r="U189" s="75">
        <f t="shared" si="112"/>
        <v>0</v>
      </c>
      <c r="V189" s="75">
        <f t="shared" si="112"/>
        <v>0</v>
      </c>
      <c r="W189" s="169">
        <v>-0.14499999999999999</v>
      </c>
      <c r="X189" s="248">
        <v>0</v>
      </c>
      <c r="Y189" s="248">
        <v>-0.245</v>
      </c>
      <c r="Z189" s="132">
        <v>-0.245</v>
      </c>
      <c r="AA189" s="207">
        <v>0</v>
      </c>
      <c r="AB189" s="207">
        <v>0</v>
      </c>
      <c r="AC189" s="176">
        <v>0</v>
      </c>
      <c r="AD189" s="176">
        <f t="shared" si="99"/>
        <v>0</v>
      </c>
      <c r="AE189" s="51" t="s">
        <v>1009</v>
      </c>
    </row>
    <row r="190" spans="1:31" ht="139.5" customHeight="1" outlineLevel="1" x14ac:dyDescent="0.35">
      <c r="A190" s="1303">
        <v>14</v>
      </c>
      <c r="B190" s="1309" t="s">
        <v>252</v>
      </c>
      <c r="C190" s="63" t="s">
        <v>299</v>
      </c>
      <c r="D190" s="65" t="s">
        <v>1010</v>
      </c>
      <c r="E190" s="49" t="s">
        <v>1011</v>
      </c>
      <c r="F190" s="124">
        <f t="shared" si="77"/>
        <v>2.2493289352344469E-4</v>
      </c>
      <c r="G190" s="52">
        <f t="shared" si="96"/>
        <v>2.1619135253407611E-4</v>
      </c>
      <c r="H190" s="52">
        <f t="shared" si="94"/>
        <v>0</v>
      </c>
      <c r="I190" s="52">
        <f t="shared" si="113"/>
        <v>0</v>
      </c>
      <c r="J190" s="53">
        <f t="shared" si="115"/>
        <v>6.3417579999999996</v>
      </c>
      <c r="K190" s="149">
        <f t="shared" si="116"/>
        <v>6.3417579999999996</v>
      </c>
      <c r="L190" s="254">
        <f t="shared" si="116"/>
        <v>6.3417579999999996</v>
      </c>
      <c r="M190" s="252">
        <f t="shared" si="116"/>
        <v>0</v>
      </c>
      <c r="N190" s="94">
        <f t="shared" si="98"/>
        <v>0</v>
      </c>
      <c r="O190" s="242" t="s">
        <v>478</v>
      </c>
      <c r="P190" s="242" t="s">
        <v>131</v>
      </c>
      <c r="Q190" s="150">
        <f t="shared" si="114"/>
        <v>-2.2493289352344469E-2</v>
      </c>
      <c r="R190" s="82">
        <f t="shared" si="114"/>
        <v>-2.1619135253407612E-2</v>
      </c>
      <c r="S190" s="75">
        <f t="shared" si="112"/>
        <v>0</v>
      </c>
      <c r="T190" s="137">
        <f t="shared" si="112"/>
        <v>0</v>
      </c>
      <c r="U190" s="75">
        <f t="shared" si="112"/>
        <v>0</v>
      </c>
      <c r="V190" s="75">
        <f t="shared" si="112"/>
        <v>0</v>
      </c>
      <c r="W190" s="151">
        <v>-6.3417579999999996</v>
      </c>
      <c r="X190" s="255">
        <v>-6.3417579999999996</v>
      </c>
      <c r="Y190" s="248">
        <v>0</v>
      </c>
      <c r="Z190" s="132">
        <v>0</v>
      </c>
      <c r="AA190" s="207">
        <v>0</v>
      </c>
      <c r="AB190" s="207">
        <v>0</v>
      </c>
      <c r="AC190" s="176">
        <v>0</v>
      </c>
      <c r="AD190" s="176">
        <f t="shared" si="99"/>
        <v>0</v>
      </c>
      <c r="AE190" s="1421" t="s">
        <v>491</v>
      </c>
    </row>
    <row r="191" spans="1:31" ht="117" customHeight="1" outlineLevel="1" x14ac:dyDescent="0.35">
      <c r="A191" s="1307"/>
      <c r="B191" s="1310"/>
      <c r="C191" s="63" t="s">
        <v>299</v>
      </c>
      <c r="D191" s="48" t="s">
        <v>1012</v>
      </c>
      <c r="E191" s="49" t="s">
        <v>1013</v>
      </c>
      <c r="F191" s="124">
        <f t="shared" si="77"/>
        <v>9.6602915513939133E-4</v>
      </c>
      <c r="G191" s="52">
        <f t="shared" si="96"/>
        <v>9.2848647596829924E-4</v>
      </c>
      <c r="H191" s="52">
        <f t="shared" si="94"/>
        <v>0</v>
      </c>
      <c r="I191" s="52">
        <f t="shared" si="113"/>
        <v>0</v>
      </c>
      <c r="J191" s="53">
        <f t="shared" si="115"/>
        <v>27.236225999999998</v>
      </c>
      <c r="K191" s="149">
        <f t="shared" si="116"/>
        <v>27.236225999999998</v>
      </c>
      <c r="L191" s="254">
        <f t="shared" si="116"/>
        <v>27.236225999999998</v>
      </c>
      <c r="M191" s="252">
        <f t="shared" si="116"/>
        <v>0</v>
      </c>
      <c r="N191" s="94">
        <f t="shared" si="98"/>
        <v>0</v>
      </c>
      <c r="O191" s="242" t="s">
        <v>478</v>
      </c>
      <c r="P191" s="242" t="s">
        <v>127</v>
      </c>
      <c r="Q191" s="150">
        <f t="shared" si="114"/>
        <v>-9.6602915513939139E-2</v>
      </c>
      <c r="R191" s="82">
        <f t="shared" si="114"/>
        <v>-9.2848647596829925E-2</v>
      </c>
      <c r="S191" s="75">
        <f t="shared" si="112"/>
        <v>0</v>
      </c>
      <c r="T191" s="137">
        <f t="shared" si="112"/>
        <v>0</v>
      </c>
      <c r="U191" s="75">
        <f t="shared" si="112"/>
        <v>0</v>
      </c>
      <c r="V191" s="75">
        <f t="shared" si="112"/>
        <v>0</v>
      </c>
      <c r="W191" s="151">
        <v>-27.236225999999998</v>
      </c>
      <c r="X191" s="255">
        <v>-27.236225999999998</v>
      </c>
      <c r="Y191" s="248">
        <v>0</v>
      </c>
      <c r="Z191" s="132">
        <v>0</v>
      </c>
      <c r="AA191" s="207">
        <v>0</v>
      </c>
      <c r="AB191" s="207">
        <v>0</v>
      </c>
      <c r="AC191" s="176">
        <v>0</v>
      </c>
      <c r="AD191" s="176">
        <f t="shared" si="99"/>
        <v>0</v>
      </c>
      <c r="AE191" s="1421"/>
    </row>
    <row r="192" spans="1:31" ht="86.25" customHeight="1" outlineLevel="1" x14ac:dyDescent="0.35">
      <c r="A192" s="1307"/>
      <c r="B192" s="1310"/>
      <c r="C192" s="63" t="s">
        <v>299</v>
      </c>
      <c r="D192" s="48" t="s">
        <v>1014</v>
      </c>
      <c r="E192" s="49" t="s">
        <v>305</v>
      </c>
      <c r="F192" s="124">
        <f t="shared" si="77"/>
        <v>1.1499615521032844E-3</v>
      </c>
      <c r="G192" s="52">
        <f t="shared" si="96"/>
        <v>1.1052707294919573E-3</v>
      </c>
      <c r="H192" s="52">
        <f t="shared" si="94"/>
        <v>0</v>
      </c>
      <c r="I192" s="52">
        <f t="shared" si="113"/>
        <v>0</v>
      </c>
      <c r="J192" s="53">
        <f t="shared" si="115"/>
        <v>32.422015999999999</v>
      </c>
      <c r="K192" s="149">
        <f t="shared" si="116"/>
        <v>32.422015999999999</v>
      </c>
      <c r="L192" s="254">
        <f t="shared" si="116"/>
        <v>32.422015999999999</v>
      </c>
      <c r="M192" s="252">
        <f t="shared" si="116"/>
        <v>0</v>
      </c>
      <c r="N192" s="94">
        <f t="shared" si="98"/>
        <v>0</v>
      </c>
      <c r="O192" s="242" t="s">
        <v>478</v>
      </c>
      <c r="P192" s="242" t="s">
        <v>128</v>
      </c>
      <c r="Q192" s="150">
        <f t="shared" si="114"/>
        <v>-0.11499615521032844</v>
      </c>
      <c r="R192" s="82">
        <f t="shared" si="114"/>
        <v>-0.11052707294919573</v>
      </c>
      <c r="S192" s="75">
        <f t="shared" si="112"/>
        <v>0</v>
      </c>
      <c r="T192" s="137">
        <f t="shared" si="112"/>
        <v>0</v>
      </c>
      <c r="U192" s="75">
        <f t="shared" si="112"/>
        <v>0</v>
      </c>
      <c r="V192" s="75">
        <f t="shared" si="112"/>
        <v>0</v>
      </c>
      <c r="W192" s="151">
        <v>-32.422015999999999</v>
      </c>
      <c r="X192" s="255">
        <v>-32.422015999999999</v>
      </c>
      <c r="Y192" s="248">
        <v>0</v>
      </c>
      <c r="Z192" s="132">
        <v>0</v>
      </c>
      <c r="AA192" s="207">
        <v>0</v>
      </c>
      <c r="AB192" s="207">
        <v>0</v>
      </c>
      <c r="AC192" s="176">
        <v>0</v>
      </c>
      <c r="AD192" s="176">
        <f t="shared" si="99"/>
        <v>0</v>
      </c>
      <c r="AE192" s="1421"/>
    </row>
    <row r="193" spans="1:31" ht="80.25" customHeight="1" outlineLevel="1" x14ac:dyDescent="0.35">
      <c r="A193" s="1304"/>
      <c r="B193" s="1341"/>
      <c r="C193" s="63" t="s">
        <v>414</v>
      </c>
      <c r="D193" s="48" t="s">
        <v>1015</v>
      </c>
      <c r="E193" s="49" t="s">
        <v>466</v>
      </c>
      <c r="F193" s="124">
        <f t="shared" si="77"/>
        <v>3.3181517344115771E-4</v>
      </c>
      <c r="G193" s="52">
        <f t="shared" si="96"/>
        <v>3.1891987878640771E-4</v>
      </c>
      <c r="H193" s="52">
        <f t="shared" si="94"/>
        <v>0</v>
      </c>
      <c r="I193" s="52">
        <f t="shared" si="113"/>
        <v>0</v>
      </c>
      <c r="J193" s="53">
        <f t="shared" si="115"/>
        <v>9.3551970000000004</v>
      </c>
      <c r="K193" s="149">
        <f t="shared" si="116"/>
        <v>9.3551970000000004</v>
      </c>
      <c r="L193" s="254">
        <f t="shared" si="116"/>
        <v>9.3551970000000004</v>
      </c>
      <c r="M193" s="252">
        <f t="shared" si="116"/>
        <v>0</v>
      </c>
      <c r="N193" s="94">
        <f t="shared" si="98"/>
        <v>0</v>
      </c>
      <c r="O193" s="242" t="s">
        <v>478</v>
      </c>
      <c r="P193" s="242" t="s">
        <v>127</v>
      </c>
      <c r="Q193" s="150">
        <f t="shared" si="114"/>
        <v>-3.3181517344115771E-2</v>
      </c>
      <c r="R193" s="82">
        <f t="shared" si="114"/>
        <v>-3.1891987878640768E-2</v>
      </c>
      <c r="S193" s="75">
        <f t="shared" si="112"/>
        <v>0</v>
      </c>
      <c r="T193" s="137">
        <f t="shared" si="112"/>
        <v>0</v>
      </c>
      <c r="U193" s="75">
        <f t="shared" si="112"/>
        <v>0</v>
      </c>
      <c r="V193" s="75">
        <f t="shared" si="112"/>
        <v>0</v>
      </c>
      <c r="W193" s="151">
        <v>-9.3551970000000004</v>
      </c>
      <c r="X193" s="255">
        <v>-9.3551970000000004</v>
      </c>
      <c r="Y193" s="248">
        <v>0</v>
      </c>
      <c r="Z193" s="132">
        <v>0</v>
      </c>
      <c r="AA193" s="207">
        <v>0</v>
      </c>
      <c r="AB193" s="207">
        <v>0</v>
      </c>
      <c r="AC193" s="176">
        <v>0</v>
      </c>
      <c r="AD193" s="176">
        <f t="shared" si="99"/>
        <v>0</v>
      </c>
      <c r="AE193" s="51" t="s">
        <v>467</v>
      </c>
    </row>
    <row r="194" spans="1:31" ht="72.5" outlineLevel="1" x14ac:dyDescent="0.35">
      <c r="A194" s="1303">
        <v>15</v>
      </c>
      <c r="B194" s="1305" t="s">
        <v>253</v>
      </c>
      <c r="C194" s="63">
        <v>44012</v>
      </c>
      <c r="D194" s="48" t="s">
        <v>1016</v>
      </c>
      <c r="E194" s="49" t="s">
        <v>322</v>
      </c>
      <c r="F194" s="124">
        <f t="shared" si="77"/>
        <v>1.773426970277364E-4</v>
      </c>
      <c r="G194" s="52">
        <f t="shared" si="96"/>
        <v>1.7045064833290399E-4</v>
      </c>
      <c r="H194" s="52">
        <f t="shared" si="94"/>
        <v>0</v>
      </c>
      <c r="I194" s="52">
        <f t="shared" si="113"/>
        <v>0</v>
      </c>
      <c r="J194" s="53">
        <f t="shared" si="115"/>
        <v>5</v>
      </c>
      <c r="K194" s="149">
        <f t="shared" si="116"/>
        <v>5</v>
      </c>
      <c r="L194" s="254">
        <f t="shared" si="116"/>
        <v>5</v>
      </c>
      <c r="M194" s="252">
        <f t="shared" si="116"/>
        <v>0</v>
      </c>
      <c r="N194" s="94">
        <f t="shared" si="98"/>
        <v>0</v>
      </c>
      <c r="O194" s="242" t="s">
        <v>482</v>
      </c>
      <c r="P194" s="242" t="s">
        <v>127</v>
      </c>
      <c r="Q194" s="150">
        <f t="shared" si="114"/>
        <v>-1.7734269702773642E-2</v>
      </c>
      <c r="R194" s="82">
        <f t="shared" si="114"/>
        <v>-1.7045064833290397E-2</v>
      </c>
      <c r="S194" s="75">
        <f t="shared" si="112"/>
        <v>0</v>
      </c>
      <c r="T194" s="137">
        <f t="shared" si="112"/>
        <v>0</v>
      </c>
      <c r="U194" s="75">
        <f t="shared" si="112"/>
        <v>0</v>
      </c>
      <c r="V194" s="75">
        <f t="shared" si="112"/>
        <v>0</v>
      </c>
      <c r="W194" s="151">
        <v>-5</v>
      </c>
      <c r="X194" s="255">
        <v>-5</v>
      </c>
      <c r="Y194" s="248">
        <v>0</v>
      </c>
      <c r="Z194" s="132">
        <v>0</v>
      </c>
      <c r="AA194" s="207">
        <v>0</v>
      </c>
      <c r="AB194" s="207">
        <v>0</v>
      </c>
      <c r="AC194" s="176">
        <v>0</v>
      </c>
      <c r="AD194" s="176">
        <f t="shared" si="99"/>
        <v>0</v>
      </c>
      <c r="AE194" s="51" t="s">
        <v>1017</v>
      </c>
    </row>
    <row r="195" spans="1:31" ht="44.25" customHeight="1" outlineLevel="1" x14ac:dyDescent="0.35">
      <c r="A195" s="1304"/>
      <c r="B195" s="1306"/>
      <c r="C195" s="63">
        <v>44315</v>
      </c>
      <c r="D195" s="48" t="s">
        <v>1388</v>
      </c>
      <c r="E195" s="49" t="s">
        <v>1389</v>
      </c>
      <c r="F195" s="124"/>
      <c r="G195" s="52">
        <f t="shared" si="96"/>
        <v>0</v>
      </c>
      <c r="H195" s="52">
        <f t="shared" si="94"/>
        <v>2.6119124292597841E-4</v>
      </c>
      <c r="I195" s="52">
        <f t="shared" si="113"/>
        <v>0</v>
      </c>
      <c r="J195" s="53">
        <f t="shared" si="115"/>
        <v>8</v>
      </c>
      <c r="K195" s="193">
        <f t="shared" si="116"/>
        <v>0</v>
      </c>
      <c r="L195" s="254">
        <f t="shared" si="116"/>
        <v>0</v>
      </c>
      <c r="M195" s="252">
        <f t="shared" si="116"/>
        <v>8</v>
      </c>
      <c r="N195" s="94">
        <f t="shared" si="98"/>
        <v>0</v>
      </c>
      <c r="O195" s="242" t="s">
        <v>459</v>
      </c>
      <c r="P195" s="242" t="s">
        <v>127</v>
      </c>
      <c r="Q195" s="194">
        <f t="shared" si="114"/>
        <v>0</v>
      </c>
      <c r="R195" s="82">
        <f t="shared" si="114"/>
        <v>0</v>
      </c>
      <c r="S195" s="75">
        <f t="shared" si="114"/>
        <v>-2.6119124292597842E-2</v>
      </c>
      <c r="T195" s="137">
        <f t="shared" si="114"/>
        <v>0</v>
      </c>
      <c r="U195" s="75">
        <f t="shared" si="114"/>
        <v>0</v>
      </c>
      <c r="V195" s="75">
        <f t="shared" si="114"/>
        <v>0</v>
      </c>
      <c r="W195" s="77">
        <v>0</v>
      </c>
      <c r="X195" s="255">
        <v>0</v>
      </c>
      <c r="Y195" s="248">
        <v>-8</v>
      </c>
      <c r="Z195" s="132">
        <v>0</v>
      </c>
      <c r="AA195" s="207">
        <v>0</v>
      </c>
      <c r="AB195" s="207">
        <v>0</v>
      </c>
      <c r="AC195" s="207">
        <v>0</v>
      </c>
      <c r="AD195" s="207">
        <f t="shared" si="99"/>
        <v>0</v>
      </c>
      <c r="AE195" s="51" t="s">
        <v>1390</v>
      </c>
    </row>
    <row r="196" spans="1:31" ht="58" outlineLevel="1" x14ac:dyDescent="0.35">
      <c r="A196" s="92">
        <v>16</v>
      </c>
      <c r="B196" s="171" t="s">
        <v>254</v>
      </c>
      <c r="C196" s="63" t="s">
        <v>598</v>
      </c>
      <c r="D196" s="48" t="s">
        <v>247</v>
      </c>
      <c r="E196" s="49" t="s">
        <v>1018</v>
      </c>
      <c r="F196" s="124">
        <f t="shared" si="77"/>
        <v>0</v>
      </c>
      <c r="G196" s="52">
        <f t="shared" si="96"/>
        <v>0</v>
      </c>
      <c r="H196" s="52">
        <f t="shared" si="94"/>
        <v>4.8973358048620956E-4</v>
      </c>
      <c r="I196" s="52">
        <f t="shared" si="113"/>
        <v>0</v>
      </c>
      <c r="J196" s="53">
        <f t="shared" si="115"/>
        <v>15</v>
      </c>
      <c r="K196" s="149">
        <f t="shared" si="116"/>
        <v>0</v>
      </c>
      <c r="L196" s="254">
        <f t="shared" si="116"/>
        <v>0</v>
      </c>
      <c r="M196" s="252">
        <f t="shared" si="116"/>
        <v>15</v>
      </c>
      <c r="N196" s="94">
        <f t="shared" si="98"/>
        <v>0</v>
      </c>
      <c r="O196" s="242" t="s">
        <v>488</v>
      </c>
      <c r="P196" s="242" t="s">
        <v>127</v>
      </c>
      <c r="Q196" s="150">
        <f t="shared" si="114"/>
        <v>0</v>
      </c>
      <c r="R196" s="82">
        <f t="shared" si="114"/>
        <v>0</v>
      </c>
      <c r="S196" s="75">
        <v>-4.9962934025357286E-2</v>
      </c>
      <c r="T196" s="137">
        <v>-4.9962934025357286E-2</v>
      </c>
      <c r="U196" s="75">
        <f t="shared" si="114"/>
        <v>0</v>
      </c>
      <c r="V196" s="75">
        <f t="shared" si="114"/>
        <v>0</v>
      </c>
      <c r="W196" s="151">
        <v>0</v>
      </c>
      <c r="X196" s="255">
        <v>0</v>
      </c>
      <c r="Y196" s="248">
        <v>-15</v>
      </c>
      <c r="Z196" s="132">
        <v>-15</v>
      </c>
      <c r="AA196" s="207">
        <v>0</v>
      </c>
      <c r="AB196" s="207">
        <v>0</v>
      </c>
      <c r="AC196" s="176">
        <v>0</v>
      </c>
      <c r="AD196" s="176">
        <f t="shared" si="99"/>
        <v>0</v>
      </c>
      <c r="AE196" s="51" t="s">
        <v>1019</v>
      </c>
    </row>
    <row r="197" spans="1:31" ht="60" customHeight="1" outlineLevel="1" x14ac:dyDescent="0.35">
      <c r="A197" s="1303">
        <v>17</v>
      </c>
      <c r="B197" s="1305" t="s">
        <v>255</v>
      </c>
      <c r="C197" s="63" t="s">
        <v>598</v>
      </c>
      <c r="D197" s="48" t="s">
        <v>247</v>
      </c>
      <c r="E197" s="49" t="s">
        <v>262</v>
      </c>
      <c r="F197" s="124">
        <f t="shared" ref="F197:F233" si="117">K197/$Q$8</f>
        <v>2.8405689153720651E-6</v>
      </c>
      <c r="G197" s="52">
        <f t="shared" si="96"/>
        <v>2.7301762146074565E-6</v>
      </c>
      <c r="H197" s="52">
        <f t="shared" si="94"/>
        <v>4.6358605164594345E-5</v>
      </c>
      <c r="I197" s="52">
        <f t="shared" si="113"/>
        <v>0</v>
      </c>
      <c r="J197" s="53">
        <f t="shared" si="115"/>
        <v>1.5</v>
      </c>
      <c r="K197" s="149">
        <f t="shared" si="116"/>
        <v>8.0087000000000005E-2</v>
      </c>
      <c r="L197" s="254">
        <f t="shared" si="116"/>
        <v>8.0087000000000005E-2</v>
      </c>
      <c r="M197" s="252">
        <f t="shared" si="116"/>
        <v>1.419913</v>
      </c>
      <c r="N197" s="94">
        <f t="shared" si="98"/>
        <v>0</v>
      </c>
      <c r="O197" s="242" t="s">
        <v>480</v>
      </c>
      <c r="P197" s="242" t="s">
        <v>129</v>
      </c>
      <c r="Q197" s="150">
        <f t="shared" si="114"/>
        <v>-2.8405689153720651E-4</v>
      </c>
      <c r="R197" s="82">
        <f t="shared" si="114"/>
        <v>-2.7301762146074568E-4</v>
      </c>
      <c r="S197" s="75">
        <f t="shared" si="114"/>
        <v>-4.6358605164594346E-3</v>
      </c>
      <c r="T197" s="137">
        <f t="shared" si="114"/>
        <v>-4.6358605164594346E-3</v>
      </c>
      <c r="U197" s="75">
        <f t="shared" si="114"/>
        <v>0</v>
      </c>
      <c r="V197" s="75">
        <f t="shared" si="114"/>
        <v>0</v>
      </c>
      <c r="W197" s="151">
        <v>-8.0087000000000005E-2</v>
      </c>
      <c r="X197" s="255">
        <v>-8.0087000000000005E-2</v>
      </c>
      <c r="Y197" s="248">
        <v>-1.419913</v>
      </c>
      <c r="Z197" s="132">
        <v>-1.419913</v>
      </c>
      <c r="AA197" s="207">
        <v>0</v>
      </c>
      <c r="AB197" s="207">
        <v>0</v>
      </c>
      <c r="AC197" s="176">
        <v>0</v>
      </c>
      <c r="AD197" s="176">
        <f t="shared" si="99"/>
        <v>0</v>
      </c>
      <c r="AE197" s="51" t="s">
        <v>1020</v>
      </c>
    </row>
    <row r="198" spans="1:31" ht="58" outlineLevel="1" x14ac:dyDescent="0.35">
      <c r="A198" s="1307"/>
      <c r="B198" s="1308"/>
      <c r="C198" s="63" t="s">
        <v>598</v>
      </c>
      <c r="D198" s="48" t="s">
        <v>247</v>
      </c>
      <c r="E198" s="49" t="s">
        <v>263</v>
      </c>
      <c r="F198" s="124">
        <f t="shared" si="117"/>
        <v>0</v>
      </c>
      <c r="G198" s="52">
        <f t="shared" si="96"/>
        <v>0</v>
      </c>
      <c r="H198" s="52">
        <f t="shared" si="94"/>
        <v>1.958934321944838E-4</v>
      </c>
      <c r="I198" s="52">
        <f t="shared" si="113"/>
        <v>0</v>
      </c>
      <c r="J198" s="53">
        <f t="shared" si="115"/>
        <v>6</v>
      </c>
      <c r="K198" s="149">
        <f t="shared" si="116"/>
        <v>0</v>
      </c>
      <c r="L198" s="254">
        <f t="shared" si="116"/>
        <v>0</v>
      </c>
      <c r="M198" s="252">
        <f t="shared" si="116"/>
        <v>6</v>
      </c>
      <c r="N198" s="94">
        <f t="shared" si="98"/>
        <v>0</v>
      </c>
      <c r="O198" s="242" t="s">
        <v>480</v>
      </c>
      <c r="P198" s="242" t="s">
        <v>129</v>
      </c>
      <c r="Q198" s="150">
        <f t="shared" si="114"/>
        <v>0</v>
      </c>
      <c r="R198" s="82">
        <f t="shared" si="114"/>
        <v>0</v>
      </c>
      <c r="S198" s="75">
        <f t="shared" si="114"/>
        <v>-1.9589343219448382E-2</v>
      </c>
      <c r="T198" s="137">
        <f t="shared" si="114"/>
        <v>-1.9589343219448382E-2</v>
      </c>
      <c r="U198" s="75">
        <f t="shared" si="114"/>
        <v>0</v>
      </c>
      <c r="V198" s="75">
        <f t="shared" si="114"/>
        <v>0</v>
      </c>
      <c r="W198" s="151">
        <v>0</v>
      </c>
      <c r="X198" s="255">
        <v>0</v>
      </c>
      <c r="Y198" s="248">
        <v>-6</v>
      </c>
      <c r="Z198" s="132">
        <v>-6</v>
      </c>
      <c r="AA198" s="207">
        <v>0</v>
      </c>
      <c r="AB198" s="207">
        <v>0</v>
      </c>
      <c r="AC198" s="176">
        <v>0</v>
      </c>
      <c r="AD198" s="176">
        <f t="shared" si="99"/>
        <v>0</v>
      </c>
      <c r="AE198" s="51" t="s">
        <v>1021</v>
      </c>
    </row>
    <row r="199" spans="1:31" ht="58" outlineLevel="1" x14ac:dyDescent="0.35">
      <c r="A199" s="1307"/>
      <c r="B199" s="1308"/>
      <c r="C199" s="63">
        <v>44103</v>
      </c>
      <c r="D199" s="48" t="s">
        <v>1022</v>
      </c>
      <c r="E199" s="49" t="s">
        <v>392</v>
      </c>
      <c r="F199" s="124">
        <f t="shared" si="117"/>
        <v>8.7036603532666526E-6</v>
      </c>
      <c r="G199" s="52">
        <f t="shared" si="96"/>
        <v>8.358797523856612E-6</v>
      </c>
      <c r="H199" s="52">
        <f t="shared" si="94"/>
        <v>0</v>
      </c>
      <c r="I199" s="52">
        <f t="shared" si="113"/>
        <v>0</v>
      </c>
      <c r="J199" s="53">
        <f t="shared" si="115"/>
        <v>0.245197</v>
      </c>
      <c r="K199" s="149">
        <f t="shared" si="116"/>
        <v>0.245391</v>
      </c>
      <c r="L199" s="254">
        <f t="shared" si="116"/>
        <v>0.245197</v>
      </c>
      <c r="M199" s="252">
        <f t="shared" si="116"/>
        <v>0</v>
      </c>
      <c r="N199" s="94">
        <f t="shared" si="98"/>
        <v>0</v>
      </c>
      <c r="O199" s="242" t="s">
        <v>480</v>
      </c>
      <c r="P199" s="242" t="s">
        <v>129</v>
      </c>
      <c r="Q199" s="150">
        <f t="shared" si="114"/>
        <v>-8.7036603532666523E-4</v>
      </c>
      <c r="R199" s="82">
        <f t="shared" si="114"/>
        <v>-8.3587975238566124E-4</v>
      </c>
      <c r="S199" s="75">
        <f t="shared" si="114"/>
        <v>0</v>
      </c>
      <c r="T199" s="137">
        <f t="shared" si="114"/>
        <v>0</v>
      </c>
      <c r="U199" s="75">
        <f t="shared" si="114"/>
        <v>0</v>
      </c>
      <c r="V199" s="75">
        <f t="shared" si="114"/>
        <v>0</v>
      </c>
      <c r="W199" s="151">
        <v>-0.245391</v>
      </c>
      <c r="X199" s="255">
        <v>-0.245197</v>
      </c>
      <c r="Y199" s="248">
        <v>0</v>
      </c>
      <c r="Z199" s="132">
        <v>0</v>
      </c>
      <c r="AA199" s="207">
        <v>0</v>
      </c>
      <c r="AB199" s="207">
        <v>0</v>
      </c>
      <c r="AC199" s="176">
        <v>0</v>
      </c>
      <c r="AD199" s="176">
        <f t="shared" si="99"/>
        <v>0</v>
      </c>
      <c r="AE199" s="51" t="s">
        <v>394</v>
      </c>
    </row>
    <row r="200" spans="1:31" ht="60" customHeight="1" outlineLevel="1" x14ac:dyDescent="0.35">
      <c r="A200" s="1307"/>
      <c r="B200" s="1308"/>
      <c r="C200" s="63">
        <v>44125</v>
      </c>
      <c r="D200" s="48" t="s">
        <v>1023</v>
      </c>
      <c r="E200" s="49" t="s">
        <v>393</v>
      </c>
      <c r="F200" s="124">
        <f t="shared" si="117"/>
        <v>2.3452862311130026E-6</v>
      </c>
      <c r="G200" s="52">
        <f t="shared" si="96"/>
        <v>2.1576324868572319E-6</v>
      </c>
      <c r="H200" s="52">
        <f t="shared" si="94"/>
        <v>0</v>
      </c>
      <c r="I200" s="52">
        <f t="shared" si="113"/>
        <v>0</v>
      </c>
      <c r="J200" s="53">
        <f t="shared" si="115"/>
        <v>6.3292000000000001E-2</v>
      </c>
      <c r="K200" s="149">
        <f t="shared" si="116"/>
        <v>6.6123000000000001E-2</v>
      </c>
      <c r="L200" s="254">
        <f t="shared" si="116"/>
        <v>6.3292000000000001E-2</v>
      </c>
      <c r="M200" s="252">
        <f t="shared" si="116"/>
        <v>0</v>
      </c>
      <c r="N200" s="94">
        <f t="shared" si="98"/>
        <v>0</v>
      </c>
      <c r="O200" s="242" t="s">
        <v>480</v>
      </c>
      <c r="P200" s="242" t="s">
        <v>130</v>
      </c>
      <c r="Q200" s="150">
        <f t="shared" si="114"/>
        <v>-2.3452862311130026E-4</v>
      </c>
      <c r="R200" s="82">
        <f t="shared" si="114"/>
        <v>-2.1576324868572319E-4</v>
      </c>
      <c r="S200" s="75">
        <f>Y200/S$8*100</f>
        <v>0</v>
      </c>
      <c r="T200" s="137">
        <f>Z200/T$8*100</f>
        <v>0</v>
      </c>
      <c r="U200" s="75">
        <f t="shared" si="114"/>
        <v>0</v>
      </c>
      <c r="V200" s="75">
        <f t="shared" si="114"/>
        <v>0</v>
      </c>
      <c r="W200" s="151">
        <v>-6.6123000000000001E-2</v>
      </c>
      <c r="X200" s="255">
        <v>-6.3292000000000001E-2</v>
      </c>
      <c r="Y200" s="248">
        <v>0</v>
      </c>
      <c r="Z200" s="132">
        <v>0</v>
      </c>
      <c r="AA200" s="207">
        <v>0</v>
      </c>
      <c r="AB200" s="207">
        <v>0</v>
      </c>
      <c r="AC200" s="176">
        <v>0</v>
      </c>
      <c r="AD200" s="176">
        <f t="shared" si="99"/>
        <v>0</v>
      </c>
      <c r="AE200" s="51" t="s">
        <v>395</v>
      </c>
    </row>
    <row r="201" spans="1:31" ht="60" customHeight="1" outlineLevel="1" x14ac:dyDescent="0.35">
      <c r="A201" s="1304"/>
      <c r="B201" s="1306"/>
      <c r="C201" s="63">
        <v>44306</v>
      </c>
      <c r="D201" s="48" t="s">
        <v>1391</v>
      </c>
      <c r="E201" s="49" t="s">
        <v>1392</v>
      </c>
      <c r="F201" s="124"/>
      <c r="G201" s="52">
        <f t="shared" si="96"/>
        <v>0</v>
      </c>
      <c r="H201" s="52">
        <f t="shared" si="94"/>
        <v>9.7352506019585309E-6</v>
      </c>
      <c r="I201" s="52">
        <f t="shared" si="113"/>
        <v>0</v>
      </c>
      <c r="J201" s="53">
        <f t="shared" si="115"/>
        <v>0.29818</v>
      </c>
      <c r="K201" s="95">
        <f t="shared" si="116"/>
        <v>6.6123000000000001E-2</v>
      </c>
      <c r="L201" s="254">
        <f t="shared" si="116"/>
        <v>0</v>
      </c>
      <c r="M201" s="252">
        <f t="shared" si="116"/>
        <v>0.29818</v>
      </c>
      <c r="N201" s="94">
        <f t="shared" si="98"/>
        <v>0</v>
      </c>
      <c r="O201" s="242" t="s">
        <v>480</v>
      </c>
      <c r="P201" s="242" t="s">
        <v>129</v>
      </c>
      <c r="Q201" s="82">
        <f t="shared" si="114"/>
        <v>-2.3452862311130026E-4</v>
      </c>
      <c r="R201" s="82">
        <f t="shared" si="114"/>
        <v>0</v>
      </c>
      <c r="S201" s="75">
        <f>Y201/S$8*100</f>
        <v>-9.7352506019585312E-4</v>
      </c>
      <c r="T201" s="137">
        <f>Z201/T$8*100</f>
        <v>0</v>
      </c>
      <c r="U201" s="75">
        <f t="shared" si="114"/>
        <v>0</v>
      </c>
      <c r="V201" s="75">
        <f t="shared" si="114"/>
        <v>0</v>
      </c>
      <c r="W201" s="77">
        <v>-6.6123000000000001E-2</v>
      </c>
      <c r="X201" s="255">
        <v>0</v>
      </c>
      <c r="Y201" s="248">
        <v>-0.29818</v>
      </c>
      <c r="Z201" s="132">
        <v>0</v>
      </c>
      <c r="AA201" s="207">
        <v>0</v>
      </c>
      <c r="AB201" s="207">
        <v>0</v>
      </c>
      <c r="AC201" s="176">
        <v>0</v>
      </c>
      <c r="AD201" s="176">
        <f t="shared" si="99"/>
        <v>0</v>
      </c>
      <c r="AE201" s="51" t="s">
        <v>1393</v>
      </c>
    </row>
    <row r="202" spans="1:31" ht="101.5" outlineLevel="1" x14ac:dyDescent="0.35">
      <c r="A202" s="1303">
        <v>18</v>
      </c>
      <c r="B202" s="1309" t="s">
        <v>256</v>
      </c>
      <c r="C202" s="63" t="s">
        <v>286</v>
      </c>
      <c r="D202" s="48" t="s">
        <v>247</v>
      </c>
      <c r="E202" s="49" t="s">
        <v>264</v>
      </c>
      <c r="F202" s="124">
        <f t="shared" si="117"/>
        <v>8.7571823792296242E-6</v>
      </c>
      <c r="G202" s="52">
        <f t="shared" si="96"/>
        <v>3.3071035921315072E-4</v>
      </c>
      <c r="H202" s="52">
        <f t="shared" si="94"/>
        <v>3.4625793320752763E-4</v>
      </c>
      <c r="I202" s="52">
        <f t="shared" si="113"/>
        <v>0</v>
      </c>
      <c r="J202" s="1311">
        <f>SUM(L202:M203)</f>
        <v>20.936558000000002</v>
      </c>
      <c r="K202" s="149">
        <f t="shared" si="116"/>
        <v>0.24690000000000001</v>
      </c>
      <c r="L202" s="1313">
        <f>-X202</f>
        <v>9.7010590000000008</v>
      </c>
      <c r="M202" s="252">
        <f t="shared" si="116"/>
        <v>10.605499</v>
      </c>
      <c r="N202" s="94">
        <f t="shared" si="98"/>
        <v>0</v>
      </c>
      <c r="O202" s="242" t="s">
        <v>1024</v>
      </c>
      <c r="P202" s="242" t="s">
        <v>127</v>
      </c>
      <c r="Q202" s="150">
        <f t="shared" si="114"/>
        <v>-8.7571823792296241E-4</v>
      </c>
      <c r="R202" s="1331">
        <f t="shared" si="114"/>
        <v>-3.3071035921315071E-2</v>
      </c>
      <c r="S202" s="75">
        <f t="shared" si="114"/>
        <v>-3.462579332075276E-2</v>
      </c>
      <c r="T202" s="137">
        <f t="shared" si="114"/>
        <v>-3.462579332075276E-2</v>
      </c>
      <c r="U202" s="75">
        <f t="shared" si="114"/>
        <v>0</v>
      </c>
      <c r="V202" s="75">
        <f t="shared" si="114"/>
        <v>0</v>
      </c>
      <c r="W202" s="151">
        <v>-0.24690000000000001</v>
      </c>
      <c r="X202" s="1418">
        <v>-9.7010590000000008</v>
      </c>
      <c r="Y202" s="248">
        <v>-10.605499</v>
      </c>
      <c r="Z202" s="132">
        <v>-10.605499</v>
      </c>
      <c r="AA202" s="207">
        <v>0</v>
      </c>
      <c r="AB202" s="207">
        <v>0</v>
      </c>
      <c r="AC202" s="1399">
        <v>-0.123199</v>
      </c>
      <c r="AD202" s="1426">
        <f t="shared" si="99"/>
        <v>0.123199</v>
      </c>
      <c r="AE202" s="103" t="s">
        <v>1025</v>
      </c>
    </row>
    <row r="203" spans="1:31" ht="95.25" customHeight="1" outlineLevel="1" x14ac:dyDescent="0.35">
      <c r="A203" s="1307"/>
      <c r="B203" s="1310"/>
      <c r="C203" s="63" t="s">
        <v>286</v>
      </c>
      <c r="D203" s="48" t="s">
        <v>247</v>
      </c>
      <c r="E203" s="49" t="s">
        <v>265</v>
      </c>
      <c r="F203" s="124">
        <f t="shared" si="117"/>
        <v>3.4184893949067179E-4</v>
      </c>
      <c r="G203" s="52">
        <f t="shared" si="96"/>
        <v>0</v>
      </c>
      <c r="H203" s="52">
        <f t="shared" si="94"/>
        <v>2.0568810380420799E-5</v>
      </c>
      <c r="I203" s="52">
        <f t="shared" si="113"/>
        <v>0</v>
      </c>
      <c r="J203" s="1312"/>
      <c r="K203" s="149">
        <f t="shared" ref="K203" si="118">-W203</f>
        <v>9.6380890000000008</v>
      </c>
      <c r="L203" s="1314"/>
      <c r="M203" s="252">
        <f t="shared" ref="M203:M234" si="119">-Y203</f>
        <v>0.63</v>
      </c>
      <c r="N203" s="94">
        <f t="shared" si="98"/>
        <v>0</v>
      </c>
      <c r="O203" s="242" t="s">
        <v>1024</v>
      </c>
      <c r="P203" s="242" t="s">
        <v>127</v>
      </c>
      <c r="Q203" s="150">
        <f t="shared" si="114"/>
        <v>-3.418489394906718E-2</v>
      </c>
      <c r="R203" s="1332"/>
      <c r="S203" s="75">
        <f t="shared" si="114"/>
        <v>-2.0568810380420799E-3</v>
      </c>
      <c r="T203" s="137">
        <f t="shared" si="114"/>
        <v>-2.0568810380420799E-3</v>
      </c>
      <c r="U203" s="75">
        <f t="shared" si="114"/>
        <v>0</v>
      </c>
      <c r="V203" s="75">
        <f t="shared" si="114"/>
        <v>0</v>
      </c>
      <c r="W203" s="151">
        <v>-9.6380890000000008</v>
      </c>
      <c r="X203" s="1420"/>
      <c r="Y203" s="248">
        <v>-0.63</v>
      </c>
      <c r="Z203" s="132">
        <v>-0.63</v>
      </c>
      <c r="AA203" s="207">
        <v>0</v>
      </c>
      <c r="AB203" s="207">
        <v>0</v>
      </c>
      <c r="AC203" s="1400"/>
      <c r="AD203" s="1427"/>
      <c r="AE203" s="103" t="s">
        <v>1026</v>
      </c>
    </row>
    <row r="204" spans="1:31" ht="72.5" outlineLevel="1" x14ac:dyDescent="0.35">
      <c r="A204" s="1307"/>
      <c r="B204" s="1310"/>
      <c r="C204" s="63">
        <v>43987</v>
      </c>
      <c r="D204" s="48" t="s">
        <v>1027</v>
      </c>
      <c r="E204" s="49" t="s">
        <v>323</v>
      </c>
      <c r="F204" s="124">
        <f t="shared" si="117"/>
        <v>3.7642984322905582E-4</v>
      </c>
      <c r="G204" s="52">
        <f t="shared" si="96"/>
        <v>3.5968567400481702E-4</v>
      </c>
      <c r="H204" s="52">
        <f t="shared" si="94"/>
        <v>0</v>
      </c>
      <c r="I204" s="52">
        <f t="shared" si="113"/>
        <v>0</v>
      </c>
      <c r="J204" s="53">
        <f t="shared" ref="J204:J234" si="120">L204+M204+N204</f>
        <v>10.551021</v>
      </c>
      <c r="K204" s="149">
        <f>-W204</f>
        <v>10.613063</v>
      </c>
      <c r="L204" s="254">
        <f t="shared" ref="L204:L217" si="121">-X204</f>
        <v>10.551021</v>
      </c>
      <c r="M204" s="252">
        <f t="shared" si="119"/>
        <v>0</v>
      </c>
      <c r="N204" s="94">
        <f t="shared" si="98"/>
        <v>0</v>
      </c>
      <c r="O204" s="242" t="s">
        <v>1024</v>
      </c>
      <c r="P204" s="242" t="s">
        <v>127</v>
      </c>
      <c r="Q204" s="150">
        <f t="shared" si="114"/>
        <v>-3.7642984322905582E-2</v>
      </c>
      <c r="R204" s="82">
        <f t="shared" si="114"/>
        <v>-3.5968567400481703E-2</v>
      </c>
      <c r="S204" s="75">
        <f t="shared" si="114"/>
        <v>0</v>
      </c>
      <c r="T204" s="137">
        <f t="shared" si="114"/>
        <v>0</v>
      </c>
      <c r="U204" s="75">
        <f t="shared" si="114"/>
        <v>0</v>
      </c>
      <c r="V204" s="75">
        <f t="shared" si="114"/>
        <v>0</v>
      </c>
      <c r="W204" s="151">
        <v>-10.613063</v>
      </c>
      <c r="X204" s="255">
        <v>-10.551021</v>
      </c>
      <c r="Y204" s="248">
        <v>0</v>
      </c>
      <c r="Z204" s="132">
        <v>0</v>
      </c>
      <c r="AA204" s="207">
        <v>0</v>
      </c>
      <c r="AB204" s="207">
        <v>0</v>
      </c>
      <c r="AC204" s="176">
        <v>0</v>
      </c>
      <c r="AD204" s="188">
        <f t="shared" ref="AD204:AD234" si="122">-AC204</f>
        <v>0</v>
      </c>
      <c r="AE204" s="103" t="s">
        <v>1028</v>
      </c>
    </row>
    <row r="205" spans="1:31" ht="58" outlineLevel="1" x14ac:dyDescent="0.35">
      <c r="A205" s="1307"/>
      <c r="B205" s="1310"/>
      <c r="C205" s="63">
        <v>44099</v>
      </c>
      <c r="D205" s="48" t="s">
        <v>1029</v>
      </c>
      <c r="E205" s="49" t="s">
        <v>352</v>
      </c>
      <c r="F205" s="124">
        <f t="shared" si="117"/>
        <v>2.363151734411577E-5</v>
      </c>
      <c r="G205" s="52">
        <f t="shared" si="96"/>
        <v>2.2589551702522432E-5</v>
      </c>
      <c r="H205" s="52">
        <f t="shared" si="94"/>
        <v>0</v>
      </c>
      <c r="I205" s="52">
        <f t="shared" si="113"/>
        <v>0</v>
      </c>
      <c r="J205" s="53">
        <f t="shared" si="120"/>
        <v>0.66264199999999995</v>
      </c>
      <c r="K205" s="149">
        <f t="shared" ref="K205:L228" si="123">-W205</f>
        <v>0.66626700000000005</v>
      </c>
      <c r="L205" s="254">
        <f t="shared" si="121"/>
        <v>0.66264199999999995</v>
      </c>
      <c r="M205" s="252">
        <f t="shared" si="119"/>
        <v>0</v>
      </c>
      <c r="N205" s="94">
        <f t="shared" si="98"/>
        <v>0</v>
      </c>
      <c r="O205" s="242" t="s">
        <v>1024</v>
      </c>
      <c r="P205" s="242" t="s">
        <v>129</v>
      </c>
      <c r="Q205" s="150">
        <f t="shared" si="114"/>
        <v>-2.3631517344115771E-3</v>
      </c>
      <c r="R205" s="82">
        <f t="shared" si="114"/>
        <v>-2.2589551702522433E-3</v>
      </c>
      <c r="S205" s="75">
        <f t="shared" si="114"/>
        <v>0</v>
      </c>
      <c r="T205" s="137">
        <f t="shared" si="114"/>
        <v>0</v>
      </c>
      <c r="U205" s="75">
        <f t="shared" si="114"/>
        <v>0</v>
      </c>
      <c r="V205" s="75">
        <f t="shared" si="114"/>
        <v>0</v>
      </c>
      <c r="W205" s="151">
        <v>-0.66626700000000005</v>
      </c>
      <c r="X205" s="255">
        <v>-0.66264199999999995</v>
      </c>
      <c r="Y205" s="248">
        <v>0</v>
      </c>
      <c r="Z205" s="132">
        <v>0</v>
      </c>
      <c r="AA205" s="207">
        <v>0</v>
      </c>
      <c r="AB205" s="207">
        <v>0</v>
      </c>
      <c r="AC205" s="176">
        <v>0</v>
      </c>
      <c r="AD205" s="188">
        <f t="shared" si="122"/>
        <v>0</v>
      </c>
      <c r="AE205" s="51" t="s">
        <v>1030</v>
      </c>
    </row>
    <row r="206" spans="1:31" ht="85.5" customHeight="1" outlineLevel="1" x14ac:dyDescent="0.35">
      <c r="A206" s="1307"/>
      <c r="B206" s="1310"/>
      <c r="C206" s="63" t="s">
        <v>704</v>
      </c>
      <c r="D206" s="48" t="s">
        <v>1031</v>
      </c>
      <c r="E206" s="49" t="s">
        <v>1032</v>
      </c>
      <c r="F206" s="124">
        <f t="shared" si="117"/>
        <v>0</v>
      </c>
      <c r="G206" s="52">
        <f t="shared" si="96"/>
        <v>0</v>
      </c>
      <c r="H206" s="52">
        <f t="shared" si="94"/>
        <v>1.9589343219448381E-5</v>
      </c>
      <c r="I206" s="52">
        <f t="shared" si="113"/>
        <v>0</v>
      </c>
      <c r="J206" s="53">
        <f t="shared" si="120"/>
        <v>0.6</v>
      </c>
      <c r="K206" s="149">
        <f t="shared" si="123"/>
        <v>0</v>
      </c>
      <c r="L206" s="254">
        <f t="shared" si="121"/>
        <v>0</v>
      </c>
      <c r="M206" s="252">
        <f t="shared" si="119"/>
        <v>0.6</v>
      </c>
      <c r="N206" s="94">
        <f t="shared" si="98"/>
        <v>0</v>
      </c>
      <c r="O206" s="242" t="s">
        <v>485</v>
      </c>
      <c r="P206" s="242" t="s">
        <v>127</v>
      </c>
      <c r="Q206" s="150">
        <f t="shared" ref="Q206:V229" si="124">W206/Q$8*100</f>
        <v>0</v>
      </c>
      <c r="R206" s="82">
        <f t="shared" si="124"/>
        <v>0</v>
      </c>
      <c r="S206" s="75">
        <f t="shared" si="124"/>
        <v>-1.9589343219448383E-3</v>
      </c>
      <c r="T206" s="137">
        <f t="shared" si="124"/>
        <v>-1.9589343219448383E-3</v>
      </c>
      <c r="U206" s="75">
        <f t="shared" si="124"/>
        <v>0</v>
      </c>
      <c r="V206" s="75">
        <f t="shared" si="124"/>
        <v>0</v>
      </c>
      <c r="W206" s="151">
        <v>0</v>
      </c>
      <c r="X206" s="255">
        <v>0</v>
      </c>
      <c r="Y206" s="248">
        <v>-0.6</v>
      </c>
      <c r="Z206" s="132">
        <v>-0.6</v>
      </c>
      <c r="AA206" s="207">
        <v>0</v>
      </c>
      <c r="AB206" s="207">
        <v>0</v>
      </c>
      <c r="AC206" s="176">
        <f>-0.309063</f>
        <v>-0.30906299999999998</v>
      </c>
      <c r="AD206" s="188">
        <f t="shared" si="122"/>
        <v>0.30906299999999998</v>
      </c>
      <c r="AE206" s="51" t="s">
        <v>1033</v>
      </c>
    </row>
    <row r="207" spans="1:31" ht="72.5" outlineLevel="1" x14ac:dyDescent="0.35">
      <c r="A207" s="1307"/>
      <c r="B207" s="1310"/>
      <c r="C207" s="63">
        <v>44166</v>
      </c>
      <c r="D207" s="48" t="s">
        <v>425</v>
      </c>
      <c r="E207" s="49" t="s">
        <v>469</v>
      </c>
      <c r="F207" s="124">
        <f t="shared" si="117"/>
        <v>0</v>
      </c>
      <c r="G207" s="52">
        <f t="shared" si="96"/>
        <v>0</v>
      </c>
      <c r="H207" s="52">
        <f t="shared" si="94"/>
        <v>3.537446863458525E-5</v>
      </c>
      <c r="I207" s="52">
        <f t="shared" si="113"/>
        <v>0</v>
      </c>
      <c r="J207" s="53">
        <f t="shared" si="120"/>
        <v>1.0834809999999999</v>
      </c>
      <c r="K207" s="149">
        <f t="shared" si="123"/>
        <v>0</v>
      </c>
      <c r="L207" s="254">
        <f t="shared" si="121"/>
        <v>0</v>
      </c>
      <c r="M207" s="252">
        <f t="shared" si="119"/>
        <v>1.0834809999999999</v>
      </c>
      <c r="N207" s="94">
        <f t="shared" si="98"/>
        <v>0</v>
      </c>
      <c r="O207" s="242" t="s">
        <v>485</v>
      </c>
      <c r="P207" s="242" t="s">
        <v>127</v>
      </c>
      <c r="Q207" s="150">
        <f t="shared" si="124"/>
        <v>0</v>
      </c>
      <c r="R207" s="82">
        <f t="shared" si="124"/>
        <v>0</v>
      </c>
      <c r="S207" s="75">
        <f t="shared" si="124"/>
        <v>-3.5374468634585248E-3</v>
      </c>
      <c r="T207" s="137">
        <f t="shared" si="124"/>
        <v>-3.5374468634585248E-3</v>
      </c>
      <c r="U207" s="75">
        <f t="shared" si="124"/>
        <v>0</v>
      </c>
      <c r="V207" s="75">
        <f t="shared" si="124"/>
        <v>0</v>
      </c>
      <c r="W207" s="151">
        <v>0</v>
      </c>
      <c r="X207" s="255">
        <v>0</v>
      </c>
      <c r="Y207" s="248">
        <v>-1.0834809999999999</v>
      </c>
      <c r="Z207" s="132">
        <v>-1.0834809999999999</v>
      </c>
      <c r="AA207" s="207">
        <v>0</v>
      </c>
      <c r="AB207" s="207">
        <v>0</v>
      </c>
      <c r="AC207" s="176">
        <v>-0.86417299999999997</v>
      </c>
      <c r="AD207" s="188">
        <f t="shared" si="122"/>
        <v>0.86417299999999997</v>
      </c>
      <c r="AE207" s="51" t="s">
        <v>1034</v>
      </c>
    </row>
    <row r="208" spans="1:31" ht="43.5" outlineLevel="1" x14ac:dyDescent="0.35">
      <c r="A208" s="1307"/>
      <c r="B208" s="1310"/>
      <c r="C208" s="63">
        <v>44166</v>
      </c>
      <c r="D208" s="48" t="s">
        <v>468</v>
      </c>
      <c r="E208" s="49" t="s">
        <v>470</v>
      </c>
      <c r="F208" s="124">
        <f t="shared" si="117"/>
        <v>7.8030786692204008E-6</v>
      </c>
      <c r="G208" s="52">
        <f t="shared" si="96"/>
        <v>7.4998285266477762E-6</v>
      </c>
      <c r="H208" s="52">
        <f>M208/$S$8</f>
        <v>0</v>
      </c>
      <c r="I208" s="52">
        <f t="shared" si="113"/>
        <v>0</v>
      </c>
      <c r="J208" s="53">
        <f t="shared" si="120"/>
        <v>0.22</v>
      </c>
      <c r="K208" s="149">
        <f t="shared" si="123"/>
        <v>0.22</v>
      </c>
      <c r="L208" s="254">
        <f t="shared" si="121"/>
        <v>0.22</v>
      </c>
      <c r="M208" s="252">
        <f t="shared" si="119"/>
        <v>0</v>
      </c>
      <c r="N208" s="94">
        <f t="shared" si="98"/>
        <v>0</v>
      </c>
      <c r="O208" s="242" t="s">
        <v>1024</v>
      </c>
      <c r="P208" s="242" t="s">
        <v>128</v>
      </c>
      <c r="Q208" s="150">
        <f t="shared" si="124"/>
        <v>-7.8030786692204006E-4</v>
      </c>
      <c r="R208" s="82">
        <f t="shared" si="124"/>
        <v>-7.499828526647776E-4</v>
      </c>
      <c r="S208" s="75">
        <f t="shared" si="124"/>
        <v>0</v>
      </c>
      <c r="T208" s="137">
        <f t="shared" si="124"/>
        <v>0</v>
      </c>
      <c r="U208" s="75">
        <f t="shared" si="124"/>
        <v>0</v>
      </c>
      <c r="V208" s="75">
        <f t="shared" si="124"/>
        <v>0</v>
      </c>
      <c r="W208" s="151">
        <v>-0.22</v>
      </c>
      <c r="X208" s="248">
        <v>-0.22</v>
      </c>
      <c r="Y208" s="248">
        <v>0</v>
      </c>
      <c r="Z208" s="132">
        <v>0</v>
      </c>
      <c r="AA208" s="207">
        <v>0</v>
      </c>
      <c r="AB208" s="207">
        <v>0</v>
      </c>
      <c r="AC208" s="176">
        <v>0</v>
      </c>
      <c r="AD208" s="188">
        <f t="shared" si="122"/>
        <v>0</v>
      </c>
      <c r="AE208" s="51" t="s">
        <v>1035</v>
      </c>
    </row>
    <row r="209" spans="1:31" ht="79.5" customHeight="1" outlineLevel="1" x14ac:dyDescent="0.35">
      <c r="A209" s="1307"/>
      <c r="B209" s="1310"/>
      <c r="C209" s="63">
        <v>44210</v>
      </c>
      <c r="D209" s="48" t="s">
        <v>1036</v>
      </c>
      <c r="E209" s="49" t="s">
        <v>1037</v>
      </c>
      <c r="F209" s="124">
        <f t="shared" si="117"/>
        <v>0</v>
      </c>
      <c r="G209" s="52">
        <f t="shared" si="96"/>
        <v>0</v>
      </c>
      <c r="H209" s="52">
        <f>M209/$S$8</f>
        <v>9.7946716097241902E-5</v>
      </c>
      <c r="I209" s="52">
        <f t="shared" si="113"/>
        <v>0</v>
      </c>
      <c r="J209" s="53">
        <f t="shared" si="120"/>
        <v>3</v>
      </c>
      <c r="K209" s="149">
        <f t="shared" si="123"/>
        <v>0</v>
      </c>
      <c r="L209" s="254">
        <f t="shared" si="121"/>
        <v>0</v>
      </c>
      <c r="M209" s="252">
        <f t="shared" si="119"/>
        <v>3</v>
      </c>
      <c r="N209" s="94">
        <f t="shared" si="98"/>
        <v>0</v>
      </c>
      <c r="O209" s="242" t="s">
        <v>1024</v>
      </c>
      <c r="P209" s="242" t="s">
        <v>127</v>
      </c>
      <c r="Q209" s="150">
        <f t="shared" si="124"/>
        <v>0</v>
      </c>
      <c r="R209" s="82">
        <f t="shared" si="124"/>
        <v>0</v>
      </c>
      <c r="S209" s="75">
        <f t="shared" si="124"/>
        <v>-9.7946716097241909E-3</v>
      </c>
      <c r="T209" s="137">
        <f t="shared" si="124"/>
        <v>-9.7946716097241909E-3</v>
      </c>
      <c r="U209" s="75">
        <f t="shared" si="124"/>
        <v>0</v>
      </c>
      <c r="V209" s="75">
        <f t="shared" si="124"/>
        <v>0</v>
      </c>
      <c r="W209" s="151">
        <v>0</v>
      </c>
      <c r="X209" s="255">
        <v>0</v>
      </c>
      <c r="Y209" s="248">
        <v>-3</v>
      </c>
      <c r="Z209" s="132">
        <v>-3</v>
      </c>
      <c r="AA209" s="207">
        <v>0</v>
      </c>
      <c r="AB209" s="207">
        <v>0</v>
      </c>
      <c r="AC209" s="176">
        <v>0</v>
      </c>
      <c r="AD209" s="188">
        <f>-AC209</f>
        <v>0</v>
      </c>
      <c r="AE209" s="51" t="s">
        <v>1038</v>
      </c>
    </row>
    <row r="210" spans="1:31" ht="79.5" customHeight="1" outlineLevel="1" x14ac:dyDescent="0.35">
      <c r="A210" s="205"/>
      <c r="B210" s="234"/>
      <c r="C210" s="63">
        <v>44231</v>
      </c>
      <c r="D210" s="48" t="s">
        <v>1039</v>
      </c>
      <c r="E210" s="49" t="s">
        <v>1040</v>
      </c>
      <c r="F210" s="124">
        <f t="shared" si="117"/>
        <v>0</v>
      </c>
      <c r="G210" s="52">
        <f t="shared" si="96"/>
        <v>0</v>
      </c>
      <c r="H210" s="52">
        <f t="shared" ref="H210" si="125">M210/$S$8</f>
        <v>1.958934321944838E-4</v>
      </c>
      <c r="I210" s="52">
        <f t="shared" si="113"/>
        <v>0</v>
      </c>
      <c r="J210" s="53">
        <f t="shared" si="120"/>
        <v>6</v>
      </c>
      <c r="K210" s="149">
        <f t="shared" si="123"/>
        <v>0</v>
      </c>
      <c r="L210" s="254">
        <f t="shared" si="121"/>
        <v>0</v>
      </c>
      <c r="M210" s="252">
        <f t="shared" si="119"/>
        <v>6</v>
      </c>
      <c r="N210" s="94">
        <f t="shared" si="98"/>
        <v>0</v>
      </c>
      <c r="O210" s="242" t="s">
        <v>1024</v>
      </c>
      <c r="P210" s="242" t="s">
        <v>127</v>
      </c>
      <c r="Q210" s="150">
        <f t="shared" si="124"/>
        <v>0</v>
      </c>
      <c r="R210" s="82">
        <f t="shared" si="124"/>
        <v>0</v>
      </c>
      <c r="S210" s="75">
        <f t="shared" si="124"/>
        <v>-1.9589343219448382E-2</v>
      </c>
      <c r="T210" s="137">
        <f t="shared" si="124"/>
        <v>-1.9589343219448382E-2</v>
      </c>
      <c r="U210" s="75">
        <f t="shared" si="124"/>
        <v>0</v>
      </c>
      <c r="V210" s="75">
        <f t="shared" si="124"/>
        <v>0</v>
      </c>
      <c r="W210" s="151">
        <v>0</v>
      </c>
      <c r="X210" s="255">
        <v>0</v>
      </c>
      <c r="Y210" s="248">
        <v>-6</v>
      </c>
      <c r="Z210" s="132">
        <v>-6</v>
      </c>
      <c r="AA210" s="207">
        <v>0</v>
      </c>
      <c r="AB210" s="207">
        <v>0</v>
      </c>
      <c r="AC210" s="176">
        <v>0</v>
      </c>
      <c r="AD210" s="188">
        <f t="shared" ref="AD210" si="126">-AC210</f>
        <v>0</v>
      </c>
      <c r="AE210" s="51" t="s">
        <v>1041</v>
      </c>
    </row>
    <row r="211" spans="1:31" ht="79.5" customHeight="1" outlineLevel="1" x14ac:dyDescent="0.35">
      <c r="A211" s="205"/>
      <c r="B211" s="234"/>
      <c r="C211" s="63">
        <v>44250</v>
      </c>
      <c r="D211" s="48" t="s">
        <v>1275</v>
      </c>
      <c r="E211" s="49" t="s">
        <v>1127</v>
      </c>
      <c r="F211" s="124">
        <f t="shared" si="117"/>
        <v>0</v>
      </c>
      <c r="G211" s="52">
        <f t="shared" si="96"/>
        <v>0</v>
      </c>
      <c r="H211" s="52">
        <f t="shared" si="94"/>
        <v>6.5297810731494601E-5</v>
      </c>
      <c r="I211" s="52">
        <f t="shared" si="113"/>
        <v>0</v>
      </c>
      <c r="J211" s="53">
        <f t="shared" si="120"/>
        <v>2</v>
      </c>
      <c r="K211" s="149">
        <f t="shared" si="123"/>
        <v>0</v>
      </c>
      <c r="L211" s="254">
        <f t="shared" si="121"/>
        <v>0</v>
      </c>
      <c r="M211" s="252">
        <f t="shared" si="119"/>
        <v>2</v>
      </c>
      <c r="N211" s="94">
        <f t="shared" si="98"/>
        <v>0</v>
      </c>
      <c r="O211" s="242" t="s">
        <v>1024</v>
      </c>
      <c r="P211" s="242" t="s">
        <v>127</v>
      </c>
      <c r="Q211" s="150">
        <f t="shared" si="124"/>
        <v>0</v>
      </c>
      <c r="R211" s="82">
        <f t="shared" si="124"/>
        <v>0</v>
      </c>
      <c r="S211" s="75">
        <f t="shared" si="124"/>
        <v>-6.5297810731494606E-3</v>
      </c>
      <c r="T211" s="137">
        <f t="shared" si="124"/>
        <v>-6.5297810731494606E-3</v>
      </c>
      <c r="U211" s="75">
        <f t="shared" si="124"/>
        <v>0</v>
      </c>
      <c r="V211" s="75">
        <f t="shared" si="124"/>
        <v>0</v>
      </c>
      <c r="W211" s="151">
        <v>0</v>
      </c>
      <c r="X211" s="255">
        <v>0</v>
      </c>
      <c r="Y211" s="248">
        <v>-2</v>
      </c>
      <c r="Z211" s="132">
        <v>-2</v>
      </c>
      <c r="AA211" s="207">
        <v>0</v>
      </c>
      <c r="AB211" s="207">
        <v>0</v>
      </c>
      <c r="AC211" s="176">
        <f>-1.645435</f>
        <v>-1.645435</v>
      </c>
      <c r="AD211" s="188">
        <f t="shared" si="122"/>
        <v>1.645435</v>
      </c>
      <c r="AE211" s="51" t="s">
        <v>1128</v>
      </c>
    </row>
    <row r="212" spans="1:31" ht="79.5" customHeight="1" outlineLevel="1" x14ac:dyDescent="0.35">
      <c r="A212" s="205"/>
      <c r="B212" s="234"/>
      <c r="C212" s="63">
        <v>44253</v>
      </c>
      <c r="D212" s="48" t="s">
        <v>1164</v>
      </c>
      <c r="E212" s="49" t="s">
        <v>1165</v>
      </c>
      <c r="F212" s="124">
        <f t="shared" si="117"/>
        <v>0</v>
      </c>
      <c r="G212" s="52">
        <f t="shared" si="96"/>
        <v>0</v>
      </c>
      <c r="H212" s="52">
        <f t="shared" si="94"/>
        <v>1.4039029307271339E-5</v>
      </c>
      <c r="I212" s="52">
        <f t="shared" si="113"/>
        <v>0</v>
      </c>
      <c r="J212" s="53">
        <f t="shared" si="120"/>
        <v>0.43</v>
      </c>
      <c r="K212" s="149">
        <f t="shared" si="123"/>
        <v>0</v>
      </c>
      <c r="L212" s="254">
        <f t="shared" si="121"/>
        <v>0</v>
      </c>
      <c r="M212" s="252">
        <f t="shared" si="119"/>
        <v>0.43</v>
      </c>
      <c r="N212" s="94">
        <f t="shared" si="98"/>
        <v>0</v>
      </c>
      <c r="O212" s="242" t="s">
        <v>485</v>
      </c>
      <c r="P212" s="242" t="s">
        <v>127</v>
      </c>
      <c r="Q212" s="150">
        <f t="shared" si="124"/>
        <v>0</v>
      </c>
      <c r="R212" s="82">
        <f t="shared" si="124"/>
        <v>0</v>
      </c>
      <c r="S212" s="75">
        <f t="shared" si="124"/>
        <v>-1.4039029307271339E-3</v>
      </c>
      <c r="T212" s="137">
        <f t="shared" si="124"/>
        <v>-1.4039029307271339E-3</v>
      </c>
      <c r="U212" s="75">
        <f t="shared" si="124"/>
        <v>0</v>
      </c>
      <c r="V212" s="75">
        <f t="shared" si="124"/>
        <v>0</v>
      </c>
      <c r="W212" s="151">
        <v>0</v>
      </c>
      <c r="X212" s="255">
        <v>0</v>
      </c>
      <c r="Y212" s="248">
        <v>-0.43</v>
      </c>
      <c r="Z212" s="132">
        <v>-0.43</v>
      </c>
      <c r="AA212" s="207">
        <v>0</v>
      </c>
      <c r="AB212" s="207">
        <v>0</v>
      </c>
      <c r="AC212" s="176">
        <v>0</v>
      </c>
      <c r="AD212" s="188">
        <f t="shared" si="122"/>
        <v>0</v>
      </c>
      <c r="AE212" s="51" t="s">
        <v>1166</v>
      </c>
    </row>
    <row r="213" spans="1:31" ht="79.5" customHeight="1" outlineLevel="1" x14ac:dyDescent="0.35">
      <c r="A213" s="205"/>
      <c r="B213" s="234"/>
      <c r="C213" s="63">
        <v>44264</v>
      </c>
      <c r="D213" s="48" t="s">
        <v>1276</v>
      </c>
      <c r="E213" s="49" t="s">
        <v>1179</v>
      </c>
      <c r="F213" s="124">
        <f t="shared" si="117"/>
        <v>0</v>
      </c>
      <c r="G213" s="52">
        <f t="shared" si="96"/>
        <v>0</v>
      </c>
      <c r="H213" s="52">
        <f t="shared" si="94"/>
        <v>9.7946716097241902E-5</v>
      </c>
      <c r="I213" s="52">
        <f t="shared" si="113"/>
        <v>0</v>
      </c>
      <c r="J213" s="53">
        <f t="shared" si="120"/>
        <v>3</v>
      </c>
      <c r="K213" s="149">
        <f t="shared" si="123"/>
        <v>0</v>
      </c>
      <c r="L213" s="254">
        <f t="shared" si="121"/>
        <v>0</v>
      </c>
      <c r="M213" s="252">
        <f t="shared" si="119"/>
        <v>3</v>
      </c>
      <c r="N213" s="94">
        <f t="shared" si="98"/>
        <v>0</v>
      </c>
      <c r="O213" s="242" t="s">
        <v>1024</v>
      </c>
      <c r="P213" s="242" t="s">
        <v>127</v>
      </c>
      <c r="Q213" s="150">
        <f t="shared" si="124"/>
        <v>0</v>
      </c>
      <c r="R213" s="82">
        <f t="shared" si="124"/>
        <v>0</v>
      </c>
      <c r="S213" s="75">
        <f t="shared" si="124"/>
        <v>-9.7946716097241909E-3</v>
      </c>
      <c r="T213" s="137">
        <f t="shared" si="124"/>
        <v>-9.7946716097241909E-3</v>
      </c>
      <c r="U213" s="75">
        <f t="shared" si="124"/>
        <v>0</v>
      </c>
      <c r="V213" s="75">
        <f t="shared" si="124"/>
        <v>0</v>
      </c>
      <c r="W213" s="151">
        <v>0</v>
      </c>
      <c r="X213" s="255">
        <v>0</v>
      </c>
      <c r="Y213" s="248">
        <v>-3</v>
      </c>
      <c r="Z213" s="132">
        <v>-3</v>
      </c>
      <c r="AA213" s="207">
        <v>0</v>
      </c>
      <c r="AB213" s="207">
        <v>0</v>
      </c>
      <c r="AC213" s="176">
        <f>-0.01589-0.001228-0.009186-0.01765-0.283794</f>
        <v>-0.32774799999999998</v>
      </c>
      <c r="AD213" s="188">
        <f t="shared" si="122"/>
        <v>0.32774799999999998</v>
      </c>
      <c r="AE213" s="51" t="s">
        <v>1180</v>
      </c>
    </row>
    <row r="214" spans="1:31" ht="104.25" customHeight="1" outlineLevel="1" x14ac:dyDescent="0.35">
      <c r="A214" s="205"/>
      <c r="B214" s="234"/>
      <c r="C214" s="63">
        <v>44313</v>
      </c>
      <c r="D214" s="48" t="s">
        <v>1394</v>
      </c>
      <c r="E214" s="49" t="s">
        <v>1395</v>
      </c>
      <c r="F214" s="124"/>
      <c r="G214" s="52">
        <f t="shared" si="96"/>
        <v>0</v>
      </c>
      <c r="H214" s="52">
        <f t="shared" si="94"/>
        <v>1.077413877069661E-5</v>
      </c>
      <c r="I214" s="52">
        <f t="shared" si="113"/>
        <v>0</v>
      </c>
      <c r="J214" s="53">
        <f t="shared" si="120"/>
        <v>0.33</v>
      </c>
      <c r="K214" s="95">
        <f t="shared" si="123"/>
        <v>0</v>
      </c>
      <c r="L214" s="254">
        <f t="shared" si="121"/>
        <v>0</v>
      </c>
      <c r="M214" s="252">
        <f t="shared" si="119"/>
        <v>0.33</v>
      </c>
      <c r="N214" s="94">
        <f t="shared" si="98"/>
        <v>0</v>
      </c>
      <c r="O214" s="242" t="s">
        <v>1024</v>
      </c>
      <c r="P214" s="242" t="s">
        <v>127</v>
      </c>
      <c r="Q214" s="82">
        <f t="shared" si="124"/>
        <v>0</v>
      </c>
      <c r="R214" s="82">
        <f t="shared" si="124"/>
        <v>0</v>
      </c>
      <c r="S214" s="75">
        <f t="shared" si="124"/>
        <v>-1.077413877069661E-3</v>
      </c>
      <c r="T214" s="137">
        <f t="shared" si="124"/>
        <v>0</v>
      </c>
      <c r="U214" s="75">
        <f t="shared" si="124"/>
        <v>0</v>
      </c>
      <c r="V214" s="75">
        <f t="shared" si="124"/>
        <v>0</v>
      </c>
      <c r="W214" s="77">
        <v>0</v>
      </c>
      <c r="X214" s="255">
        <v>0</v>
      </c>
      <c r="Y214" s="248">
        <v>-0.33</v>
      </c>
      <c r="Z214" s="132">
        <v>0</v>
      </c>
      <c r="AA214" s="207">
        <v>0</v>
      </c>
      <c r="AB214" s="207">
        <v>0</v>
      </c>
      <c r="AC214" s="176">
        <v>0</v>
      </c>
      <c r="AD214" s="188">
        <f t="shared" si="122"/>
        <v>0</v>
      </c>
      <c r="AE214" s="51" t="s">
        <v>1396</v>
      </c>
    </row>
    <row r="215" spans="1:31" ht="79.5" customHeight="1" outlineLevel="1" x14ac:dyDescent="0.35">
      <c r="A215" s="205"/>
      <c r="B215" s="234"/>
      <c r="C215" s="63">
        <v>44313</v>
      </c>
      <c r="D215" s="48" t="s">
        <v>1397</v>
      </c>
      <c r="E215" s="49" t="s">
        <v>1398</v>
      </c>
      <c r="F215" s="124"/>
      <c r="G215" s="52">
        <f t="shared" si="96"/>
        <v>0</v>
      </c>
      <c r="H215" s="52">
        <f t="shared" si="94"/>
        <v>6.1102099902942419E-6</v>
      </c>
      <c r="I215" s="52">
        <f t="shared" si="113"/>
        <v>0</v>
      </c>
      <c r="J215" s="53">
        <f t="shared" si="120"/>
        <v>0.18714900000000001</v>
      </c>
      <c r="K215" s="95">
        <f t="shared" si="123"/>
        <v>0</v>
      </c>
      <c r="L215" s="254">
        <f t="shared" si="121"/>
        <v>0</v>
      </c>
      <c r="M215" s="252">
        <f t="shared" si="119"/>
        <v>0.18714900000000001</v>
      </c>
      <c r="N215" s="94">
        <f t="shared" si="98"/>
        <v>0</v>
      </c>
      <c r="O215" s="242" t="s">
        <v>1024</v>
      </c>
      <c r="P215" s="242" t="s">
        <v>127</v>
      </c>
      <c r="Q215" s="82">
        <f t="shared" si="124"/>
        <v>0</v>
      </c>
      <c r="R215" s="82">
        <f t="shared" si="124"/>
        <v>0</v>
      </c>
      <c r="S215" s="75">
        <f t="shared" si="124"/>
        <v>-6.1102099902942417E-4</v>
      </c>
      <c r="T215" s="137">
        <f t="shared" si="124"/>
        <v>0</v>
      </c>
      <c r="U215" s="75">
        <f t="shared" si="124"/>
        <v>0</v>
      </c>
      <c r="V215" s="75">
        <f t="shared" si="124"/>
        <v>0</v>
      </c>
      <c r="W215" s="77">
        <v>0</v>
      </c>
      <c r="X215" s="255">
        <v>0</v>
      </c>
      <c r="Y215" s="248">
        <v>-0.18714900000000001</v>
      </c>
      <c r="Z215" s="132">
        <v>0</v>
      </c>
      <c r="AA215" s="207">
        <v>0</v>
      </c>
      <c r="AB215" s="207">
        <v>0</v>
      </c>
      <c r="AC215" s="176">
        <v>-0.18714900000000001</v>
      </c>
      <c r="AD215" s="188">
        <f t="shared" si="122"/>
        <v>0.18714900000000001</v>
      </c>
      <c r="AE215" s="51" t="s">
        <v>1399</v>
      </c>
    </row>
    <row r="216" spans="1:31" ht="65.25" customHeight="1" outlineLevel="1" x14ac:dyDescent="0.35">
      <c r="A216" s="1303">
        <v>19</v>
      </c>
      <c r="B216" s="1309" t="s">
        <v>1042</v>
      </c>
      <c r="C216" s="63" t="s">
        <v>497</v>
      </c>
      <c r="D216" s="48" t="s">
        <v>1043</v>
      </c>
      <c r="E216" s="49" t="s">
        <v>1044</v>
      </c>
      <c r="F216" s="124">
        <f t="shared" si="117"/>
        <v>2.2699865219550259E-5</v>
      </c>
      <c r="G216" s="52">
        <f t="shared" si="96"/>
        <v>1.3717050014720116E-5</v>
      </c>
      <c r="H216" s="52">
        <f t="shared" si="94"/>
        <v>0</v>
      </c>
      <c r="I216" s="52">
        <f t="shared" si="113"/>
        <v>0</v>
      </c>
      <c r="J216" s="53">
        <f t="shared" si="120"/>
        <v>0.40237600000000001</v>
      </c>
      <c r="K216" s="149">
        <f t="shared" si="123"/>
        <v>0.64</v>
      </c>
      <c r="L216" s="254">
        <f t="shared" si="121"/>
        <v>0.40237600000000001</v>
      </c>
      <c r="M216" s="252">
        <f t="shared" si="119"/>
        <v>0</v>
      </c>
      <c r="N216" s="94">
        <f t="shared" si="98"/>
        <v>0</v>
      </c>
      <c r="O216" s="242" t="s">
        <v>459</v>
      </c>
      <c r="P216" s="242" t="s">
        <v>127</v>
      </c>
      <c r="Q216" s="150">
        <f t="shared" si="124"/>
        <v>-2.269986521955026E-3</v>
      </c>
      <c r="R216" s="82">
        <f t="shared" si="124"/>
        <v>-1.3717050014720115E-3</v>
      </c>
      <c r="S216" s="75">
        <f t="shared" si="124"/>
        <v>0</v>
      </c>
      <c r="T216" s="137">
        <f t="shared" si="124"/>
        <v>0</v>
      </c>
      <c r="U216" s="75">
        <f t="shared" si="124"/>
        <v>0</v>
      </c>
      <c r="V216" s="75">
        <f t="shared" si="124"/>
        <v>0</v>
      </c>
      <c r="W216" s="151">
        <v>-0.64</v>
      </c>
      <c r="X216" s="255">
        <v>-0.40237600000000001</v>
      </c>
      <c r="Y216" s="248">
        <v>0</v>
      </c>
      <c r="Z216" s="132">
        <v>0</v>
      </c>
      <c r="AA216" s="207">
        <v>0</v>
      </c>
      <c r="AB216" s="207">
        <v>0</v>
      </c>
      <c r="AC216" s="176">
        <v>0</v>
      </c>
      <c r="AD216" s="176">
        <f t="shared" si="122"/>
        <v>0</v>
      </c>
      <c r="AE216" s="51" t="s">
        <v>1045</v>
      </c>
    </row>
    <row r="217" spans="1:31" ht="87" outlineLevel="1" x14ac:dyDescent="0.35">
      <c r="A217" s="1307"/>
      <c r="B217" s="1310"/>
      <c r="C217" s="63" t="s">
        <v>398</v>
      </c>
      <c r="D217" s="48" t="s">
        <v>1046</v>
      </c>
      <c r="E217" s="1323" t="s">
        <v>1047</v>
      </c>
      <c r="F217" s="124">
        <f t="shared" si="117"/>
        <v>1.68343973895155E-4</v>
      </c>
      <c r="G217" s="52">
        <f t="shared" si="96"/>
        <v>5.8294121729853168E-5</v>
      </c>
      <c r="H217" s="52">
        <f>M217/$S$8</f>
        <v>0</v>
      </c>
      <c r="I217" s="52">
        <f t="shared" si="113"/>
        <v>0</v>
      </c>
      <c r="J217" s="53">
        <f t="shared" si="120"/>
        <v>1.71</v>
      </c>
      <c r="K217" s="149">
        <f t="shared" si="123"/>
        <v>4.7462900000000001</v>
      </c>
      <c r="L217" s="254">
        <f t="shared" si="121"/>
        <v>1.71</v>
      </c>
      <c r="M217" s="252">
        <f t="shared" si="119"/>
        <v>0</v>
      </c>
      <c r="N217" s="94">
        <f t="shared" si="98"/>
        <v>0</v>
      </c>
      <c r="O217" s="242" t="s">
        <v>459</v>
      </c>
      <c r="P217" s="242" t="s">
        <v>127</v>
      </c>
      <c r="Q217" s="150">
        <f t="shared" si="124"/>
        <v>-1.6834397389515501E-2</v>
      </c>
      <c r="R217" s="82">
        <f t="shared" si="124"/>
        <v>-5.829412172985317E-3</v>
      </c>
      <c r="S217" s="75">
        <f t="shared" si="124"/>
        <v>0</v>
      </c>
      <c r="T217" s="137">
        <f t="shared" si="124"/>
        <v>0</v>
      </c>
      <c r="U217" s="75">
        <f t="shared" si="124"/>
        <v>0</v>
      </c>
      <c r="V217" s="75">
        <f t="shared" si="124"/>
        <v>0</v>
      </c>
      <c r="W217" s="151">
        <v>-4.7462900000000001</v>
      </c>
      <c r="X217" s="255">
        <v>-1.71</v>
      </c>
      <c r="Y217" s="248">
        <v>0</v>
      </c>
      <c r="Z217" s="132">
        <v>0</v>
      </c>
      <c r="AA217" s="207">
        <v>0</v>
      </c>
      <c r="AB217" s="207">
        <v>0</v>
      </c>
      <c r="AC217" s="176">
        <v>0</v>
      </c>
      <c r="AD217" s="176">
        <f>-AC217</f>
        <v>0</v>
      </c>
      <c r="AE217" s="1194" t="s">
        <v>1048</v>
      </c>
    </row>
    <row r="218" spans="1:31" ht="58" outlineLevel="1" x14ac:dyDescent="0.35">
      <c r="A218" s="1307"/>
      <c r="B218" s="1310"/>
      <c r="C218" s="63">
        <v>43844</v>
      </c>
      <c r="D218" s="48" t="s">
        <v>1049</v>
      </c>
      <c r="E218" s="1324"/>
      <c r="F218" s="124">
        <f t="shared" si="117"/>
        <v>0</v>
      </c>
      <c r="G218" s="52">
        <f t="shared" si="96"/>
        <v>0</v>
      </c>
      <c r="H218" s="52">
        <f>M218/$S$8</f>
        <v>8.343313495047942E-5</v>
      </c>
      <c r="I218" s="52">
        <f t="shared" si="113"/>
        <v>0</v>
      </c>
      <c r="J218" s="53">
        <f t="shared" si="120"/>
        <v>2.5554649999999999</v>
      </c>
      <c r="K218" s="149">
        <f t="shared" si="123"/>
        <v>0</v>
      </c>
      <c r="L218" s="254">
        <f>-X218</f>
        <v>0</v>
      </c>
      <c r="M218" s="252">
        <f t="shared" si="119"/>
        <v>2.5554649999999999</v>
      </c>
      <c r="N218" s="94">
        <f t="shared" si="98"/>
        <v>0</v>
      </c>
      <c r="O218" s="242" t="s">
        <v>459</v>
      </c>
      <c r="P218" s="242" t="s">
        <v>127</v>
      </c>
      <c r="Q218" s="150">
        <f t="shared" si="124"/>
        <v>0</v>
      </c>
      <c r="R218" s="82">
        <f t="shared" si="124"/>
        <v>0</v>
      </c>
      <c r="S218" s="75">
        <f t="shared" si="124"/>
        <v>-8.3433134950479416E-3</v>
      </c>
      <c r="T218" s="137">
        <f t="shared" si="124"/>
        <v>-8.3433134950479416E-3</v>
      </c>
      <c r="U218" s="75">
        <f t="shared" si="124"/>
        <v>0</v>
      </c>
      <c r="V218" s="75">
        <f t="shared" si="124"/>
        <v>0</v>
      </c>
      <c r="W218" s="151">
        <v>0</v>
      </c>
      <c r="X218" s="255">
        <v>0</v>
      </c>
      <c r="Y218" s="248">
        <f>-2.555465</f>
        <v>-2.5554649999999999</v>
      </c>
      <c r="Z218" s="132">
        <f>-2.555465</f>
        <v>-2.5554649999999999</v>
      </c>
      <c r="AA218" s="207">
        <v>0</v>
      </c>
      <c r="AB218" s="207">
        <v>0</v>
      </c>
      <c r="AC218" s="1399">
        <v>-2.0637270000000001</v>
      </c>
      <c r="AD218" s="1399">
        <f t="shared" si="122"/>
        <v>2.0637270000000001</v>
      </c>
      <c r="AE218" s="1195"/>
    </row>
    <row r="219" spans="1:31" ht="57.75" customHeight="1" outlineLevel="1" x14ac:dyDescent="0.35">
      <c r="A219" s="1304"/>
      <c r="B219" s="1341"/>
      <c r="C219" s="63" t="s">
        <v>543</v>
      </c>
      <c r="D219" s="48" t="s">
        <v>1050</v>
      </c>
      <c r="E219" s="49" t="s">
        <v>1051</v>
      </c>
      <c r="F219" s="124">
        <f t="shared" si="117"/>
        <v>1.5793431226502092E-6</v>
      </c>
      <c r="G219" s="52">
        <f t="shared" si="96"/>
        <v>0</v>
      </c>
      <c r="H219" s="52">
        <f>M219/$S$8</f>
        <v>7.0962395812451773E-5</v>
      </c>
      <c r="I219" s="52">
        <f t="shared" si="113"/>
        <v>0</v>
      </c>
      <c r="J219" s="53">
        <f t="shared" si="120"/>
        <v>2.1735000000000002</v>
      </c>
      <c r="K219" s="149">
        <f t="shared" si="123"/>
        <v>4.4527999999999998E-2</v>
      </c>
      <c r="L219" s="254">
        <f>-X219</f>
        <v>0</v>
      </c>
      <c r="M219" s="252">
        <f t="shared" si="119"/>
        <v>2.1735000000000002</v>
      </c>
      <c r="N219" s="94">
        <f t="shared" si="98"/>
        <v>0</v>
      </c>
      <c r="O219" s="242" t="s">
        <v>459</v>
      </c>
      <c r="P219" s="242" t="s">
        <v>127</v>
      </c>
      <c r="Q219" s="150">
        <f t="shared" si="124"/>
        <v>-1.5793431226502093E-4</v>
      </c>
      <c r="R219" s="82">
        <f t="shared" si="124"/>
        <v>0</v>
      </c>
      <c r="S219" s="75">
        <f t="shared" si="124"/>
        <v>-7.0962395812451777E-3</v>
      </c>
      <c r="T219" s="137">
        <f t="shared" si="124"/>
        <v>-7.0962395812451777E-3</v>
      </c>
      <c r="U219" s="75">
        <f t="shared" si="124"/>
        <v>0</v>
      </c>
      <c r="V219" s="75">
        <f t="shared" si="124"/>
        <v>0</v>
      </c>
      <c r="W219" s="151">
        <v>-4.4527999999999998E-2</v>
      </c>
      <c r="X219" s="255">
        <v>0</v>
      </c>
      <c r="Y219" s="248">
        <v>-2.1735000000000002</v>
      </c>
      <c r="Z219" s="132">
        <v>-2.1735000000000002</v>
      </c>
      <c r="AA219" s="207">
        <v>0</v>
      </c>
      <c r="AB219" s="207">
        <v>0</v>
      </c>
      <c r="AC219" s="1400"/>
      <c r="AD219" s="1400"/>
      <c r="AE219" s="49" t="s">
        <v>1052</v>
      </c>
    </row>
    <row r="220" spans="1:31" ht="43.5" outlineLevel="1" x14ac:dyDescent="0.35">
      <c r="A220" s="92">
        <v>20</v>
      </c>
      <c r="B220" s="171" t="s">
        <v>368</v>
      </c>
      <c r="C220" s="63" t="s">
        <v>598</v>
      </c>
      <c r="D220" s="48" t="s">
        <v>247</v>
      </c>
      <c r="E220" s="49" t="s">
        <v>369</v>
      </c>
      <c r="F220" s="124">
        <f t="shared" si="117"/>
        <v>0</v>
      </c>
      <c r="G220" s="52">
        <f t="shared" si="96"/>
        <v>0</v>
      </c>
      <c r="H220" s="52">
        <f t="shared" ref="H220:H225" si="127">M220/$S$8</f>
        <v>1.7264904401934002E-4</v>
      </c>
      <c r="I220" s="52">
        <f t="shared" si="113"/>
        <v>0</v>
      </c>
      <c r="J220" s="53">
        <f t="shared" si="120"/>
        <v>5.2880500000000001</v>
      </c>
      <c r="K220" s="149">
        <f t="shared" si="123"/>
        <v>0</v>
      </c>
      <c r="L220" s="254">
        <f t="shared" si="123"/>
        <v>0</v>
      </c>
      <c r="M220" s="252">
        <f t="shared" si="119"/>
        <v>5.2880500000000001</v>
      </c>
      <c r="N220" s="94">
        <f t="shared" si="98"/>
        <v>0</v>
      </c>
      <c r="O220" s="242" t="s">
        <v>489</v>
      </c>
      <c r="P220" s="242" t="s">
        <v>129</v>
      </c>
      <c r="Q220" s="150">
        <f t="shared" si="124"/>
        <v>0</v>
      </c>
      <c r="R220" s="82">
        <f t="shared" si="124"/>
        <v>0</v>
      </c>
      <c r="S220" s="75">
        <f t="shared" si="124"/>
        <v>-1.7264904401934001E-2</v>
      </c>
      <c r="T220" s="137">
        <f t="shared" si="124"/>
        <v>-1.7264904401934001E-2</v>
      </c>
      <c r="U220" s="75">
        <f t="shared" si="124"/>
        <v>0</v>
      </c>
      <c r="V220" s="75">
        <f t="shared" si="124"/>
        <v>0</v>
      </c>
      <c r="W220" s="151">
        <v>0</v>
      </c>
      <c r="X220" s="255">
        <v>0</v>
      </c>
      <c r="Y220" s="248">
        <v>-5.2880500000000001</v>
      </c>
      <c r="Z220" s="132">
        <v>-5.2880500000000001</v>
      </c>
      <c r="AA220" s="207">
        <v>0</v>
      </c>
      <c r="AB220" s="207">
        <v>0</v>
      </c>
      <c r="AC220" s="176">
        <v>0</v>
      </c>
      <c r="AD220" s="176">
        <f t="shared" si="122"/>
        <v>0</v>
      </c>
      <c r="AE220" s="51" t="s">
        <v>1053</v>
      </c>
    </row>
    <row r="221" spans="1:31" ht="72.5" outlineLevel="1" x14ac:dyDescent="0.35">
      <c r="A221" s="210">
        <v>21</v>
      </c>
      <c r="B221" s="171" t="s">
        <v>1054</v>
      </c>
      <c r="C221" s="63">
        <v>44026</v>
      </c>
      <c r="D221" s="48" t="s">
        <v>1055</v>
      </c>
      <c r="E221" s="49" t="s">
        <v>1056</v>
      </c>
      <c r="F221" s="124">
        <f t="shared" si="117"/>
        <v>1.5112577144073208E-5</v>
      </c>
      <c r="G221" s="52">
        <f t="shared" si="96"/>
        <v>7.2740836879956781E-6</v>
      </c>
      <c r="H221" s="52">
        <f t="shared" si="127"/>
        <v>0</v>
      </c>
      <c r="I221" s="52">
        <f t="shared" si="113"/>
        <v>0</v>
      </c>
      <c r="J221" s="53">
        <f t="shared" si="120"/>
        <v>0.21337800000000001</v>
      </c>
      <c r="K221" s="149">
        <f t="shared" si="123"/>
        <v>0.42608400000000002</v>
      </c>
      <c r="L221" s="254">
        <f t="shared" si="123"/>
        <v>0.21337800000000001</v>
      </c>
      <c r="M221" s="252">
        <f t="shared" si="119"/>
        <v>0</v>
      </c>
      <c r="N221" s="94">
        <f t="shared" si="98"/>
        <v>0</v>
      </c>
      <c r="O221" s="242" t="s">
        <v>459</v>
      </c>
      <c r="P221" s="242" t="s">
        <v>129</v>
      </c>
      <c r="Q221" s="150">
        <f t="shared" si="124"/>
        <v>-1.5112577144073209E-3</v>
      </c>
      <c r="R221" s="82">
        <f t="shared" si="124"/>
        <v>-7.2740836879956784E-4</v>
      </c>
      <c r="S221" s="75">
        <f t="shared" si="124"/>
        <v>0</v>
      </c>
      <c r="T221" s="137">
        <f t="shared" si="124"/>
        <v>0</v>
      </c>
      <c r="U221" s="75">
        <f t="shared" si="124"/>
        <v>0</v>
      </c>
      <c r="V221" s="75">
        <f t="shared" si="124"/>
        <v>0</v>
      </c>
      <c r="W221" s="151">
        <v>-0.42608400000000002</v>
      </c>
      <c r="X221" s="255">
        <v>-0.21337800000000001</v>
      </c>
      <c r="Y221" s="248">
        <v>0</v>
      </c>
      <c r="Z221" s="132">
        <v>0</v>
      </c>
      <c r="AA221" s="207">
        <v>0</v>
      </c>
      <c r="AB221" s="207">
        <v>0</v>
      </c>
      <c r="AC221" s="176">
        <v>0</v>
      </c>
      <c r="AD221" s="176">
        <f t="shared" si="122"/>
        <v>0</v>
      </c>
      <c r="AE221" s="51" t="s">
        <v>1057</v>
      </c>
    </row>
    <row r="222" spans="1:31" ht="140.25" customHeight="1" outlineLevel="1" x14ac:dyDescent="0.35">
      <c r="A222" s="1303">
        <v>22</v>
      </c>
      <c r="B222" s="1305" t="s">
        <v>1058</v>
      </c>
      <c r="C222" s="63">
        <v>44042</v>
      </c>
      <c r="D222" s="48" t="s">
        <v>1059</v>
      </c>
      <c r="E222" s="49" t="s">
        <v>1060</v>
      </c>
      <c r="F222" s="124">
        <f t="shared" si="117"/>
        <v>1.8587110732780025E-5</v>
      </c>
      <c r="G222" s="52">
        <f t="shared" si="96"/>
        <v>1.3324399901220438E-5</v>
      </c>
      <c r="H222" s="52">
        <f t="shared" si="127"/>
        <v>0</v>
      </c>
      <c r="I222" s="52">
        <f t="shared" si="113"/>
        <v>0</v>
      </c>
      <c r="J222" s="53">
        <f t="shared" si="120"/>
        <v>0.39085799999999998</v>
      </c>
      <c r="K222" s="149">
        <f t="shared" si="123"/>
        <v>0.52404499999999998</v>
      </c>
      <c r="L222" s="254">
        <f t="shared" si="123"/>
        <v>0.39085799999999998</v>
      </c>
      <c r="M222" s="252">
        <f t="shared" si="119"/>
        <v>0</v>
      </c>
      <c r="N222" s="94">
        <f t="shared" si="98"/>
        <v>0</v>
      </c>
      <c r="O222" s="242" t="s">
        <v>454</v>
      </c>
      <c r="P222" s="242" t="s">
        <v>326</v>
      </c>
      <c r="Q222" s="150">
        <f t="shared" si="124"/>
        <v>-1.8587110732780025E-3</v>
      </c>
      <c r="R222" s="82">
        <f t="shared" si="124"/>
        <v>-1.3324399901220437E-3</v>
      </c>
      <c r="S222" s="75">
        <f t="shared" si="124"/>
        <v>0</v>
      </c>
      <c r="T222" s="137">
        <f t="shared" si="124"/>
        <v>0</v>
      </c>
      <c r="U222" s="75">
        <f t="shared" si="124"/>
        <v>0</v>
      </c>
      <c r="V222" s="75">
        <f t="shared" si="124"/>
        <v>0</v>
      </c>
      <c r="W222" s="151">
        <v>-0.52404499999999998</v>
      </c>
      <c r="X222" s="255">
        <v>-0.39085799999999998</v>
      </c>
      <c r="Y222" s="248">
        <v>0</v>
      </c>
      <c r="Z222" s="132">
        <v>0</v>
      </c>
      <c r="AA222" s="207">
        <v>0</v>
      </c>
      <c r="AB222" s="207">
        <v>0</v>
      </c>
      <c r="AC222" s="176">
        <v>0</v>
      </c>
      <c r="AD222" s="176">
        <f t="shared" si="122"/>
        <v>0</v>
      </c>
      <c r="AE222" s="51" t="s">
        <v>1061</v>
      </c>
    </row>
    <row r="223" spans="1:31" ht="116" outlineLevel="1" x14ac:dyDescent="0.35">
      <c r="A223" s="1307"/>
      <c r="B223" s="1308"/>
      <c r="C223" s="63">
        <v>44145</v>
      </c>
      <c r="D223" s="48" t="s">
        <v>471</v>
      </c>
      <c r="E223" s="49" t="s">
        <v>1062</v>
      </c>
      <c r="F223" s="124">
        <f t="shared" si="117"/>
        <v>4.5669787898134356E-5</v>
      </c>
      <c r="G223" s="52">
        <f t="shared" si="96"/>
        <v>4.4025016155312446E-5</v>
      </c>
      <c r="H223" s="52">
        <f t="shared" si="127"/>
        <v>0</v>
      </c>
      <c r="I223" s="52">
        <f t="shared" si="113"/>
        <v>0</v>
      </c>
      <c r="J223" s="53">
        <f t="shared" si="120"/>
        <v>1.2914300000000001</v>
      </c>
      <c r="K223" s="149">
        <f t="shared" si="123"/>
        <v>1.287614</v>
      </c>
      <c r="L223" s="254">
        <f t="shared" si="123"/>
        <v>1.2914300000000001</v>
      </c>
      <c r="M223" s="252">
        <f t="shared" si="119"/>
        <v>0</v>
      </c>
      <c r="N223" s="94">
        <f t="shared" si="98"/>
        <v>0</v>
      </c>
      <c r="O223" s="242" t="s">
        <v>454</v>
      </c>
      <c r="P223" s="242" t="s">
        <v>439</v>
      </c>
      <c r="Q223" s="150">
        <f t="shared" si="124"/>
        <v>-4.5669787898134353E-3</v>
      </c>
      <c r="R223" s="82">
        <f t="shared" si="124"/>
        <v>-4.4025016155312445E-3</v>
      </c>
      <c r="S223" s="75">
        <f>Y223/S$8*100</f>
        <v>0</v>
      </c>
      <c r="T223" s="137">
        <f>Z223/T$8*100</f>
        <v>0</v>
      </c>
      <c r="U223" s="75">
        <f>AA223/U$8*100</f>
        <v>0</v>
      </c>
      <c r="V223" s="75">
        <f t="shared" si="124"/>
        <v>0</v>
      </c>
      <c r="W223" s="151">
        <v>-1.287614</v>
      </c>
      <c r="X223" s="255">
        <v>-1.2914300000000001</v>
      </c>
      <c r="Y223" s="248">
        <v>0</v>
      </c>
      <c r="Z223" s="132">
        <v>0</v>
      </c>
      <c r="AA223" s="207">
        <v>0</v>
      </c>
      <c r="AB223" s="207">
        <v>0</v>
      </c>
      <c r="AC223" s="176">
        <v>0</v>
      </c>
      <c r="AD223" s="176">
        <f t="shared" si="122"/>
        <v>0</v>
      </c>
      <c r="AE223" s="51" t="s">
        <v>1063</v>
      </c>
    </row>
    <row r="224" spans="1:31" ht="149.25" customHeight="1" outlineLevel="1" x14ac:dyDescent="0.35">
      <c r="A224" s="1307"/>
      <c r="B224" s="1308"/>
      <c r="C224" s="63" t="s">
        <v>712</v>
      </c>
      <c r="D224" s="48" t="s">
        <v>1064</v>
      </c>
      <c r="E224" s="49" t="s">
        <v>1065</v>
      </c>
      <c r="F224" s="124">
        <f t="shared" si="117"/>
        <v>0</v>
      </c>
      <c r="G224" s="52">
        <f t="shared" si="96"/>
        <v>0</v>
      </c>
      <c r="H224" s="52">
        <f t="shared" si="127"/>
        <v>2.6035872848805723E-4</v>
      </c>
      <c r="I224" s="52">
        <f t="shared" si="113"/>
        <v>0</v>
      </c>
      <c r="J224" s="53">
        <f t="shared" si="120"/>
        <v>7.9745010000000001</v>
      </c>
      <c r="K224" s="149">
        <f t="shared" si="123"/>
        <v>0</v>
      </c>
      <c r="L224" s="254">
        <f t="shared" si="123"/>
        <v>0</v>
      </c>
      <c r="M224" s="252">
        <f t="shared" si="119"/>
        <v>7.9745010000000001</v>
      </c>
      <c r="N224" s="94">
        <f t="shared" si="98"/>
        <v>0</v>
      </c>
      <c r="O224" s="242" t="s">
        <v>454</v>
      </c>
      <c r="P224" s="242" t="s">
        <v>130</v>
      </c>
      <c r="Q224" s="150">
        <f t="shared" si="124"/>
        <v>0</v>
      </c>
      <c r="R224" s="82">
        <f t="shared" si="124"/>
        <v>0</v>
      </c>
      <c r="S224" s="75">
        <f t="shared" si="124"/>
        <v>-2.6035872848805722E-2</v>
      </c>
      <c r="T224" s="137">
        <f t="shared" si="124"/>
        <v>-2.6849989628553311E-2</v>
      </c>
      <c r="U224" s="75">
        <f t="shared" si="124"/>
        <v>0</v>
      </c>
      <c r="V224" s="75">
        <f t="shared" si="124"/>
        <v>0</v>
      </c>
      <c r="W224" s="151">
        <v>0</v>
      </c>
      <c r="X224" s="255">
        <v>0</v>
      </c>
      <c r="Y224" s="248">
        <v>-7.9745010000000001</v>
      </c>
      <c r="Z224" s="132">
        <v>-8.2238559999999996</v>
      </c>
      <c r="AA224" s="207">
        <v>0</v>
      </c>
      <c r="AB224" s="207">
        <v>0</v>
      </c>
      <c r="AC224" s="176">
        <v>-0.75755096</v>
      </c>
      <c r="AD224" s="176">
        <f t="shared" si="122"/>
        <v>0.75755096</v>
      </c>
      <c r="AE224" s="51" t="s">
        <v>1066</v>
      </c>
    </row>
    <row r="225" spans="1:31" ht="130.5" outlineLevel="1" x14ac:dyDescent="0.35">
      <c r="A225" s="1304"/>
      <c r="B225" s="1306"/>
      <c r="C225" s="63">
        <v>44239</v>
      </c>
      <c r="D225" s="48" t="s">
        <v>1277</v>
      </c>
      <c r="E225" s="49" t="s">
        <v>1067</v>
      </c>
      <c r="F225" s="124">
        <f t="shared" si="117"/>
        <v>0</v>
      </c>
      <c r="G225" s="52">
        <f t="shared" si="96"/>
        <v>0</v>
      </c>
      <c r="H225" s="52">
        <f t="shared" si="127"/>
        <v>4.2279418279292516E-5</v>
      </c>
      <c r="I225" s="52">
        <f t="shared" si="113"/>
        <v>0</v>
      </c>
      <c r="J225" s="53">
        <f t="shared" si="120"/>
        <v>1.294972</v>
      </c>
      <c r="K225" s="149">
        <f t="shared" si="123"/>
        <v>0</v>
      </c>
      <c r="L225" s="254">
        <f t="shared" si="123"/>
        <v>0</v>
      </c>
      <c r="M225" s="252">
        <f t="shared" si="119"/>
        <v>1.294972</v>
      </c>
      <c r="N225" s="94">
        <f t="shared" si="98"/>
        <v>0</v>
      </c>
      <c r="O225" s="242" t="s">
        <v>454</v>
      </c>
      <c r="P225" s="242" t="s">
        <v>127</v>
      </c>
      <c r="Q225" s="150">
        <f t="shared" si="124"/>
        <v>0</v>
      </c>
      <c r="R225" s="82">
        <f t="shared" si="124"/>
        <v>0</v>
      </c>
      <c r="S225" s="75">
        <f t="shared" si="124"/>
        <v>-4.2279418279292519E-3</v>
      </c>
      <c r="T225" s="137">
        <f t="shared" si="124"/>
        <v>-3.4138250481816593E-3</v>
      </c>
      <c r="U225" s="75">
        <f t="shared" si="124"/>
        <v>0</v>
      </c>
      <c r="V225" s="75">
        <f t="shared" si="124"/>
        <v>0</v>
      </c>
      <c r="W225" s="151">
        <v>0</v>
      </c>
      <c r="X225" s="255">
        <v>0</v>
      </c>
      <c r="Y225" s="248">
        <v>-1.294972</v>
      </c>
      <c r="Z225" s="132">
        <v>-1.045617</v>
      </c>
      <c r="AA225" s="207">
        <v>0</v>
      </c>
      <c r="AB225" s="207">
        <v>0</v>
      </c>
      <c r="AC225" s="176">
        <v>-0.42292200000000002</v>
      </c>
      <c r="AD225" s="176">
        <f>-AC225</f>
        <v>0.42292200000000002</v>
      </c>
      <c r="AE225" s="51" t="s">
        <v>1068</v>
      </c>
    </row>
    <row r="226" spans="1:31" ht="58" outlineLevel="1" x14ac:dyDescent="0.35">
      <c r="A226" s="210">
        <v>23</v>
      </c>
      <c r="B226" s="171" t="s">
        <v>1069</v>
      </c>
      <c r="C226" s="63">
        <v>44062</v>
      </c>
      <c r="D226" s="48" t="s">
        <v>1070</v>
      </c>
      <c r="E226" s="49" t="s">
        <v>1071</v>
      </c>
      <c r="F226" s="124">
        <f t="shared" si="117"/>
        <v>2.6598567071008015E-6</v>
      </c>
      <c r="G226" s="52">
        <f t="shared" si="96"/>
        <v>1.2459942393135282E-6</v>
      </c>
      <c r="H226" s="52">
        <f>M226/$S$8</f>
        <v>0</v>
      </c>
      <c r="I226" s="52">
        <f t="shared" si="113"/>
        <v>0</v>
      </c>
      <c r="J226" s="53">
        <f t="shared" si="120"/>
        <v>3.6549999999999999E-2</v>
      </c>
      <c r="K226" s="149">
        <f t="shared" si="123"/>
        <v>7.4992000000000003E-2</v>
      </c>
      <c r="L226" s="254">
        <f t="shared" si="123"/>
        <v>3.6549999999999999E-2</v>
      </c>
      <c r="M226" s="252">
        <f t="shared" si="119"/>
        <v>0</v>
      </c>
      <c r="N226" s="94">
        <f t="shared" ref="N226:N234" si="128">-AA226</f>
        <v>0</v>
      </c>
      <c r="O226" s="242" t="s">
        <v>483</v>
      </c>
      <c r="P226" s="242" t="s">
        <v>127</v>
      </c>
      <c r="Q226" s="150">
        <f t="shared" si="124"/>
        <v>-2.6598567071008014E-4</v>
      </c>
      <c r="R226" s="82">
        <f t="shared" si="124"/>
        <v>-1.2459942393135281E-4</v>
      </c>
      <c r="S226" s="75">
        <f t="shared" si="124"/>
        <v>0</v>
      </c>
      <c r="T226" s="137">
        <f t="shared" si="124"/>
        <v>0</v>
      </c>
      <c r="U226" s="75">
        <f t="shared" si="124"/>
        <v>0</v>
      </c>
      <c r="V226" s="75">
        <f t="shared" si="124"/>
        <v>0</v>
      </c>
      <c r="W226" s="151">
        <v>-7.4992000000000003E-2</v>
      </c>
      <c r="X226" s="255">
        <v>-3.6549999999999999E-2</v>
      </c>
      <c r="Y226" s="248">
        <v>0</v>
      </c>
      <c r="Z226" s="132">
        <v>0</v>
      </c>
      <c r="AA226" s="207">
        <v>0</v>
      </c>
      <c r="AB226" s="207">
        <v>0</v>
      </c>
      <c r="AC226" s="176">
        <v>0</v>
      </c>
      <c r="AD226" s="176">
        <f t="shared" si="122"/>
        <v>0</v>
      </c>
      <c r="AE226" s="51" t="s">
        <v>1071</v>
      </c>
    </row>
    <row r="227" spans="1:31" ht="227.25" customHeight="1" outlineLevel="1" x14ac:dyDescent="0.35">
      <c r="A227" s="210">
        <v>24</v>
      </c>
      <c r="B227" s="171" t="s">
        <v>1072</v>
      </c>
      <c r="C227" s="63" t="s">
        <v>1093</v>
      </c>
      <c r="D227" s="48" t="s">
        <v>763</v>
      </c>
      <c r="E227" s="49" t="s">
        <v>1073</v>
      </c>
      <c r="F227" s="124">
        <f t="shared" si="117"/>
        <v>0</v>
      </c>
      <c r="G227" s="52">
        <f t="shared" si="96"/>
        <v>7.6880060424073017E-7</v>
      </c>
      <c r="H227" s="52">
        <f>M227/$S$8</f>
        <v>1.5795540415948543E-2</v>
      </c>
      <c r="I227" s="52">
        <f t="shared" si="113"/>
        <v>0</v>
      </c>
      <c r="J227" s="53">
        <f t="shared" si="120"/>
        <v>483.82255200000003</v>
      </c>
      <c r="K227" s="149">
        <f t="shared" si="123"/>
        <v>0</v>
      </c>
      <c r="L227" s="254">
        <f t="shared" si="123"/>
        <v>2.2551999999999999E-2</v>
      </c>
      <c r="M227" s="252">
        <f t="shared" si="119"/>
        <v>483.8</v>
      </c>
      <c r="N227" s="94">
        <f t="shared" si="128"/>
        <v>0</v>
      </c>
      <c r="O227" s="242" t="s">
        <v>490</v>
      </c>
      <c r="P227" s="242" t="s">
        <v>127</v>
      </c>
      <c r="Q227" s="150">
        <f t="shared" si="124"/>
        <v>0</v>
      </c>
      <c r="R227" s="82">
        <f t="shared" si="124"/>
        <v>-7.6880060424073022E-5</v>
      </c>
      <c r="S227" s="75">
        <f t="shared" si="124"/>
        <v>-1.5795540415948544</v>
      </c>
      <c r="T227" s="137">
        <f t="shared" si="124"/>
        <v>-1.0147279787674262</v>
      </c>
      <c r="U227" s="75">
        <f t="shared" si="124"/>
        <v>0</v>
      </c>
      <c r="V227" s="75">
        <f t="shared" si="124"/>
        <v>0</v>
      </c>
      <c r="W227" s="151">
        <v>0</v>
      </c>
      <c r="X227" s="255">
        <v>-2.2551999999999999E-2</v>
      </c>
      <c r="Y227" s="248">
        <f>-70.8-240-173</f>
        <v>-483.8</v>
      </c>
      <c r="Z227" s="132">
        <f>-70.8-240</f>
        <v>-310.8</v>
      </c>
      <c r="AA227" s="207">
        <v>0</v>
      </c>
      <c r="AB227" s="207">
        <v>0</v>
      </c>
      <c r="AC227" s="176">
        <v>-308.56</v>
      </c>
      <c r="AD227" s="176">
        <f t="shared" si="122"/>
        <v>308.56</v>
      </c>
      <c r="AE227" s="51" t="s">
        <v>1074</v>
      </c>
    </row>
    <row r="228" spans="1:31" ht="120" customHeight="1" outlineLevel="1" x14ac:dyDescent="0.35">
      <c r="A228" s="210">
        <v>25</v>
      </c>
      <c r="B228" s="171" t="s">
        <v>1075</v>
      </c>
      <c r="C228" s="63" t="s">
        <v>492</v>
      </c>
      <c r="D228" s="48" t="s">
        <v>1076</v>
      </c>
      <c r="E228" s="49" t="s">
        <v>1077</v>
      </c>
      <c r="F228" s="124">
        <f t="shared" si="117"/>
        <v>1.3949457331347095E-5</v>
      </c>
      <c r="G228" s="52">
        <f t="shared" si="96"/>
        <v>1.229535524710503E-5</v>
      </c>
      <c r="H228" s="52">
        <f>M228/$S$8</f>
        <v>0</v>
      </c>
      <c r="I228" s="52">
        <f t="shared" si="113"/>
        <v>0</v>
      </c>
      <c r="J228" s="53">
        <f t="shared" si="120"/>
        <v>0.36067199999999999</v>
      </c>
      <c r="K228" s="149">
        <f t="shared" si="123"/>
        <v>0.393291</v>
      </c>
      <c r="L228" s="254">
        <f t="shared" si="123"/>
        <v>0.36067199999999999</v>
      </c>
      <c r="M228" s="252">
        <f t="shared" si="119"/>
        <v>0</v>
      </c>
      <c r="N228" s="94">
        <f t="shared" si="128"/>
        <v>0</v>
      </c>
      <c r="O228" s="242" t="s">
        <v>486</v>
      </c>
      <c r="P228" s="242" t="s">
        <v>130</v>
      </c>
      <c r="Q228" s="150">
        <f t="shared" si="124"/>
        <v>-1.3949457331347095E-3</v>
      </c>
      <c r="R228" s="82">
        <f t="shared" si="124"/>
        <v>-1.229535524710503E-3</v>
      </c>
      <c r="S228" s="75">
        <f t="shared" si="124"/>
        <v>0</v>
      </c>
      <c r="T228" s="137">
        <f t="shared" si="124"/>
        <v>0</v>
      </c>
      <c r="U228" s="75">
        <f t="shared" si="124"/>
        <v>0</v>
      </c>
      <c r="V228" s="75">
        <f t="shared" si="124"/>
        <v>0</v>
      </c>
      <c r="W228" s="151">
        <v>-0.393291</v>
      </c>
      <c r="X228" s="255">
        <v>-0.36067199999999999</v>
      </c>
      <c r="Y228" s="248">
        <v>0</v>
      </c>
      <c r="Z228" s="132">
        <v>0</v>
      </c>
      <c r="AA228" s="207">
        <v>0</v>
      </c>
      <c r="AB228" s="207">
        <v>0</v>
      </c>
      <c r="AC228" s="176">
        <v>0</v>
      </c>
      <c r="AD228" s="176">
        <f t="shared" si="122"/>
        <v>0</v>
      </c>
      <c r="AE228" s="51" t="s">
        <v>1078</v>
      </c>
    </row>
    <row r="229" spans="1:31" ht="120" customHeight="1" outlineLevel="1" x14ac:dyDescent="0.35">
      <c r="A229" s="210">
        <v>26</v>
      </c>
      <c r="B229" s="171" t="s">
        <v>1079</v>
      </c>
      <c r="C229" s="63">
        <v>44224</v>
      </c>
      <c r="D229" s="48" t="s">
        <v>1400</v>
      </c>
      <c r="E229" s="49" t="s">
        <v>1080</v>
      </c>
      <c r="F229" s="124">
        <f t="shared" si="117"/>
        <v>0</v>
      </c>
      <c r="G229" s="52">
        <f t="shared" si="96"/>
        <v>0</v>
      </c>
      <c r="H229" s="52">
        <f>M229/$S$8</f>
        <v>1.632445268287365E-4</v>
      </c>
      <c r="I229" s="52">
        <f t="shared" si="113"/>
        <v>0</v>
      </c>
      <c r="J229" s="53">
        <f t="shared" si="120"/>
        <v>5</v>
      </c>
      <c r="K229" s="149">
        <f t="shared" ref="K229:L234" si="129">-W229</f>
        <v>0</v>
      </c>
      <c r="L229" s="254">
        <f t="shared" si="129"/>
        <v>0</v>
      </c>
      <c r="M229" s="252">
        <f t="shared" si="119"/>
        <v>5</v>
      </c>
      <c r="N229" s="94">
        <f t="shared" si="128"/>
        <v>0</v>
      </c>
      <c r="O229" s="242" t="s">
        <v>185</v>
      </c>
      <c r="P229" s="72" t="s">
        <v>127</v>
      </c>
      <c r="Q229" s="150">
        <f t="shared" si="124"/>
        <v>0</v>
      </c>
      <c r="R229" s="82">
        <f t="shared" si="124"/>
        <v>0</v>
      </c>
      <c r="S229" s="75">
        <f t="shared" si="124"/>
        <v>-1.632445268287365E-2</v>
      </c>
      <c r="T229" s="137">
        <f t="shared" si="124"/>
        <v>-1.632445268287365E-2</v>
      </c>
      <c r="U229" s="75">
        <f t="shared" si="124"/>
        <v>0</v>
      </c>
      <c r="V229" s="75">
        <f t="shared" si="124"/>
        <v>0</v>
      </c>
      <c r="W229" s="151">
        <v>0</v>
      </c>
      <c r="X229" s="255">
        <v>0</v>
      </c>
      <c r="Y229" s="248">
        <v>-5</v>
      </c>
      <c r="Z229" s="132">
        <v>-5</v>
      </c>
      <c r="AA229" s="207">
        <v>0</v>
      </c>
      <c r="AB229" s="207">
        <v>0</v>
      </c>
      <c r="AC229" s="176">
        <v>-5</v>
      </c>
      <c r="AD229" s="176">
        <f t="shared" si="122"/>
        <v>5</v>
      </c>
      <c r="AE229" s="51" t="s">
        <v>1081</v>
      </c>
    </row>
    <row r="230" spans="1:31" ht="120" customHeight="1" outlineLevel="1" x14ac:dyDescent="0.35">
      <c r="A230" s="1296">
        <v>27</v>
      </c>
      <c r="B230" s="1297" t="s">
        <v>1278</v>
      </c>
      <c r="C230" s="63">
        <v>44273</v>
      </c>
      <c r="D230" s="48" t="s">
        <v>1279</v>
      </c>
      <c r="E230" s="1298" t="s">
        <v>1280</v>
      </c>
      <c r="F230" s="124">
        <f t="shared" si="117"/>
        <v>0</v>
      </c>
      <c r="G230" s="52">
        <f t="shared" ref="G230:G234" si="130">L230/$R$8</f>
        <v>0</v>
      </c>
      <c r="H230" s="52">
        <f t="shared" ref="H230:H234" si="131">M230/$S$8</f>
        <v>2.0135265566069041E-3</v>
      </c>
      <c r="I230" s="52">
        <f t="shared" si="113"/>
        <v>2.8977743108139814E-3</v>
      </c>
      <c r="J230" s="53">
        <f t="shared" si="120"/>
        <v>156.770388</v>
      </c>
      <c r="K230" s="149">
        <f t="shared" si="129"/>
        <v>0</v>
      </c>
      <c r="L230" s="254">
        <f t="shared" si="129"/>
        <v>0</v>
      </c>
      <c r="M230" s="252">
        <f t="shared" si="119"/>
        <v>61.6721</v>
      </c>
      <c r="N230" s="94">
        <f t="shared" si="128"/>
        <v>95.098287999999997</v>
      </c>
      <c r="O230" s="71"/>
      <c r="P230" s="242" t="s">
        <v>171</v>
      </c>
      <c r="Q230" s="150">
        <f t="shared" ref="Q230:Q234" si="132">W230/Q$8*100</f>
        <v>0</v>
      </c>
      <c r="R230" s="82">
        <f>X230/R$8*100</f>
        <v>0</v>
      </c>
      <c r="S230" s="75">
        <f t="shared" ref="S230:V234" si="133">Y230/S$8*100</f>
        <v>-0.20135265566069041</v>
      </c>
      <c r="T230" s="137">
        <f t="shared" si="133"/>
        <v>-0.39429442112200686</v>
      </c>
      <c r="U230" s="75">
        <f t="shared" si="133"/>
        <v>-0.28977743108139814</v>
      </c>
      <c r="V230" s="75">
        <f t="shared" si="133"/>
        <v>0</v>
      </c>
      <c r="W230" s="151">
        <v>0</v>
      </c>
      <c r="X230" s="255">
        <v>0</v>
      </c>
      <c r="Y230" s="248">
        <f>-120.768037+3.55616+55+0.539777</f>
        <v>-61.6721</v>
      </c>
      <c r="Z230" s="132">
        <f>-120.768037</f>
        <v>-120.76803700000001</v>
      </c>
      <c r="AA230" s="207">
        <f>-98.833288+3.735</f>
        <v>-95.098287999999997</v>
      </c>
      <c r="AB230" s="207">
        <v>0</v>
      </c>
      <c r="AC230" s="176">
        <v>0</v>
      </c>
      <c r="AD230" s="176">
        <f t="shared" si="122"/>
        <v>0</v>
      </c>
      <c r="AE230" s="51" t="s">
        <v>1281</v>
      </c>
    </row>
    <row r="231" spans="1:31" ht="55.5" customHeight="1" outlineLevel="1" x14ac:dyDescent="0.35">
      <c r="A231" s="1296"/>
      <c r="B231" s="1297"/>
      <c r="C231" s="63">
        <v>44299</v>
      </c>
      <c r="D231" s="48" t="s">
        <v>1401</v>
      </c>
      <c r="E231" s="1298"/>
      <c r="F231" s="124">
        <f t="shared" si="117"/>
        <v>0</v>
      </c>
      <c r="G231" s="52">
        <f t="shared" si="130"/>
        <v>0</v>
      </c>
      <c r="H231" s="52">
        <f t="shared" si="131"/>
        <v>1.7623128191606978E-5</v>
      </c>
      <c r="I231" s="52">
        <f t="shared" si="113"/>
        <v>0</v>
      </c>
      <c r="J231" s="53">
        <f t="shared" si="120"/>
        <v>0.53977699999999995</v>
      </c>
      <c r="K231" s="149">
        <f t="shared" si="129"/>
        <v>0</v>
      </c>
      <c r="L231" s="254">
        <f t="shared" si="129"/>
        <v>0</v>
      </c>
      <c r="M231" s="252">
        <f t="shared" si="119"/>
        <v>0.53977699999999995</v>
      </c>
      <c r="N231" s="94">
        <f t="shared" si="128"/>
        <v>0</v>
      </c>
      <c r="O231" s="242" t="s">
        <v>1163</v>
      </c>
      <c r="P231" s="242" t="s">
        <v>171</v>
      </c>
      <c r="Q231" s="150">
        <f t="shared" si="132"/>
        <v>0</v>
      </c>
      <c r="R231" s="82">
        <f>X231/R$8*100</f>
        <v>0</v>
      </c>
      <c r="S231" s="75">
        <f t="shared" si="133"/>
        <v>-1.7623128191606979E-3</v>
      </c>
      <c r="T231" s="137">
        <f t="shared" si="133"/>
        <v>0</v>
      </c>
      <c r="U231" s="75">
        <f t="shared" si="133"/>
        <v>0</v>
      </c>
      <c r="V231" s="75">
        <f t="shared" si="133"/>
        <v>0</v>
      </c>
      <c r="W231" s="151">
        <v>0</v>
      </c>
      <c r="X231" s="255">
        <v>0</v>
      </c>
      <c r="Y231" s="248">
        <v>-0.53977699999999995</v>
      </c>
      <c r="Z231" s="132">
        <v>0</v>
      </c>
      <c r="AA231" s="207">
        <v>0</v>
      </c>
      <c r="AB231" s="207">
        <v>0</v>
      </c>
      <c r="AC231" s="176">
        <v>0</v>
      </c>
      <c r="AD231" s="176">
        <f t="shared" si="122"/>
        <v>0</v>
      </c>
      <c r="AE231" s="51" t="s">
        <v>1311</v>
      </c>
    </row>
    <row r="232" spans="1:31" ht="90.75" customHeight="1" outlineLevel="1" x14ac:dyDescent="0.35">
      <c r="A232" s="210">
        <v>28</v>
      </c>
      <c r="B232" s="171" t="s">
        <v>1313</v>
      </c>
      <c r="C232" s="63">
        <v>44294</v>
      </c>
      <c r="D232" s="48" t="s">
        <v>1402</v>
      </c>
      <c r="E232" s="49" t="s">
        <v>1312</v>
      </c>
      <c r="F232" s="124">
        <f t="shared" si="117"/>
        <v>0</v>
      </c>
      <c r="G232" s="52">
        <f t="shared" si="130"/>
        <v>0</v>
      </c>
      <c r="H232" s="52">
        <f t="shared" si="131"/>
        <v>6.5297810731494601E-4</v>
      </c>
      <c r="I232" s="52">
        <f t="shared" si="113"/>
        <v>0</v>
      </c>
      <c r="J232" s="53">
        <f t="shared" si="120"/>
        <v>20</v>
      </c>
      <c r="K232" s="149">
        <f t="shared" si="129"/>
        <v>0</v>
      </c>
      <c r="L232" s="254">
        <f t="shared" si="129"/>
        <v>0</v>
      </c>
      <c r="M232" s="252">
        <f t="shared" si="119"/>
        <v>20</v>
      </c>
      <c r="N232" s="94">
        <f t="shared" si="128"/>
        <v>0</v>
      </c>
      <c r="O232" s="242" t="s">
        <v>459</v>
      </c>
      <c r="P232" s="242" t="s">
        <v>127</v>
      </c>
      <c r="Q232" s="150">
        <f t="shared" si="132"/>
        <v>0</v>
      </c>
      <c r="R232" s="82">
        <f>X232/R$8*100</f>
        <v>0</v>
      </c>
      <c r="S232" s="75">
        <f t="shared" si="133"/>
        <v>-6.5297810731494599E-2</v>
      </c>
      <c r="T232" s="137">
        <f t="shared" si="133"/>
        <v>0</v>
      </c>
      <c r="U232" s="75">
        <f t="shared" si="133"/>
        <v>0</v>
      </c>
      <c r="V232" s="75">
        <f t="shared" si="133"/>
        <v>0</v>
      </c>
      <c r="W232" s="151">
        <v>0</v>
      </c>
      <c r="X232" s="255">
        <v>0</v>
      </c>
      <c r="Y232" s="248">
        <v>-20</v>
      </c>
      <c r="Z232" s="132">
        <v>0</v>
      </c>
      <c r="AA232" s="207">
        <v>0</v>
      </c>
      <c r="AB232" s="207">
        <v>0</v>
      </c>
      <c r="AC232" s="176">
        <v>0</v>
      </c>
      <c r="AD232" s="176">
        <f t="shared" si="122"/>
        <v>0</v>
      </c>
      <c r="AE232" s="51" t="s">
        <v>1315</v>
      </c>
    </row>
    <row r="233" spans="1:31" ht="45" customHeight="1" outlineLevel="1" x14ac:dyDescent="0.35">
      <c r="A233" s="210">
        <v>29</v>
      </c>
      <c r="B233" s="171" t="s">
        <v>1314</v>
      </c>
      <c r="C233" s="63">
        <v>44294</v>
      </c>
      <c r="D233" s="48" t="s">
        <v>1403</v>
      </c>
      <c r="E233" s="49" t="s">
        <v>1314</v>
      </c>
      <c r="F233" s="124">
        <f t="shared" si="117"/>
        <v>0</v>
      </c>
      <c r="G233" s="52">
        <f t="shared" si="130"/>
        <v>0</v>
      </c>
      <c r="H233" s="52">
        <f t="shared" si="131"/>
        <v>2.5139330642571764E-6</v>
      </c>
      <c r="I233" s="52">
        <f t="shared" si="113"/>
        <v>0</v>
      </c>
      <c r="J233" s="53">
        <f t="shared" si="120"/>
        <v>7.6998999999999998E-2</v>
      </c>
      <c r="K233" s="149">
        <f t="shared" si="129"/>
        <v>0</v>
      </c>
      <c r="L233" s="254">
        <f t="shared" si="129"/>
        <v>0</v>
      </c>
      <c r="M233" s="252">
        <f t="shared" si="119"/>
        <v>7.6998999999999998E-2</v>
      </c>
      <c r="N233" s="94">
        <f t="shared" si="128"/>
        <v>0</v>
      </c>
      <c r="O233" s="242" t="s">
        <v>185</v>
      </c>
      <c r="P233" s="242" t="s">
        <v>130</v>
      </c>
      <c r="Q233" s="150">
        <f t="shared" si="132"/>
        <v>0</v>
      </c>
      <c r="R233" s="82">
        <f>X233/R$8*100</f>
        <v>0</v>
      </c>
      <c r="S233" s="75">
        <f t="shared" si="133"/>
        <v>-2.5139330642571763E-4</v>
      </c>
      <c r="T233" s="137">
        <f t="shared" si="133"/>
        <v>0</v>
      </c>
      <c r="U233" s="75">
        <f t="shared" si="133"/>
        <v>0</v>
      </c>
      <c r="V233" s="75">
        <f t="shared" si="133"/>
        <v>0</v>
      </c>
      <c r="W233" s="151">
        <v>0</v>
      </c>
      <c r="X233" s="255">
        <v>0</v>
      </c>
      <c r="Y233" s="248">
        <v>-7.6998999999999998E-2</v>
      </c>
      <c r="Z233" s="132">
        <v>0</v>
      </c>
      <c r="AA233" s="207">
        <v>0</v>
      </c>
      <c r="AB233" s="207">
        <v>0</v>
      </c>
      <c r="AC233" s="176">
        <v>0</v>
      </c>
      <c r="AD233" s="176">
        <f t="shared" si="122"/>
        <v>0</v>
      </c>
      <c r="AE233" s="51" t="s">
        <v>1316</v>
      </c>
    </row>
    <row r="234" spans="1:31" ht="45" customHeight="1" outlineLevel="1" x14ac:dyDescent="0.35">
      <c r="A234" s="120">
        <v>30</v>
      </c>
      <c r="B234" s="116" t="s">
        <v>1404</v>
      </c>
      <c r="C234" s="117">
        <v>44306</v>
      </c>
      <c r="D234" s="48" t="s">
        <v>1405</v>
      </c>
      <c r="E234" s="119" t="s">
        <v>1404</v>
      </c>
      <c r="F234" s="124"/>
      <c r="G234" s="52">
        <f t="shared" si="130"/>
        <v>0</v>
      </c>
      <c r="H234" s="52">
        <f t="shared" si="131"/>
        <v>4.8973358048620953E-6</v>
      </c>
      <c r="I234" s="52">
        <f t="shared" si="113"/>
        <v>0</v>
      </c>
      <c r="J234" s="53">
        <f t="shared" si="120"/>
        <v>0.15</v>
      </c>
      <c r="K234" s="95">
        <f t="shared" si="129"/>
        <v>0</v>
      </c>
      <c r="L234" s="254">
        <f t="shared" si="129"/>
        <v>0</v>
      </c>
      <c r="M234" s="252">
        <f t="shared" si="119"/>
        <v>0.15</v>
      </c>
      <c r="N234" s="94">
        <f t="shared" si="128"/>
        <v>0</v>
      </c>
      <c r="O234" s="242" t="s">
        <v>486</v>
      </c>
      <c r="P234" s="242" t="s">
        <v>129</v>
      </c>
      <c r="Q234" s="82">
        <f t="shared" si="132"/>
        <v>0</v>
      </c>
      <c r="R234" s="82">
        <f>X234/R$8*100</f>
        <v>0</v>
      </c>
      <c r="S234" s="75">
        <f t="shared" si="133"/>
        <v>-4.8973358048620956E-4</v>
      </c>
      <c r="T234" s="137">
        <f t="shared" si="133"/>
        <v>0</v>
      </c>
      <c r="U234" s="75">
        <f t="shared" si="133"/>
        <v>0</v>
      </c>
      <c r="V234" s="75">
        <f t="shared" si="133"/>
        <v>0</v>
      </c>
      <c r="W234" s="77">
        <v>0</v>
      </c>
      <c r="X234" s="255">
        <v>0</v>
      </c>
      <c r="Y234" s="248">
        <v>-0.15</v>
      </c>
      <c r="Z234" s="132">
        <v>0</v>
      </c>
      <c r="AA234" s="207">
        <v>0</v>
      </c>
      <c r="AB234" s="207">
        <v>0</v>
      </c>
      <c r="AC234" s="176">
        <v>0</v>
      </c>
      <c r="AD234" s="176">
        <f t="shared" si="122"/>
        <v>0</v>
      </c>
      <c r="AE234" s="51" t="s">
        <v>1406</v>
      </c>
    </row>
    <row r="235" spans="1:31" ht="18.75" customHeight="1" x14ac:dyDescent="0.35">
      <c r="A235" s="10" t="s">
        <v>246</v>
      </c>
      <c r="B235" s="12"/>
      <c r="C235" s="13"/>
      <c r="D235" s="14"/>
      <c r="E235" s="15"/>
      <c r="F235" s="111">
        <f t="shared" ref="F235:H235" si="134">SUM(F236:F241)</f>
        <v>2.7025076328296805E-2</v>
      </c>
      <c r="G235" s="26">
        <f>SUM(G236:G241)</f>
        <v>9.30728413345822E-4</v>
      </c>
      <c r="H235" s="26">
        <f t="shared" si="134"/>
        <v>2.9337115656081839E-3</v>
      </c>
      <c r="I235" s="26">
        <f t="shared" si="113"/>
        <v>6.2119075986434161E-3</v>
      </c>
      <c r="J235" s="21">
        <f>SUM(J236:J241)</f>
        <v>321.01886400000001</v>
      </c>
      <c r="K235" s="167">
        <f t="shared" ref="K235:L235" si="135">SUM(K236:K241)</f>
        <v>761.94500199999993</v>
      </c>
      <c r="L235" s="21">
        <f t="shared" si="135"/>
        <v>27.301991000000001</v>
      </c>
      <c r="M235" s="21">
        <f>SUM(M236:M241)</f>
        <v>89.856353000000013</v>
      </c>
      <c r="N235" s="21">
        <f>SUM(N236:N241)</f>
        <v>203.86052000000001</v>
      </c>
      <c r="O235" s="25"/>
      <c r="P235" s="18"/>
      <c r="Q235" s="112">
        <f t="shared" ref="Q235:AD235" si="136">SUM(Q236:Q241)</f>
        <v>0</v>
      </c>
      <c r="R235" s="9">
        <f t="shared" si="136"/>
        <v>0</v>
      </c>
      <c r="S235" s="9">
        <f t="shared" si="136"/>
        <v>-2.8020596541098966E-2</v>
      </c>
      <c r="T235" s="148">
        <f>SUM(T236:T241)</f>
        <v>-2.8020596541098966E-2</v>
      </c>
      <c r="U235" s="9">
        <f t="shared" si="136"/>
        <v>-2.0964296705741112E-2</v>
      </c>
      <c r="V235" s="9">
        <f t="shared" si="136"/>
        <v>-8.9705941976102356E-3</v>
      </c>
      <c r="W235" s="112">
        <f>SUM(W236:W241)</f>
        <v>0</v>
      </c>
      <c r="X235" s="9">
        <f>SUM(X236:X241)</f>
        <v>0</v>
      </c>
      <c r="Y235" s="9">
        <f t="shared" si="136"/>
        <v>-8.5823999999999998</v>
      </c>
      <c r="Z235" s="148">
        <f>SUM(Z236:Z241)</f>
        <v>-8.5823999999999998</v>
      </c>
      <c r="AA235" s="9">
        <f t="shared" si="136"/>
        <v>-6.88</v>
      </c>
      <c r="AB235" s="9">
        <f t="shared" si="136"/>
        <v>-3.0975999999999999</v>
      </c>
      <c r="AC235" s="9">
        <f t="shared" si="136"/>
        <v>0</v>
      </c>
      <c r="AD235" s="9">
        <f t="shared" si="136"/>
        <v>20.299999999999997</v>
      </c>
      <c r="AE235" s="101"/>
    </row>
    <row r="236" spans="1:31" ht="84" hidden="1" customHeight="1" outlineLevel="1" x14ac:dyDescent="0.35">
      <c r="A236" s="92">
        <v>1</v>
      </c>
      <c r="B236" s="97" t="s">
        <v>204</v>
      </c>
      <c r="C236" s="63">
        <v>43965</v>
      </c>
      <c r="D236" s="48" t="s">
        <v>1082</v>
      </c>
      <c r="E236" s="96" t="s">
        <v>1083</v>
      </c>
      <c r="F236" s="27">
        <f>K236/$Q$8</f>
        <v>2.1224373980279492E-3</v>
      </c>
      <c r="G236" s="52">
        <f>L236/$R$8</f>
        <v>3.7703683411238368E-4</v>
      </c>
      <c r="H236" s="52">
        <f>M236/$S$8</f>
        <v>0</v>
      </c>
      <c r="I236" s="52">
        <f>N236/$U$8</f>
        <v>0</v>
      </c>
      <c r="J236" s="53">
        <f>L236+M236+N236</f>
        <v>11.06</v>
      </c>
      <c r="K236" s="20">
        <v>59.84</v>
      </c>
      <c r="L236" s="95">
        <v>11.06</v>
      </c>
      <c r="M236" s="95">
        <v>0</v>
      </c>
      <c r="N236" s="95">
        <v>0</v>
      </c>
      <c r="O236" s="242" t="s">
        <v>186</v>
      </c>
      <c r="P236" s="242" t="s">
        <v>127</v>
      </c>
      <c r="Q236" s="28">
        <f t="shared" ref="Q236:V241" si="137">W236/Q$8*100</f>
        <v>0</v>
      </c>
      <c r="R236" s="82">
        <f t="shared" si="137"/>
        <v>0</v>
      </c>
      <c r="S236" s="75">
        <f t="shared" si="137"/>
        <v>0</v>
      </c>
      <c r="T236" s="137">
        <f t="shared" si="137"/>
        <v>0</v>
      </c>
      <c r="U236" s="75">
        <f t="shared" si="137"/>
        <v>0</v>
      </c>
      <c r="V236" s="75">
        <f t="shared" si="137"/>
        <v>0</v>
      </c>
      <c r="W236" s="29">
        <v>0</v>
      </c>
      <c r="X236" s="77">
        <v>0</v>
      </c>
      <c r="Y236" s="207">
        <v>0</v>
      </c>
      <c r="Z236" s="132">
        <v>0</v>
      </c>
      <c r="AA236" s="207">
        <v>0</v>
      </c>
      <c r="AB236" s="207">
        <v>0</v>
      </c>
      <c r="AC236" s="77">
        <v>0</v>
      </c>
      <c r="AD236" s="77">
        <f t="shared" ref="AD236:AD241" si="138">-AC236</f>
        <v>0</v>
      </c>
      <c r="AE236" s="84" t="s">
        <v>1084</v>
      </c>
    </row>
    <row r="237" spans="1:31" ht="135" hidden="1" customHeight="1" outlineLevel="1" x14ac:dyDescent="0.35">
      <c r="A237" s="92">
        <v>2</v>
      </c>
      <c r="B237" s="97" t="s">
        <v>205</v>
      </c>
      <c r="C237" s="63">
        <v>43970</v>
      </c>
      <c r="D237" s="48" t="s">
        <v>206</v>
      </c>
      <c r="E237" s="96" t="s">
        <v>1085</v>
      </c>
      <c r="F237" s="27">
        <f>K237/$Q$8</f>
        <v>1.7592395545151452E-2</v>
      </c>
      <c r="G237" s="52">
        <f>L237/$R$8</f>
        <v>3.1855020542030329E-4</v>
      </c>
      <c r="H237" s="52">
        <f>M237/$S$8</f>
        <v>2.476788698462714E-3</v>
      </c>
      <c r="I237" s="52">
        <f>N237/$U$8</f>
        <v>4.9403648945538546E-3</v>
      </c>
      <c r="J237" s="53">
        <f>L237+M237+N237</f>
        <v>247.33707500000003</v>
      </c>
      <c r="K237" s="20">
        <v>496</v>
      </c>
      <c r="L237" s="95">
        <v>9.3443529999999999</v>
      </c>
      <c r="M237" s="95">
        <v>75.861309000000006</v>
      </c>
      <c r="N237" s="95">
        <v>162.13141300000001</v>
      </c>
      <c r="O237" s="242" t="s">
        <v>185</v>
      </c>
      <c r="P237" s="242" t="s">
        <v>326</v>
      </c>
      <c r="Q237" s="28">
        <f t="shared" si="137"/>
        <v>0</v>
      </c>
      <c r="R237" s="82">
        <f t="shared" si="137"/>
        <v>0</v>
      </c>
      <c r="S237" s="75">
        <f t="shared" si="137"/>
        <v>0</v>
      </c>
      <c r="T237" s="137">
        <f t="shared" si="137"/>
        <v>0</v>
      </c>
      <c r="U237" s="75">
        <f t="shared" si="137"/>
        <v>0</v>
      </c>
      <c r="V237" s="75">
        <f t="shared" si="137"/>
        <v>0</v>
      </c>
      <c r="W237" s="29">
        <v>0</v>
      </c>
      <c r="X237" s="77">
        <v>0</v>
      </c>
      <c r="Y237" s="207">
        <v>0</v>
      </c>
      <c r="Z237" s="132">
        <v>0</v>
      </c>
      <c r="AA237" s="207">
        <v>0</v>
      </c>
      <c r="AB237" s="207">
        <v>0</v>
      </c>
      <c r="AC237" s="77">
        <v>0</v>
      </c>
      <c r="AD237" s="77">
        <v>17.399999999999999</v>
      </c>
      <c r="AE237" s="51" t="s">
        <v>1317</v>
      </c>
    </row>
    <row r="238" spans="1:31" ht="375" hidden="1" customHeight="1" outlineLevel="1" x14ac:dyDescent="0.35">
      <c r="A238" s="92">
        <v>3</v>
      </c>
      <c r="B238" s="97" t="s">
        <v>257</v>
      </c>
      <c r="C238" s="63">
        <v>43984</v>
      </c>
      <c r="D238" s="98" t="s">
        <v>1086</v>
      </c>
      <c r="E238" s="49" t="s">
        <v>261</v>
      </c>
      <c r="F238" s="27">
        <f t="shared" ref="F238:F240" si="139">K238/$Q$8</f>
        <v>2.3675257146910691E-4</v>
      </c>
      <c r="G238" s="52">
        <f>L238/$R$8</f>
        <v>2.2755168370468617E-4</v>
      </c>
      <c r="H238" s="52">
        <f>M238/$S$8</f>
        <v>0</v>
      </c>
      <c r="I238" s="52">
        <f>N238/$U$8</f>
        <v>0</v>
      </c>
      <c r="J238" s="53">
        <f>L238+M238+N238</f>
        <v>6.6750020000000001</v>
      </c>
      <c r="K238" s="20">
        <v>6.6750020000000001</v>
      </c>
      <c r="L238" s="95">
        <v>6.6750020000000001</v>
      </c>
      <c r="M238" s="95">
        <v>0</v>
      </c>
      <c r="N238" s="95">
        <v>0</v>
      </c>
      <c r="O238" s="242" t="s">
        <v>186</v>
      </c>
      <c r="P238" s="242" t="s">
        <v>131</v>
      </c>
      <c r="Q238" s="28">
        <f t="shared" si="137"/>
        <v>0</v>
      </c>
      <c r="R238" s="82">
        <f t="shared" si="137"/>
        <v>0</v>
      </c>
      <c r="S238" s="75">
        <f t="shared" si="137"/>
        <v>0</v>
      </c>
      <c r="T238" s="137">
        <f t="shared" si="137"/>
        <v>0</v>
      </c>
      <c r="U238" s="75">
        <f t="shared" si="137"/>
        <v>0</v>
      </c>
      <c r="V238" s="75">
        <f t="shared" si="137"/>
        <v>0</v>
      </c>
      <c r="W238" s="29">
        <v>0</v>
      </c>
      <c r="X238" s="77">
        <v>0</v>
      </c>
      <c r="Y238" s="207">
        <v>0</v>
      </c>
      <c r="Z238" s="132">
        <v>0</v>
      </c>
      <c r="AA238" s="207">
        <v>0</v>
      </c>
      <c r="AB238" s="207">
        <v>0</v>
      </c>
      <c r="AC238" s="77">
        <v>0</v>
      </c>
      <c r="AD238" s="77">
        <f t="shared" si="138"/>
        <v>0</v>
      </c>
      <c r="AE238" s="51" t="s">
        <v>260</v>
      </c>
    </row>
    <row r="239" spans="1:31" ht="390" hidden="1" customHeight="1" outlineLevel="1" x14ac:dyDescent="0.35">
      <c r="A239" s="1303">
        <v>4</v>
      </c>
      <c r="B239" s="1428" t="s">
        <v>259</v>
      </c>
      <c r="C239" s="63">
        <v>43984</v>
      </c>
      <c r="D239" s="48" t="s">
        <v>247</v>
      </c>
      <c r="E239" s="49" t="s">
        <v>1087</v>
      </c>
      <c r="F239" s="27">
        <f t="shared" si="139"/>
        <v>2.5182662977938568E-3</v>
      </c>
      <c r="G239" s="1116">
        <f>L239/$R$8</f>
        <v>7.589690108448883E-6</v>
      </c>
      <c r="H239" s="1116">
        <f>M239/$S$8</f>
        <v>4.5692286714546959E-4</v>
      </c>
      <c r="I239" s="1116">
        <f>N239/$U$8</f>
        <v>1.2715427040895615E-3</v>
      </c>
      <c r="J239" s="1311">
        <f>L239+M239+N239</f>
        <v>55.946787</v>
      </c>
      <c r="K239" s="20">
        <v>71</v>
      </c>
      <c r="L239" s="1137">
        <v>0.222636</v>
      </c>
      <c r="M239" s="1137">
        <v>13.995044</v>
      </c>
      <c r="N239" s="1137">
        <v>41.729106999999999</v>
      </c>
      <c r="O239" s="242" t="s">
        <v>185</v>
      </c>
      <c r="P239" s="242" t="s">
        <v>729</v>
      </c>
      <c r="Q239" s="152">
        <f t="shared" si="137"/>
        <v>0</v>
      </c>
      <c r="R239" s="153">
        <f t="shared" si="137"/>
        <v>0</v>
      </c>
      <c r="S239" s="154">
        <f t="shared" si="137"/>
        <v>0</v>
      </c>
      <c r="T239" s="155">
        <f t="shared" si="137"/>
        <v>0</v>
      </c>
      <c r="U239" s="154">
        <f t="shared" si="137"/>
        <v>0</v>
      </c>
      <c r="V239" s="154">
        <f t="shared" si="137"/>
        <v>0</v>
      </c>
      <c r="W239" s="156">
        <v>0</v>
      </c>
      <c r="X239" s="157">
        <v>0</v>
      </c>
      <c r="Y239" s="80">
        <v>0</v>
      </c>
      <c r="Z239" s="158">
        <v>0</v>
      </c>
      <c r="AA239" s="80">
        <v>0</v>
      </c>
      <c r="AB239" s="80">
        <v>0</v>
      </c>
      <c r="AC239" s="1273">
        <v>0</v>
      </c>
      <c r="AD239" s="1273">
        <v>2.9</v>
      </c>
      <c r="AE239" s="51" t="s">
        <v>1129</v>
      </c>
    </row>
    <row r="240" spans="1:31" ht="228" hidden="1" customHeight="1" outlineLevel="1" x14ac:dyDescent="0.35">
      <c r="A240" s="1304"/>
      <c r="B240" s="1429"/>
      <c r="C240" s="63">
        <v>43984</v>
      </c>
      <c r="D240" s="48" t="s">
        <v>247</v>
      </c>
      <c r="E240" s="49" t="s">
        <v>1088</v>
      </c>
      <c r="F240" s="27">
        <f t="shared" si="139"/>
        <v>2.4980492303326952E-3</v>
      </c>
      <c r="G240" s="1117"/>
      <c r="H240" s="1117"/>
      <c r="I240" s="1117"/>
      <c r="J240" s="1312"/>
      <c r="K240" s="20">
        <v>70.430000000000007</v>
      </c>
      <c r="L240" s="1138"/>
      <c r="M240" s="1138"/>
      <c r="N240" s="1138"/>
      <c r="O240" s="242" t="s">
        <v>185</v>
      </c>
      <c r="P240" s="242" t="s">
        <v>326</v>
      </c>
      <c r="Q240" s="152">
        <f t="shared" si="137"/>
        <v>0</v>
      </c>
      <c r="R240" s="153">
        <f t="shared" si="137"/>
        <v>0</v>
      </c>
      <c r="S240" s="154">
        <f t="shared" si="137"/>
        <v>0</v>
      </c>
      <c r="T240" s="155">
        <f t="shared" si="137"/>
        <v>0</v>
      </c>
      <c r="U240" s="154">
        <f t="shared" si="137"/>
        <v>0</v>
      </c>
      <c r="V240" s="154">
        <f t="shared" si="137"/>
        <v>0</v>
      </c>
      <c r="W240" s="156">
        <v>0</v>
      </c>
      <c r="X240" s="157">
        <v>0</v>
      </c>
      <c r="Y240" s="80">
        <v>0</v>
      </c>
      <c r="Z240" s="158">
        <v>0</v>
      </c>
      <c r="AA240" s="80">
        <v>0</v>
      </c>
      <c r="AB240" s="80">
        <v>0</v>
      </c>
      <c r="AC240" s="1275"/>
      <c r="AD240" s="1275"/>
      <c r="AE240" s="99" t="s">
        <v>1130</v>
      </c>
    </row>
    <row r="241" spans="1:31" ht="210" hidden="1" customHeight="1" outlineLevel="1" x14ac:dyDescent="0.35">
      <c r="A241" s="92">
        <v>5</v>
      </c>
      <c r="B241" s="97" t="s">
        <v>258</v>
      </c>
      <c r="C241" s="63" t="s">
        <v>299</v>
      </c>
      <c r="D241" s="48" t="s">
        <v>1089</v>
      </c>
      <c r="E241" s="49" t="s">
        <v>1090</v>
      </c>
      <c r="F241" s="27">
        <f>K241/$Q$8</f>
        <v>2.0571752855217422E-3</v>
      </c>
      <c r="G241" s="52">
        <f>L241/$R$8</f>
        <v>0</v>
      </c>
      <c r="H241" s="52">
        <f>M241/$S$8</f>
        <v>0</v>
      </c>
      <c r="I241" s="52">
        <f>N241/$U$8</f>
        <v>0</v>
      </c>
      <c r="J241" s="53">
        <f>L241+M241+N241</f>
        <v>0</v>
      </c>
      <c r="K241" s="20">
        <v>58</v>
      </c>
      <c r="L241" s="95">
        <v>0</v>
      </c>
      <c r="M241" s="95">
        <v>0</v>
      </c>
      <c r="N241" s="95">
        <v>0</v>
      </c>
      <c r="O241" s="242" t="s">
        <v>186</v>
      </c>
      <c r="P241" s="242" t="s">
        <v>171</v>
      </c>
      <c r="Q241" s="28">
        <f t="shared" si="137"/>
        <v>0</v>
      </c>
      <c r="R241" s="82">
        <f t="shared" si="137"/>
        <v>0</v>
      </c>
      <c r="S241" s="75">
        <f t="shared" si="137"/>
        <v>-2.8020596541098966E-2</v>
      </c>
      <c r="T241" s="137">
        <f t="shared" si="137"/>
        <v>-2.8020596541098966E-2</v>
      </c>
      <c r="U241" s="75">
        <f t="shared" si="137"/>
        <v>-2.0964296705741112E-2</v>
      </c>
      <c r="V241" s="75">
        <f t="shared" si="137"/>
        <v>-8.9705941976102356E-3</v>
      </c>
      <c r="W241" s="29">
        <v>0</v>
      </c>
      <c r="X241" s="77">
        <v>0</v>
      </c>
      <c r="Y241" s="207">
        <v>-8.5823999999999998</v>
      </c>
      <c r="Z241" s="132">
        <f>-26.82*0.32</f>
        <v>-8.5823999999999998</v>
      </c>
      <c r="AA241" s="207">
        <v>-6.88</v>
      </c>
      <c r="AB241" s="207">
        <v>-3.0975999999999999</v>
      </c>
      <c r="AC241" s="77">
        <v>0</v>
      </c>
      <c r="AD241" s="77">
        <f t="shared" si="138"/>
        <v>0</v>
      </c>
      <c r="AE241" s="51" t="s">
        <v>1131</v>
      </c>
    </row>
    <row r="242" spans="1:31" ht="15" customHeight="1" collapsed="1" x14ac:dyDescent="0.35"/>
    <row r="243" spans="1:31" x14ac:dyDescent="0.35">
      <c r="A243" t="s">
        <v>1282</v>
      </c>
      <c r="F243" s="23"/>
      <c r="G243" s="23"/>
      <c r="H243" s="23"/>
      <c r="I243" s="23"/>
      <c r="W243" s="23"/>
      <c r="X243" s="23"/>
      <c r="Y243" s="23"/>
      <c r="Z243" s="23"/>
    </row>
    <row r="244" spans="1:31" ht="18.5" x14ac:dyDescent="0.45">
      <c r="A244" s="104"/>
      <c r="F244" s="23"/>
      <c r="G244" s="23"/>
      <c r="H244" s="23"/>
      <c r="I244" s="23"/>
      <c r="Q244" s="23"/>
      <c r="R244" s="23"/>
      <c r="S244" s="23"/>
      <c r="T244" s="23"/>
      <c r="W244" s="23"/>
      <c r="X244" s="23"/>
      <c r="Y244" s="23"/>
      <c r="Z244" s="23"/>
    </row>
    <row r="245" spans="1:31" x14ac:dyDescent="0.35">
      <c r="F245" s="24"/>
      <c r="G245"/>
      <c r="H245"/>
      <c r="I245"/>
      <c r="J245"/>
      <c r="K245"/>
      <c r="L245"/>
      <c r="M245"/>
      <c r="N245"/>
    </row>
    <row r="246" spans="1:31" x14ac:dyDescent="0.35">
      <c r="G246"/>
      <c r="H246"/>
      <c r="I246"/>
      <c r="J246"/>
      <c r="K246"/>
      <c r="L246"/>
      <c r="M246"/>
      <c r="N246"/>
    </row>
    <row r="247" spans="1:31" x14ac:dyDescent="0.35">
      <c r="G247"/>
      <c r="H247"/>
      <c r="I247"/>
      <c r="J247"/>
      <c r="K247"/>
      <c r="L247"/>
      <c r="M247"/>
      <c r="N247"/>
    </row>
    <row r="248" spans="1:31" x14ac:dyDescent="0.35">
      <c r="G248"/>
      <c r="H248"/>
      <c r="I248"/>
      <c r="J248"/>
      <c r="K248"/>
      <c r="L248"/>
      <c r="M248"/>
      <c r="N248"/>
    </row>
    <row r="249" spans="1:31" x14ac:dyDescent="0.35">
      <c r="G249"/>
      <c r="H249"/>
      <c r="I249"/>
      <c r="J249"/>
      <c r="K249"/>
      <c r="L249"/>
      <c r="M249"/>
      <c r="N249"/>
    </row>
    <row r="250" spans="1:31" x14ac:dyDescent="0.35">
      <c r="G250"/>
      <c r="H250"/>
      <c r="I250"/>
      <c r="J250"/>
      <c r="K250"/>
      <c r="L250"/>
      <c r="M250"/>
      <c r="N250"/>
    </row>
  </sheetData>
  <mergeCells count="360">
    <mergeCell ref="AC239:AC240"/>
    <mergeCell ref="AD239:AD240"/>
    <mergeCell ref="A239:A240"/>
    <mergeCell ref="B239:B240"/>
    <mergeCell ref="G239:G240"/>
    <mergeCell ref="H239:H240"/>
    <mergeCell ref="I239:I240"/>
    <mergeCell ref="J239:J240"/>
    <mergeCell ref="L239:L240"/>
    <mergeCell ref="M239:M240"/>
    <mergeCell ref="N239:N240"/>
    <mergeCell ref="R202:R203"/>
    <mergeCell ref="X202:X203"/>
    <mergeCell ref="AC202:AC203"/>
    <mergeCell ref="AD202:AD203"/>
    <mergeCell ref="A216:A219"/>
    <mergeCell ref="B216:B219"/>
    <mergeCell ref="E217:E218"/>
    <mergeCell ref="AE217:AE218"/>
    <mergeCell ref="AC218:AC219"/>
    <mergeCell ref="AD218:AD219"/>
    <mergeCell ref="AF87:AF89"/>
    <mergeCell ref="D127:D128"/>
    <mergeCell ref="R166:R169"/>
    <mergeCell ref="X166:X169"/>
    <mergeCell ref="A175:A176"/>
    <mergeCell ref="B175:B176"/>
    <mergeCell ref="A177:A187"/>
    <mergeCell ref="B177:B187"/>
    <mergeCell ref="A190:A193"/>
    <mergeCell ref="B190:B193"/>
    <mergeCell ref="AE190:AE192"/>
    <mergeCell ref="C87:C88"/>
    <mergeCell ref="E87:E88"/>
    <mergeCell ref="F87:F88"/>
    <mergeCell ref="H87:H88"/>
    <mergeCell ref="I87:I88"/>
    <mergeCell ref="K87:K88"/>
    <mergeCell ref="M87:M88"/>
    <mergeCell ref="N87:N88"/>
    <mergeCell ref="O87:O88"/>
    <mergeCell ref="B155:B161"/>
    <mergeCell ref="N78:N79"/>
    <mergeCell ref="O78:O79"/>
    <mergeCell ref="AB78:AB79"/>
    <mergeCell ref="AC78:AC79"/>
    <mergeCell ref="AD78:AD79"/>
    <mergeCell ref="AE78:AE79"/>
    <mergeCell ref="G80:G93"/>
    <mergeCell ref="J80:J93"/>
    <mergeCell ref="L80:L93"/>
    <mergeCell ref="X80:X93"/>
    <mergeCell ref="P87:P88"/>
    <mergeCell ref="Q87:Q88"/>
    <mergeCell ref="S87:S88"/>
    <mergeCell ref="T87:T88"/>
    <mergeCell ref="U87:U88"/>
    <mergeCell ref="V87:V88"/>
    <mergeCell ref="W87:W88"/>
    <mergeCell ref="Y87:Y88"/>
    <mergeCell ref="Z87:Z88"/>
    <mergeCell ref="AA87:AA88"/>
    <mergeCell ref="AB87:AB88"/>
    <mergeCell ref="AC87:AC88"/>
    <mergeCell ref="AD87:AD88"/>
    <mergeCell ref="AE87:AE88"/>
    <mergeCell ref="E78:E79"/>
    <mergeCell ref="F78:F79"/>
    <mergeCell ref="G78:G79"/>
    <mergeCell ref="H78:H79"/>
    <mergeCell ref="I78:I79"/>
    <mergeCell ref="J78:J79"/>
    <mergeCell ref="K78:K79"/>
    <mergeCell ref="L78:L79"/>
    <mergeCell ref="M78:M79"/>
    <mergeCell ref="E1:AC1"/>
    <mergeCell ref="A2:AE2"/>
    <mergeCell ref="A3:A6"/>
    <mergeCell ref="B3:B6"/>
    <mergeCell ref="C3:C6"/>
    <mergeCell ref="D3:D6"/>
    <mergeCell ref="E3:E6"/>
    <mergeCell ref="F3:I4"/>
    <mergeCell ref="J3:N4"/>
    <mergeCell ref="O3:O6"/>
    <mergeCell ref="F5:G5"/>
    <mergeCell ref="J5:J6"/>
    <mergeCell ref="K5:L5"/>
    <mergeCell ref="Q5:R5"/>
    <mergeCell ref="S5:T5"/>
    <mergeCell ref="W5:X5"/>
    <mergeCell ref="AE3:AE6"/>
    <mergeCell ref="A61:A62"/>
    <mergeCell ref="B61:B62"/>
    <mergeCell ref="A69:A73"/>
    <mergeCell ref="B69:B73"/>
    <mergeCell ref="A74:A109"/>
    <mergeCell ref="B74:B109"/>
    <mergeCell ref="C78:C79"/>
    <mergeCell ref="P3:AC3"/>
    <mergeCell ref="AD3:AD6"/>
    <mergeCell ref="P4:P6"/>
    <mergeCell ref="Q4:V4"/>
    <mergeCell ref="W4:AB4"/>
    <mergeCell ref="AC4:AC6"/>
    <mergeCell ref="Y5:Z5"/>
    <mergeCell ref="A7:D7"/>
    <mergeCell ref="A24:A25"/>
    <mergeCell ref="B24:B25"/>
    <mergeCell ref="C24:C25"/>
    <mergeCell ref="E24:E25"/>
    <mergeCell ref="F24:F25"/>
    <mergeCell ref="G24:G25"/>
    <mergeCell ref="M15:M19"/>
    <mergeCell ref="N15:N19"/>
    <mergeCell ref="A10:A19"/>
    <mergeCell ref="AE7:AE8"/>
    <mergeCell ref="AD15:AD19"/>
    <mergeCell ref="AE15:AE19"/>
    <mergeCell ref="O10:O19"/>
    <mergeCell ref="AC10:AC14"/>
    <mergeCell ref="AD10:AD14"/>
    <mergeCell ref="AE10:AE14"/>
    <mergeCell ref="F15:F19"/>
    <mergeCell ref="G15:G19"/>
    <mergeCell ref="H15:H19"/>
    <mergeCell ref="I15:I19"/>
    <mergeCell ref="J15:J19"/>
    <mergeCell ref="K15:K19"/>
    <mergeCell ref="I10:I14"/>
    <mergeCell ref="J10:J14"/>
    <mergeCell ref="K10:K14"/>
    <mergeCell ref="L10:L14"/>
    <mergeCell ref="M10:M14"/>
    <mergeCell ref="N10:N14"/>
    <mergeCell ref="F10:F14"/>
    <mergeCell ref="G10:G14"/>
    <mergeCell ref="H10:H14"/>
    <mergeCell ref="AC15:AC19"/>
    <mergeCell ref="L15:L19"/>
    <mergeCell ref="B10:B19"/>
    <mergeCell ref="C10:C19"/>
    <mergeCell ref="D10:D19"/>
    <mergeCell ref="E10:E19"/>
    <mergeCell ref="AC24:AC25"/>
    <mergeCell ref="AD24:AD25"/>
    <mergeCell ref="A26:A29"/>
    <mergeCell ref="B26:B27"/>
    <mergeCell ref="B28:B29"/>
    <mergeCell ref="C28:C29"/>
    <mergeCell ref="E28:E29"/>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F28:F29"/>
    <mergeCell ref="G28:G29"/>
    <mergeCell ref="H28:H29"/>
    <mergeCell ref="I28:I29"/>
    <mergeCell ref="J28:J29"/>
    <mergeCell ref="K28:K29"/>
    <mergeCell ref="Z24:Z25"/>
    <mergeCell ref="AA24:AA25"/>
    <mergeCell ref="AB24:AB25"/>
    <mergeCell ref="M24:M25"/>
    <mergeCell ref="T28:T29"/>
    <mergeCell ref="U28:U29"/>
    <mergeCell ref="V28:V29"/>
    <mergeCell ref="W28:W29"/>
    <mergeCell ref="L28:L29"/>
    <mergeCell ref="M28:M29"/>
    <mergeCell ref="N28:N29"/>
    <mergeCell ref="O28:O29"/>
    <mergeCell ref="P28:P29"/>
    <mergeCell ref="Q28:Q29"/>
    <mergeCell ref="L30:L35"/>
    <mergeCell ref="M30:M35"/>
    <mergeCell ref="N30:N35"/>
    <mergeCell ref="P30:P36"/>
    <mergeCell ref="Q30:Q35"/>
    <mergeCell ref="R30:R35"/>
    <mergeCell ref="AD28:AD29"/>
    <mergeCell ref="AE28:AE29"/>
    <mergeCell ref="A30:A36"/>
    <mergeCell ref="B30:B36"/>
    <mergeCell ref="F30:F35"/>
    <mergeCell ref="G30:G35"/>
    <mergeCell ref="H30:H35"/>
    <mergeCell ref="I30:I35"/>
    <mergeCell ref="J30:J35"/>
    <mergeCell ref="K30:K35"/>
    <mergeCell ref="X28:X29"/>
    <mergeCell ref="Y28:Y29"/>
    <mergeCell ref="Z28:Z29"/>
    <mergeCell ref="AA28:AA29"/>
    <mergeCell ref="AB28:AB29"/>
    <mergeCell ref="AC28:AC29"/>
    <mergeCell ref="R28:R29"/>
    <mergeCell ref="S28:S29"/>
    <mergeCell ref="Y30:Y35"/>
    <mergeCell ref="Z30:Z35"/>
    <mergeCell ref="AA30:AA35"/>
    <mergeCell ref="AB30:AB35"/>
    <mergeCell ref="AC30:AC35"/>
    <mergeCell ref="AD30:AD35"/>
    <mergeCell ref="S30:S35"/>
    <mergeCell ref="T30:T35"/>
    <mergeCell ref="U30:U35"/>
    <mergeCell ref="V30:V35"/>
    <mergeCell ref="W30:W35"/>
    <mergeCell ref="X30:X35"/>
    <mergeCell ref="A38:A41"/>
    <mergeCell ref="B38:B41"/>
    <mergeCell ref="C39:C41"/>
    <mergeCell ref="E39:E41"/>
    <mergeCell ref="M45:M46"/>
    <mergeCell ref="N45:N46"/>
    <mergeCell ref="O45:O46"/>
    <mergeCell ref="G45:G46"/>
    <mergeCell ref="H45:H46"/>
    <mergeCell ref="I45:I46"/>
    <mergeCell ref="J45:J46"/>
    <mergeCell ref="K45:K46"/>
    <mergeCell ref="F39:F41"/>
    <mergeCell ref="G39:G41"/>
    <mergeCell ref="H39:H41"/>
    <mergeCell ref="I39:I41"/>
    <mergeCell ref="J39:J41"/>
    <mergeCell ref="K39:K41"/>
    <mergeCell ref="L39:L41"/>
    <mergeCell ref="M39:M41"/>
    <mergeCell ref="E53:E54"/>
    <mergeCell ref="F53:F54"/>
    <mergeCell ref="G53:G54"/>
    <mergeCell ref="A43:A44"/>
    <mergeCell ref="B43:B44"/>
    <mergeCell ref="A45:A46"/>
    <mergeCell ref="B45:B46"/>
    <mergeCell ref="C45:C46"/>
    <mergeCell ref="E45:E46"/>
    <mergeCell ref="A53:A54"/>
    <mergeCell ref="B53:B54"/>
    <mergeCell ref="C53:C54"/>
    <mergeCell ref="A50:A52"/>
    <mergeCell ref="B50:B52"/>
    <mergeCell ref="F50:F51"/>
    <mergeCell ref="AC45:AC46"/>
    <mergeCell ref="R45:R46"/>
    <mergeCell ref="S45:S46"/>
    <mergeCell ref="T45:T46"/>
    <mergeCell ref="U45:U46"/>
    <mergeCell ref="V45:V46"/>
    <mergeCell ref="W45:W46"/>
    <mergeCell ref="L45:L46"/>
    <mergeCell ref="P45:P46"/>
    <mergeCell ref="Q45:Q46"/>
    <mergeCell ref="K50:K51"/>
    <mergeCell ref="Q50:Q51"/>
    <mergeCell ref="W50:W51"/>
    <mergeCell ref="X45:X46"/>
    <mergeCell ref="Y45:Y46"/>
    <mergeCell ref="Z45:Z46"/>
    <mergeCell ref="F45:F46"/>
    <mergeCell ref="N53:N54"/>
    <mergeCell ref="O53:O54"/>
    <mergeCell ref="P53:P54"/>
    <mergeCell ref="Q53:Q54"/>
    <mergeCell ref="R53:R54"/>
    <mergeCell ref="S53:S54"/>
    <mergeCell ref="H53:H54"/>
    <mergeCell ref="I53:I54"/>
    <mergeCell ref="J53:J54"/>
    <mergeCell ref="K53:K54"/>
    <mergeCell ref="L53:L54"/>
    <mergeCell ref="M53:M54"/>
    <mergeCell ref="Z78:Z79"/>
    <mergeCell ref="AA78:AA79"/>
    <mergeCell ref="A162:A164"/>
    <mergeCell ref="B162:B164"/>
    <mergeCell ref="A165:A174"/>
    <mergeCell ref="B165:B174"/>
    <mergeCell ref="J166:J169"/>
    <mergeCell ref="L166:L169"/>
    <mergeCell ref="P78:P79"/>
    <mergeCell ref="Q78:Q79"/>
    <mergeCell ref="R78:R79"/>
    <mergeCell ref="S78:S79"/>
    <mergeCell ref="T78:T79"/>
    <mergeCell ref="U78:U79"/>
    <mergeCell ref="V78:V79"/>
    <mergeCell ref="W78:W79"/>
    <mergeCell ref="X78:X79"/>
    <mergeCell ref="A133:A140"/>
    <mergeCell ref="B133:B140"/>
    <mergeCell ref="A141:A151"/>
    <mergeCell ref="B141:B151"/>
    <mergeCell ref="A153:A154"/>
    <mergeCell ref="B153:B154"/>
    <mergeCell ref="A155:A161"/>
    <mergeCell ref="A230:A231"/>
    <mergeCell ref="B230:B231"/>
    <mergeCell ref="E230:E231"/>
    <mergeCell ref="AC39:AC41"/>
    <mergeCell ref="Z39:Z41"/>
    <mergeCell ref="AA39:AA41"/>
    <mergeCell ref="AB39:AB41"/>
    <mergeCell ref="X39:X41"/>
    <mergeCell ref="Y39:Y41"/>
    <mergeCell ref="N39:N41"/>
    <mergeCell ref="O39:O41"/>
    <mergeCell ref="P39:P41"/>
    <mergeCell ref="Q39:Q41"/>
    <mergeCell ref="A194:A195"/>
    <mergeCell ref="B194:B195"/>
    <mergeCell ref="A197:A201"/>
    <mergeCell ref="B197:B201"/>
    <mergeCell ref="A202:A209"/>
    <mergeCell ref="B202:B209"/>
    <mergeCell ref="J202:J203"/>
    <mergeCell ref="L202:L203"/>
    <mergeCell ref="A222:A225"/>
    <mergeCell ref="B222:B225"/>
    <mergeCell ref="Y78:Y79"/>
    <mergeCell ref="AD39:AD41"/>
    <mergeCell ref="AE39:AE41"/>
    <mergeCell ref="R39:R41"/>
    <mergeCell ref="S39:S41"/>
    <mergeCell ref="T39:T41"/>
    <mergeCell ref="U39:U41"/>
    <mergeCell ref="V39:V41"/>
    <mergeCell ref="W39:W41"/>
    <mergeCell ref="AA53:AA54"/>
    <mergeCell ref="AB53:AB54"/>
    <mergeCell ref="AC53:AC54"/>
    <mergeCell ref="AD53:AD54"/>
    <mergeCell ref="AE53:AE54"/>
    <mergeCell ref="T53:T54"/>
    <mergeCell ref="U53:U54"/>
    <mergeCell ref="V53:V54"/>
    <mergeCell ref="Z53:Z54"/>
    <mergeCell ref="W53:W54"/>
    <mergeCell ref="X53:X54"/>
    <mergeCell ref="Y53:Y54"/>
    <mergeCell ref="AD45:AD46"/>
    <mergeCell ref="AE45:AE46"/>
    <mergeCell ref="AA45:AA46"/>
    <mergeCell ref="AB45:AB46"/>
  </mergeCells>
  <hyperlinks>
    <hyperlink ref="D58" r:id="rId1" display="MK 24.03.2020 not. Nr. 153 &quot;Grozījumi Ministru kabineta 2020.gada 19.marta noteikumos Nr.149 &quot;Noteikumi par apgrozāmo līdzekļu aizdevumiem saimnieciskās darbības veicējiem, kuru darbību ietekmējusi Covid-19 izplatība&quot;&quot;" xr:uid="{00000000-0004-0000-0300-000000000000}"/>
    <hyperlink ref="D59" r:id="rId2" display="MK 24.03.2020 not. Nr. 154 &quot;Grozījumi Ministru kabineta 2020.gada 19.marta noteikumos Nr.150 &quot;Noteikumi par garantijām saimnieciskās darbības veicējiem, kuru darbību ietekmējusi Covid-19 izplatība&quot;&quot;" xr:uid="{00000000-0004-0000-0300-000001000000}"/>
    <hyperlink ref="D81" r:id="rId3" display="MK 27.03.2020. rīkojums Nr.137" xr:uid="{00000000-0004-0000-0300-000002000000}"/>
    <hyperlink ref="D80" r:id="rId4" display="MK rīk. Nr.79  &quot;Par finanšu līdzekļu piešķiršanu no valsts budžeta programmas &quot;Līdzekļi neparedzētiem gadījumiem&quot; un Nr.118  &quot;Par finanšu līdzekļu piešķiršanu no valsts budžeta programmas &quot;Līdzekļi neparedzētiem gadījumiem&quot;&quot;" xr:uid="{00000000-0004-0000-0300-000003000000}"/>
    <hyperlink ref="D74" r:id="rId5" display="MK rīkojums Nr.80 &quot;Par apropriācijas palielināšanuVeselības ministrijai&quot;" xr:uid="{00000000-0004-0000-0300-000004000000}"/>
    <hyperlink ref="D134" r:id="rId6" display="MK rīk. Nr.117 19.03.2020 &quot;Par iekārtu iegādi un dāvinājumapieņemšanu attālināta mācību procesa nodrošināšanai ārkārtējāssituācijas laikā&quot;" xr:uid="{00000000-0004-0000-0300-000005000000}"/>
    <hyperlink ref="D141" r:id="rId7" display="MK 19.03.2020. prot. Nr.16 5.§" xr:uid="{00000000-0004-0000-0300-000006000000}"/>
    <hyperlink ref="D143" r:id="rId8" display="MK 07.04.2020. rīkojums Nr.160 &quot;Par finanšu līdzekļu piešķiršanu no valsts budžeta programmas &quot;Līdzekļi neparedzētiem gadījumiem&quot;&quot;" xr:uid="{00000000-0004-0000-0300-000007000000}"/>
    <hyperlink ref="D152" r:id="rId9" display="MK 02.04.2020. noteikumu Nr.180 &quot;Noteikumi par publiskas personas un publiskas personas kontrolētas kapitālsabiedrības mantas nomas maksas atbrīvojuma vai samazinājuma piemērošanu sakarā ar Covid-19 izplatību&quot;" xr:uid="{00000000-0004-0000-0300-000008000000}"/>
    <hyperlink ref="D142" r:id="rId10" display="MK 19.03.2020. rīkojums Nr.116 &quot;GrozījumiMinistru kabineta 2020. gada 10. marta rīkojumā Nr. 100 &quot;Parfinanšu līdzekļu piešķiršanu no valsts budžeta programmas&quot;Līdzekļi neparedzētiem gadījumiem&quot;&quot;&quot;" xr:uid="{00000000-0004-0000-0300-000009000000}"/>
    <hyperlink ref="D30" r:id="rId11" display="MK noteikumi Nr. 165 &quot;Noteikumi par Covid-19 krīzē skartiem uzņēmumiem, kuri kvalificējas dīkstāves pabalstam un nokavēto nodokļu maksājumu samaksas sadalei termiņos vai atlikšanai uz laiku līdz trim gadiem&quot;" xr:uid="{00000000-0004-0000-0300-00000A000000}"/>
    <hyperlink ref="D31" r:id="rId12" display="MK noteikumi Nr. 179 &quot;Noteikumi par dīkstāves pabalstu pašnodarbinātām personām, kuras skārusi Covid-19 izplatība&quot;" xr:uid="{00000000-0004-0000-0300-00000B000000}"/>
    <hyperlink ref="D32" r:id="rId13" display="MK noteikumi Nr.184 &quot;Grozījumi Ministru kabineta 2020.gada 26. marta noteikumos Nr. 165 &quot;Noteikumi par Covid-19 izraisītās krīzes skartiem darba devējiem, kuri kvalificējas dīkstāves pabalstam un nokavēto nodokļu maksājumu samaksas sadalei termiņos vai at" xr:uid="{00000000-0004-0000-0300-00000C000000}"/>
    <hyperlink ref="D42" r:id="rId14" display="Grozījums Bezdarbnieku un darba meklētāju atbalsta likumā" xr:uid="{00000000-0004-0000-0300-00000D000000}"/>
    <hyperlink ref="D153" r:id="rId15" display="MK 14.04.2020 TA-602" xr:uid="{00000000-0004-0000-0300-00000E000000}"/>
    <hyperlink ref="D144" r:id="rId16" display="MK 07.04.2020. rīkojums Nr.160 &quot;Par finanšu līdzekļu piešķiršanu no valsts budžeta programmas &quot;Līdzekļi neparedzētiem gadījumiem&quot;&quot;" xr:uid="{00000000-0004-0000-0300-00000F000000}"/>
    <hyperlink ref="D33" r:id="rId17" display="MK noteikumi Nr. 205 &quot;Grozījumi Ministru kabineta 2020.gada 26. marta noteikumos Nr. 165 &quot;Noteikumi par Covid-19izraisītās krīzes skartiem darba devējiem, kuri kvalificējasdīkstāves pabalstam un nokavēto nodokļu maksājumu samaksassadalei termiņos vai atli" xr:uid="{00000000-0004-0000-0300-000010000000}"/>
    <hyperlink ref="D70" r:id="rId18" display="MK rīkojums Nr.120 &quot;Par valsts akciju sabiedrības &quot;Latvijas gaisa satiksme&quot; pamatkapitāla palielināšanu&quot;" xr:uid="{00000000-0004-0000-0300-000011000000}"/>
    <hyperlink ref="D34" r:id="rId19" display="MK noteikumi Nr.234 &quot;Grozījumi Ministru kabineta 2020.gada 31.marta noteikumos Nr.179 &quot;Noteikumi par dīkstāves pabalstu pašnodarbinātām personām, kuras skārusi Covid-19 izplatība&quot;&quot; " xr:uid="{00000000-0004-0000-0300-000012000000}"/>
    <hyperlink ref="D155" r:id="rId20" display="MK rīkojums Nr.423 &quot;Par finanšu līdzekļu piešķiršanu no valsts budžeta programmas &quot;Līdzekļi neparedzētiem gadījumiem&quot;&quot;" xr:uid="{00000000-0004-0000-0300-000013000000}"/>
    <hyperlink ref="D162" r:id="rId21" display="MK rīkojums Nr.222 &quot;Par finanšu līdzekļu piešķiršanu no valsts budžeta programmas &quot;Līdzekļi neparedzētiem gadījumiem&quot;&quot;" xr:uid="{00000000-0004-0000-0300-000014000000}"/>
    <hyperlink ref="D60" r:id="rId22" display="MK 24.03.2020 not. Nr. 155 &quot;Grozījumi Ministru kabineta 2017.gada 5.septembra noteikumos Nr.537 &quot;Noteikumi par portfeļgarantijām sīko (mikro), mazo un vidējo komersantu kreditēšanas veicināšanai&quot;&quot;" xr:uid="{00000000-0004-0000-0300-000015000000}"/>
    <hyperlink ref="D71" r:id="rId23" display="Rīkojums Nr.219 &quot;Par valsts akciju sabiedrības&quot;Starptautiskā lidosta &quot;Rīga&quot;&quot; pamatkapitāla palielināšanu&quot;" xr:uid="{00000000-0004-0000-0300-000016000000}"/>
    <hyperlink ref="D165" r:id="rId24" display="MK rīkojums Nr.239 &quot;Par finanšu līdzekļu piešķiršanu no valsts budžeta programmas &quot;Līdzekļi neparedzētiem gadījumiem&quot;&quot;" xr:uid="{00000000-0004-0000-0300-000017000000}"/>
    <hyperlink ref="D175" r:id="rId25" display="Cabinet Order No. 260 &quot;On Allocation of Financial Resources from the State Budget Program&quot; Contingency Funds &quot;" xr:uid="{00000000-0004-0000-0300-000018000000}"/>
    <hyperlink ref="D188" r:id="rId26" display="MK rīkojums Nr.261 &quot;Par finanšu līdzekļu piešķiršanu no valsts budžeta programmas &quot;Līdzekļi neparedzētiem gadījumiem&quot;&quot;" xr:uid="{00000000-0004-0000-0300-000019000000}"/>
    <hyperlink ref="D48" r:id="rId27" display="Noteikumi Nr.256 &quot;Grozījums Ministru kabineta 2009.gada 22.decembra noteikumos Nr.1643 &quot;Kārtība, kādā piešķir un izmaksā pabalstu aizbildnībā esoša bērna uzturēšanai&quot;&quot;" xr:uid="{00000000-0004-0000-0300-00001A000000}"/>
    <hyperlink ref="D82" r:id="rId28" display="MK rīk. Nr.237 &quot;Par finanšu līdzekļu piešķiršanu no valsts budžeta programmas &quot;Līdzekļi neparedzētiem gadījumiem&quot;&quot;" xr:uid="{00000000-0004-0000-0300-00001B000000}"/>
    <hyperlink ref="D177" r:id="rId29" display="MK rīkojums Nr.255 &quot;Par finanšu līdzekļu piešķiršanu no valsts budžeta programmas &quot;Līdzekļi neparedzētiem gadījumiem&quot;&quot;" xr:uid="{00000000-0004-0000-0300-00001C000000}"/>
    <hyperlink ref="D237" r:id="rId30" display="Informatīvais ziņojums &quot;Par Eiropas Savienības struktūrfondu un Kohēzijas fonda finansējuma pārdalēm un risinājumiem COVID-19 seku mazināšanai&quot; " xr:uid="{00000000-0004-0000-0300-00001D000000}"/>
    <hyperlink ref="D239" r:id="rId31" display="Informatīvais ziņojums &quot;Par pasākumiem Covid-19 krīzes pārvarēšanai un ekonomikas atlabšanai&quot; " xr:uid="{00000000-0004-0000-0300-00001E000000}"/>
    <hyperlink ref="D240" r:id="rId32" display="Informatīvais ziņojums &quot;Par pasākumiem Covid-19 krīzes pārvarēšanai un ekonomikas atlabšanai&quot; " xr:uid="{00000000-0004-0000-0300-00001F000000}"/>
    <hyperlink ref="D61" r:id="rId33" display="Informatīvais ziņojums &quot;Par pašvaldību aizņēmuma limita palielināšanu Covid-19 ekonomisko seku mazināšanai&quot; " xr:uid="{00000000-0004-0000-0300-000020000000}"/>
    <hyperlink ref="D63" r:id="rId34" display="Noteikumi par kapitāla ieguldījumiem komersantos, kuru darbību ietekmējusi Covid-19 izplatība" xr:uid="{00000000-0004-0000-0300-000021000000}"/>
    <hyperlink ref="D172" r:id="rId35" display="Informatīvais ziņojums &quot;Par pasākumiem Covid-19 krīzes pārvarēšanai un ekonomikas atlabšanai&quot; " xr:uid="{00000000-0004-0000-0300-000022000000}"/>
    <hyperlink ref="D202" r:id="rId36" display="Informatīvais ziņojums &quot;Par pasākumiem Covid-19 krīzes pārvarēšanai un ekonomikas atlabšanai&quot; " xr:uid="{00000000-0004-0000-0300-000023000000}"/>
    <hyperlink ref="D194" r:id="rId37" display="MK rīk. Nr 363 Par finanšu līdzekļu piešķiršanu no valsts budžeta programmas &quot;Līdzekļi neparedzētiem gadījumiem&quot;" xr:uid="{00000000-0004-0000-0300-000024000000}"/>
    <hyperlink ref="D197" r:id="rId38" display="Informatīvais ziņojums &quot;Par pasākumiem Covid-19 krīzes pārvarēšanai un ekonomikas atlabšanai&quot; " xr:uid="{00000000-0004-0000-0300-000025000000}"/>
    <hyperlink ref="D37" r:id="rId39" display="MK rīk. Nr.236 &quot;&quot;Par finanšu līdzekļu piešķiršanu no valsts budžeta programmas &quot;Līdzekļi neparedzētiem gadījumiem&quot;&quot; " xr:uid="{00000000-0004-0000-0300-000026000000}"/>
    <hyperlink ref="D47" r:id="rId40" display="MK rīk. Nr.277 &quot;&quot;Par finanšu līdzekļu piešķiršanu no valsts budžeta programmas &quot;Līdzekļi neparedzētiem gadījumiem&quot;&quot; " xr:uid="{00000000-0004-0000-0300-000027000000}"/>
    <hyperlink ref="D72" r:id="rId41" display="Rīkojums Nr.219 &quot;Par valsts akciju sabiedrības&quot;Starptautiskā lidosta &quot;Rīga&quot;&quot; pamatkapitāla palielināšanu&quot;" xr:uid="{00000000-0004-0000-0300-000028000000}"/>
    <hyperlink ref="D236" r:id="rId42" display="MK noteikumi &quot;Noteikumi par valsts atbalstu īstermiņa aizdevumiem lauksaimniecībā Covid-19 izplatības negatīvās ietekmes mazināšanai&quot;" xr:uid="{00000000-0004-0000-0300-000029000000}"/>
    <hyperlink ref="D203" r:id="rId43" display="http://tap.mk.gov.lv/lv/mk/tap/?pid=40488130&amp;mode=mk&amp;date=2020-06-02" xr:uid="{00000000-0004-0000-0300-00002A000000}"/>
    <hyperlink ref="D216" r:id="rId44" display="MK rīkojums Nr. 334 &quot;Par finanšu līdzekļu piešķiršanu no valsts budžeta programmas &quot;Līdzekļi neparedzētiem gadījumiem&quot;&quot; " xr:uid="{00000000-0004-0000-0300-00002B000000}"/>
    <hyperlink ref="D69" r:id="rId45" display="Informatīvais ziņojums &quot;Par COVID-19 pandēmijas ietekmi uz airBaltic darbību&quot; (IP) un MK __.05.2020. rīk.___ &quot;Par akciju sabiedrības &quot;Air Baltic Corporation&quot; pamatkapitāla palielināšanu&quot;" xr:uid="{00000000-0004-0000-0300-00002C000000}"/>
    <hyperlink ref="D190" r:id="rId46" display="MK __.07.2020. rīk. Nr.___ &quot;Par finanšu līdzekļu piešķiršanu no valsts budžeta programmas 02.00.00 Līdzekļi neparedzētiem gadījumiem&quot;" xr:uid="{00000000-0004-0000-0300-00002D000000}"/>
    <hyperlink ref="D191" r:id="rId47" display="MK __.07.2020. rīk. Nr.___  &quot;Par finanšu līdzekļu piešķiršanu valsts akciju sabiedrībai &quot;Latvijas dzelzceļš&quot;&quot;" xr:uid="{00000000-0004-0000-0300-00002E000000}"/>
    <hyperlink ref="D193" r:id="rId48" display="Rīkojums &quot;Par finanšu līdzekļu piešķiršanu no valsts budžeta programmas 02.00.00 &quot;Līdzekļi neparedzētiem gadījumiem&quot;&quot;" xr:uid="{00000000-0004-0000-0300-00002F000000}"/>
    <hyperlink ref="D241" r:id="rId49" display="http://tap.mk.gov.lv/lv/mk/tap/?pid=40489541&amp;mode=mk&amp;date=2020-07-14" xr:uid="{00000000-0004-0000-0300-000030000000}"/>
    <hyperlink ref="D64" r:id="rId50" display="Noteikumi par garantijām lielajiem komersantiem, kuru darbību ietekmējusi Covid-19 izplatība" xr:uid="{00000000-0004-0000-0300-000031000000}"/>
    <hyperlink ref="D221" r:id="rId51" display="Rīkojuma projekts &quot;Par finanšu līdzekļu piešķiršanu no valsts budžeta programmas &quot;Līdzekļi neparedzētiem gadījumiem&quot;&quot; " xr:uid="{00000000-0004-0000-0300-000032000000}"/>
    <hyperlink ref="D204" r:id="rId52" display="MK rīkojums Nr.303 &quot;Par finanšu līdzekļu piešķiršanu no valsts budžeta programmas &quot;Līdzekļi neparedzētiem gadījumiem&quot;&quot;" xr:uid="{00000000-0004-0000-0300-000033000000}"/>
    <hyperlink ref="D222" r:id="rId53" display="MK rīkojums Nr. 399 &quot;Par finanšu līdzekļu piešķiršanu no valsts budžeta programmas &quot;Līdzekļi neparedzētiem gadījumiem&quot;&quot; " xr:uid="{00000000-0004-0000-0300-000034000000}"/>
    <hyperlink ref="D86" r:id="rId54" display="MK rīk. Nr.413 &quot;Par finanšu līdzekļu piešķiršanu no valsts budžeta programmas &quot;Līdzekļi neparedzētiem gadījumiem&quot;&quot;" xr:uid="{00000000-0004-0000-0300-000035000000}"/>
    <hyperlink ref="D50" r:id="rId55" display="MK rīk. Nr.415 &quot;Par finanšu līdzekļu piešķiršanu no valsts budžeta programmas &quot;Līdzekļi neparedzētiem gadījumiem&quot;&quot; " xr:uid="{00000000-0004-0000-0300-000036000000}"/>
    <hyperlink ref="D220" r:id="rId56" display="Informatīvais ziņojums &quot;Par pasākumiem Covid-19 krīzes pārvarēšanai un ekonomikas atlabšanai&quot; " xr:uid="{00000000-0004-0000-0300-000037000000}"/>
    <hyperlink ref="D226" r:id="rId57" display="MK rīkojums Nr. 443 &quot;Par finanšu līdzekļu piešķiršanu no valsts budžeta programmas &quot;Līdzekļi neparedzētiem gadījumiem&quot;&quot; " xr:uid="{00000000-0004-0000-0300-000038000000}"/>
    <hyperlink ref="D179" r:id="rId58" display="MK rīkojums Nr. 552 &quot;Par finanšu līdzekļu piešķiršanu no valsts budžeta programmas &quot;Līdzekļi neparedzētiem gadījumiem&quot;&quot; " xr:uid="{00000000-0004-0000-0300-000039000000}"/>
    <hyperlink ref="D198" r:id="rId59" display="Informatīvais ziņojums &quot;Par pasākumiem Covid-19 krīzes pārvarēšanai un ekonomikas atlabšanai&quot; " xr:uid="{00000000-0004-0000-0300-00003A000000}"/>
    <hyperlink ref="D199" r:id="rId60" display="MK rīkojums Nr. 560 &quot;Par finanšu līdzekļu piešķiršanu no valsts budžeta programmas &quot;Līdzekļi neparedzētiem gadījumiem&quot;&quot; " xr:uid="{00000000-0004-0000-0300-00003B000000}"/>
    <hyperlink ref="D146" r:id="rId61" display="MK rīk. Nr.607 &quot;Par finanšu līdzekļu piešķiršanu no valsts budžeta programmas &quot;Līdzekļi neparedzētiem gadījumiem&quot;&quot;" xr:uid="{00000000-0004-0000-0300-00003C000000}"/>
    <hyperlink ref="D89" r:id="rId62" display="MK rīkojums Nr. 608 &quot;Par finanšu līdzekļu piešķiršanu no valsts budžeta programmas &quot;Līdzekļi neparedzētiem gadījumiem&quot;&quot; " xr:uid="{00000000-0004-0000-0300-00003D000000}"/>
    <hyperlink ref="D77" r:id="rId63" display="MK rīk Nr.118 20.03.2020." xr:uid="{00000000-0004-0000-0300-00003E000000}"/>
    <hyperlink ref="D79" r:id="rId64" display="MK rīk. Nr.18&quot;Par finanšu līdzekļu piešķiršanu no valsts budžeta programmas &quot;Līdzekļi neparedzētiem gadījumiem&quot;&quot;" xr:uid="{00000000-0004-0000-0300-00003F000000}"/>
    <hyperlink ref="D75" r:id="rId65" display="MK 09.04.2020. rīkojums Nr.176&quot;Par apropriācijas palielināšanu Veselības ministrijai&quot;" xr:uid="{00000000-0004-0000-0300-000040000000}"/>
    <hyperlink ref="D180" r:id="rId66" display="MK rīkojums Nr. 573 &quot;Par finanšu līdzekļu piešķiršanu no valsts budžeta programmas &quot;Līdzekļi neparedzētiem gadījumiem&quot;&quot; " xr:uid="{00000000-0004-0000-0300-000041000000}"/>
    <hyperlink ref="D92" r:id="rId67" display="MK rīkojums Nr.640  &quot;Par finanšu līdzekļu piešķiršanu no valsts budžeta programmas &quot;Līdzekļi neparedzētiem gadījumiem&quot;&quot; " xr:uid="{00000000-0004-0000-0300-000042000000}"/>
    <hyperlink ref="D35" r:id="rId68" display="Grozījums likumā &quot;Par valsts apdraudējuma un tā seku novēršanas un pārvarēšanas pasākumiem sakarā ar Covid-19 izplatību&quot;" xr:uid="{00000000-0004-0000-0300-000043000000}"/>
    <hyperlink ref="D36" r:id="rId69" display="MK noteikumi &quot;Noteikumi par atbalstu par dīkstāvi nodokļu maksātājiem to darbības turpināšanai Covid-19 izraisītās krīzes apstākļos&quot;" xr:uid="{00000000-0004-0000-0300-000044000000}"/>
    <hyperlink ref="D217" r:id="rId70" display="Noteikumi &quot;Grozījumi Ministru kabineta 2020.gada 14.jūlija noteikumos Nr.455 &quot;Covid-19 skarto tūrisma nozares saimnieciskās darbības veicēju atbalsta piešķiršanas kārtība&quot;&quot; " xr:uid="{00000000-0004-0000-0300-000045000000}"/>
    <hyperlink ref="D192" r:id="rId71" display="MK __.07.2020. rīk. Nr.___ &quot;Par valsts akciju sabiedrības &quot;Latvijas dzelzceļš&quot; pamatkapitāla palielināšanu&quot;" xr:uid="{00000000-0004-0000-0300-000046000000}"/>
    <hyperlink ref="D156" r:id="rId72" display="MK rīkojums Nr.697 &quot;Par finanšu līdzekļu piešķiršanu no valsts budžeta programmas &quot;Līdzekļi neparedzētiem gadījumiem&quot;&quot;" xr:uid="{00000000-0004-0000-0300-000047000000}"/>
    <hyperlink ref="D43" r:id="rId73" display="Rīkojums &quot;Par finanšu līdzekļu piešķiršanu no valsts budžeta programmas &quot;Līdzekļi neparedzētiem gadījumiem&quot;&quot; " xr:uid="{00000000-0004-0000-0300-000048000000}"/>
    <hyperlink ref="D38" r:id="rId74" display="MK rīk. Nr.178 &quot;&quot;Par finanšu līdzekļu piešķiršanu no valsts budžeta programmas &quot;Līdzekļi neparedzētiem gadījumiem&quot;&quot; " xr:uid="{00000000-0004-0000-0300-000049000000}"/>
    <hyperlink ref="D205" r:id="rId75" display="Rīkojuma projekts &quot;Par finanšu līdzekļu piešķiršanu no valsts budžeta programmas &quot;Līdzekļi neparedzētiem gadījumiem&quot;&quot;" xr:uid="{00000000-0004-0000-0300-00004A000000}"/>
    <hyperlink ref="D207" r:id="rId76" xr:uid="{00000000-0004-0000-0300-00004B000000}"/>
    <hyperlink ref="D93" r:id="rId77" display="MK rīkojums Nr. 656 &quot;Par finanšu līdzekļu piešķiršanu no valsts budžeta programmas &quot;Līdzekļi neparedzētiem gadījumiem&quot;&quot; " xr:uid="{00000000-0004-0000-0300-00004C000000}"/>
    <hyperlink ref="D137" r:id="rId78" display="Par finansējuma sadalījumu atbalsta sniegšanai attālinātā mācību procesa nodrošināšanai vispārējās izglītības un profesionālās izglītības iestāžu pedagogiem" xr:uid="{00000000-0004-0000-0300-00004D000000}"/>
    <hyperlink ref="D84" r:id="rId79" display="Noteikumu projekts &quot;Grozījumi Ministru kabineta 2018.gada 28.augusta noteikumos Nr.555 &quot;Veselības aprūpes pakalpojumu organizēšanas un samaksas kārtība&quot;&quot; " xr:uid="{00000000-0004-0000-0300-00004E000000}"/>
    <hyperlink ref="D181" r:id="rId80" display="MK rīkojums Nr. 675 &quot;Par finanšu līdzekļu piešķiršanu no valsts budžeta programmas &quot;Līdzekļi neparedzētiem gadījumiem&quot;&quot; " xr:uid="{00000000-0004-0000-0300-00004F000000}"/>
    <hyperlink ref="D94" r:id="rId81" display="MK 01.12.2020. sēdes prot. Nr.78 3.§, &quot;Informatīvais ziņojums &quot;Par Covid-19 vakcīnu ieviešanas stratēģiju&quot;&quot;" xr:uid="{00000000-0004-0000-0300-000050000000}"/>
    <hyperlink ref="D54" r:id="rId82" display="MK rīk. Nr.14 &quot;Par finanšu līdzekļu piešķiršanu no valsts budžeta programmas &quot;Līdzekļi neparedzētiem gadījumiem&quot;&quot;" xr:uid="{00000000-0004-0000-0300-000051000000}"/>
    <hyperlink ref="D182" r:id="rId83" display="MK rīkojums Nr. 676 &quot;Par finanšu līdzekļu piešķiršanu no valsts budžeta programmas &quot;Līdzekļi neparedzētiem gadījumiem&quot;&quot; " xr:uid="{00000000-0004-0000-0300-000052000000}"/>
    <hyperlink ref="D96" r:id="rId84" xr:uid="{00000000-0004-0000-0300-000053000000}"/>
    <hyperlink ref="D100" r:id="rId85" display="Noteikumi &quot;Grozījumi Ministru kabineta 2018.gada 28.augusta noteikumos Nr.555 &quot;Veselības aprūpes pakalpojumu organizēšanas un samaksas kārtība&quot;&quot;" xr:uid="{00000000-0004-0000-0300-000054000000}"/>
    <hyperlink ref="D98" r:id="rId86" display="Informatīvais ziņojums “ Veselības nozares kapacitātes celšana un noturības stiprināšana Covid-19 apstākļos Latvijā”" xr:uid="{00000000-0004-0000-0300-000055000000}"/>
    <hyperlink ref="D65" r:id="rId87" display="Noteikumi par aizdevumiem un to procentu likmju subsīdijām komersantiem konkurētspējas veicināšanai" xr:uid="{00000000-0004-0000-0300-000056000000}"/>
    <hyperlink ref="D66" r:id="rId88" display="Grozījumi Ministru kabineta 2020.gada 16.jūnija noteikumos Nr.383 &quot;Noteikumi par garantijām saimnieciskās darbības veicējiem konkurētspējas uzlabošanai&quot;" xr:uid="{00000000-0004-0000-0300-000057000000}"/>
    <hyperlink ref="D223" r:id="rId89" display="MK rīkojums Nr. 663 &quot;Par apropriācijas pārdali neatliekamu pasākumu īstenošanai labklājības nozarē&quot;" xr:uid="{00000000-0004-0000-0300-000058000000}"/>
    <hyperlink ref="D224" r:id="rId90" display="Rīkojums Nr.17 &quot;Par finanšu līdzekļu piešķiršanu no valsts budžeta programmas &quot;Līdzekļi neparedzētiem gadījumiem&quot;" xr:uid="{00000000-0004-0000-0300-000059000000}"/>
    <hyperlink ref="D228" r:id="rId91" display="MK rīkojums Nr. 756 &quot;Par finanšu līdzekļu piešķiršanu no valsts budžeta programmas &quot;Līdzekļi neparedzētiem gadījumiem&quot;&quot; " xr:uid="{00000000-0004-0000-0300-00005A000000}"/>
    <hyperlink ref="D200" r:id="rId92" display="MK rīkojums Nr. 619 &quot;Par finanšu līdzekļu piešķiršanu no valsts budžeta programmas &quot;Līdzekļi neparedzētiem gadījumiem&quot;&quot; " xr:uid="{00000000-0004-0000-0300-00005B000000}"/>
    <hyperlink ref="D40" r:id="rId93" display="MK rīkojums Nr.15 &quot;Par finanšu līdzekļu piešķiršanu no valsts budžeta programmas &quot;Līdzekļi neparedzētiem gadījumiem&quot;&quot;" xr:uid="{00000000-0004-0000-0300-00005C000000}"/>
    <hyperlink ref="D219" r:id="rId94" display="MK rīkojums Nr. 796 &quot;Par finanšu līdzekļu piešķiršanu no valsts budžeta programmas &quot;Līdzekļi neparedzētiem gadījumiem&quot;&quot; " xr:uid="{00000000-0004-0000-0300-00005D000000}"/>
    <hyperlink ref="D102" r:id="rId95" display="Rik. Nr.1 Par apropriācijas palielināšanu Veselības ministrijai" xr:uid="{00000000-0004-0000-0300-00005E000000}"/>
    <hyperlink ref="D208" r:id="rId96" display="MK rīkojums Nr.708 Par apropriācijas palielināšanu Kultūras ministrijai" xr:uid="{00000000-0004-0000-0300-00005F000000}"/>
    <hyperlink ref="D209" r:id="rId97" display="MK rīkojums Nr. 21 &quot;Par finanšu līdzekļu piešķiršanu no valsts budžeta programmas &quot;Līdzekļi neparedzētiem gadījumiem&quot;&quot; " xr:uid="{00000000-0004-0000-0300-000060000000}"/>
    <hyperlink ref="D103" r:id="rId98" display="MK rīkojums Nr. 2 &quot;Par finanšu līdzekļu piešķiršanu no valsts budžeta programmas &quot;Līdzekļi neparedzētiem gadījumiem&quot;&quot; " xr:uid="{00000000-0004-0000-0300-000061000000}"/>
    <hyperlink ref="D10:D19" r:id="rId99" display="&quot;Covid-19 infekcijas izplatības seku pārvarēšanas likums&quot;; Likums &quot;Par valsts apdraudējuma un tā seku novēršanas un pārvarēšanas pasākumiem sakarā ar Covid-19 izplatību&quot; [zaudējis spēku]" xr:uid="{00000000-0004-0000-0300-000062000000}"/>
    <hyperlink ref="D44" r:id="rId100" display="MK rīk. Nr.12 &quot;&quot;Par finanšu līdzekļu piešķiršanu no valsts budžeta programmas &quot;Līdzekļi neparedzētiem gadījumiem&quot;&quot; " xr:uid="{00000000-0004-0000-0300-000063000000}"/>
    <hyperlink ref="D45" r:id="rId101" display="MK rīk. Nr.238 &quot;&quot;Par finanšu līdzekļu piešķiršanu no valsts budžeta programmas &quot;Līdzekļi neparedzētiem gadījumiem&quot;&quot; " xr:uid="{00000000-0004-0000-0300-000064000000}"/>
    <hyperlink ref="D46" r:id="rId102" display="MK rīk. Nr.16 &quot;&quot;Par finanšu līdzekļu piešķiršanu no valsts budžeta programmas &quot;Līdzekļi neparedzētiem gadījumiem&quot;&quot; " xr:uid="{00000000-0004-0000-0300-000065000000}"/>
    <hyperlink ref="D49" r:id="rId103" display="Noteikumi Nr.294 &quot;Grozījums Ministru kabineta 2009.gada 22.decembra noteikumos Nr.1517 &quot;Noteikumi par ģimenes valsts pabalstu un piemaksām pie ģimenes valsts pabalsta&quot;" xr:uid="{00000000-0004-0000-0300-000066000000}"/>
    <hyperlink ref="D53" r:id="rId104" display="MK rīk. Nr.368 &quot;Par finanšu līdzekļu piešķiršanu no valsts budžeta programmas &quot;Līdzekļi neparedzētiem gadījumiem&quot;&quot; " xr:uid="{00000000-0004-0000-0300-000067000000}"/>
    <hyperlink ref="D78" r:id="rId105" display="MK rīk. Nr.220 &quot;Par finanšu līdzekļu piešķiršanu no valsts budžeta programmas &quot;Līdzekļi neparedzētiem gadījumiem&quot;&quot;" xr:uid="{00000000-0004-0000-0300-000068000000}"/>
    <hyperlink ref="D85" r:id="rId106" display="Noteikumu projekts &quot;Grozījumi Ministru kabineta 2018.gada 28.augusta noteikumos Nr.555 &quot;Veselības aprūpes pakalpojumu organizēšanas un samaksas kārtība&quot;&quot;" xr:uid="{00000000-0004-0000-0300-000069000000}"/>
    <hyperlink ref="D88" r:id="rId107" display="Informatīvais ziņojums &quot;Par pasākumiem Covid-19 krīzes pārvarēšanai un ekonomikas atlabšanai&quot;" xr:uid="{00000000-0004-0000-0300-00006A000000}"/>
    <hyperlink ref="D90" r:id="rId108" display="MK rīkojums Nr. 614 &quot;Par finanšu līdzekļu piešķiršanu no valsts budžeta programmas &quot;Līdzekļi neparedzētiem gadījumiem&quot;&quot; " xr:uid="{00000000-0004-0000-0300-00006B000000}"/>
    <hyperlink ref="D101" r:id="rId109" display="Noteikumi &quot;Grozījumi Ministru kabineta 2018.gada 28.augusta noteikumos Nr.555 &quot;Veselības aprūpes pakalpojumu organizēšanas un samaksas kārtība&quot;&quot;" xr:uid="{00000000-0004-0000-0300-00006C000000}"/>
    <hyperlink ref="D99" r:id="rId110" xr:uid="{00000000-0004-0000-0300-00006D000000}"/>
    <hyperlink ref="D136" r:id="rId111" display="MK rīk. Nr.498 &quot;Par finanšu līdzekļu piešķiršanu no valsts budžeta programmas &quot;Līdzekļi neparedzētiem gadījumiem&quot;&quot;" xr:uid="{00000000-0004-0000-0300-00006E000000}"/>
    <hyperlink ref="D189" r:id="rId112" display="MK rīkojums Nr.446 &quot;Par finanšu līdzekļu piešķiršanu no valsts budžeta programmas &quot;Līdzekļi neparedzētiem gadījumiem&quot;&quot;" xr:uid="{00000000-0004-0000-0300-00006F000000}"/>
    <hyperlink ref="D104" r:id="rId113" display="Informatīvais ziņojums &quot;Par Covid-19 vakcīnu iepirkšanu&quot;" xr:uid="{00000000-0004-0000-0300-000070000000}"/>
    <hyperlink ref="D106" r:id="rId114" display="Informatīvais ziņojums “Par Moderna ražoto vakcīnu pret Covid-19 iegādi" xr:uid="{00000000-0004-0000-0300-000071000000}"/>
    <hyperlink ref="D107" r:id="rId115" display="MK rīkojums Nr. 22 &quot;Par finanšu līdzekļu piešķiršanu no valsts budžeta programmas &quot;Līdzekļi neparedzētiem gadījumiem&quot;&quot; " xr:uid="{00000000-0004-0000-0300-000072000000}"/>
    <hyperlink ref="D109" r:id="rId116" display="MK rīkojums Nr. 34 &quot;Par finanšu līdzekļu piešķiršanu no valsts budžeta programmas &quot;Līdzekļi neparedzētiem gadījumiem&quot;&quot; " xr:uid="{00000000-0004-0000-0300-000073000000}"/>
    <hyperlink ref="D39" r:id="rId117" display="MK rīkojums Nr.706 &quot;Par finanšu līdzekļu piešķiršanu no valsts budžeta programmas &quot;Līdzekļi neparedzētiem gadījumiem&quot;&quot;" xr:uid="{00000000-0004-0000-0300-000074000000}"/>
    <hyperlink ref="D52" r:id="rId118" display="MK noteikumi &quot;Noteikumi par atbalstu par dīkstāvi nodokļu maksātājiem to darbības turpināšanai Covid-19 izraisītās krīzes apstākļos&quot;" xr:uid="{00000000-0004-0000-0300-000075000000}"/>
    <hyperlink ref="D227" r:id="rId119" display="MK noteikumi &quot;Noteikumi par atbalstu par dīkstāvi nodokļu maksātājiem to darbības turpināšanai Covid-19 izraisītās krīzes apstākļos&quot;" xr:uid="{00000000-0004-0000-0300-000076000000}"/>
    <hyperlink ref="D183" r:id="rId120" display="MK rīkojums Nr.598 &quot;Par finanšu līdzekļu piešķiršanu no valsts budžeta programmas &quot;Līdzekļi neparedzētiem gadījumiem&quot;&quot;" xr:uid="{00000000-0004-0000-0300-000077000000}"/>
    <hyperlink ref="D133" r:id="rId121" display="MK rīk. Nr.142 &quot;Par finanšu līdzekļu piešķiršanu no valsts budžeta programmas &quot;Līdzekļi neparedzētiem gadījumiem&quot;&quot;" xr:uid="{00000000-0004-0000-0300-000078000000}"/>
    <hyperlink ref="D166" r:id="rId122" display="MK rīkojums Nr.472 &quot;Par finanšu līdzekļu piešķiršanu no valsts budžeta programmas &quot;Līdzekļi neparedzētiem gadījumiem&quot;&quot;" xr:uid="{00000000-0004-0000-0300-000079000000}"/>
    <hyperlink ref="D167" r:id="rId123" display="MK rīkojums Nr.473 &quot;Par finanšu līdzekļu piešķiršanu no valsts budžeta programmas &quot;Līdzekļi neparedzētiem gadījumiem&quot;&quot;" xr:uid="{00000000-0004-0000-0300-00007A000000}"/>
    <hyperlink ref="D168" r:id="rId124" display="MK rīkojums Nr.499 &quot;Par finanšu līdzekļu piešķiršanu no valsts budžeta programmas &quot;Līdzekļi neparedzētiem gadījumiem&quot;&quot;" xr:uid="{00000000-0004-0000-0300-00007B000000}"/>
    <hyperlink ref="D169" r:id="rId125" display="MK rīkojums Nr.507 &quot;Par finanšu līdzekļu piešķiršanu no valsts budžeta programmas &quot;Līdzekļi neparedzētiem gadījumiem&quot;&quot;" xr:uid="{00000000-0004-0000-0300-00007C000000}"/>
    <hyperlink ref="D171" r:id="rId126" display="Informatīvais ziņojums &quot;Par pasākumiem Covid-19 krīzes pārvarēšanai un ekonomikas atlabšanai&quot; " xr:uid="{00000000-0004-0000-0300-00007D000000}"/>
    <hyperlink ref="D170" r:id="rId127" display="Informatīvais ziņojums &quot;Par pasākumiem Covid-19 krīzes pārvarēšanai un ekonomikas atlabšanai&quot; " xr:uid="{00000000-0004-0000-0300-00007E000000}"/>
    <hyperlink ref="D28" r:id="rId128" display="MK rīk. Nr.707 &quot;Par finanšu līdzekļu piešķiršanu no valsts budžeta programmas &quot;Līdzekļi neparedzētiem gadījumiem&quot;&quot; " xr:uid="{00000000-0004-0000-0300-00007F000000}"/>
    <hyperlink ref="D25" r:id="rId129" display="MK rīk. Nr.11 &quot;Par finanšu līdzekļu piešķiršanu no valsts budžeta programmas &quot;Līdzekļi neparedzētiem gadījumiem&quot;&quot; " xr:uid="{00000000-0004-0000-0300-000080000000}"/>
    <hyperlink ref="D22" r:id="rId130" display="https://likumi.lv/ta/id/315287-covid-19-infekcijas-izplatibas-seku-parvaresanas-likums" xr:uid="{00000000-0004-0000-0300-000081000000}"/>
    <hyperlink ref="D21" r:id="rId131" display="https://likumi.lv/ta/id/315287-covid-19-infekcijas-izplatibas-seku-parvaresanas-likums" xr:uid="{00000000-0004-0000-0300-000082000000}"/>
    <hyperlink ref="D27" r:id="rId132" display="Grozījums likumā &quot;Par maternitātes un slimības apdrošināšanu&quot;" xr:uid="{00000000-0004-0000-0300-000083000000}"/>
    <hyperlink ref="D29" r:id="rId133" xr:uid="{00000000-0004-0000-0300-000084000000}"/>
    <hyperlink ref="D24" r:id="rId134" display="MK 01.04.2020. rīk. Nr.141 &quot;Par finanšu līdzekļu piešķiršanuno valsts budžeta programmas &quot;Līdzekļi neparedzētiemgadījumiem&quot;&quot; " xr:uid="{00000000-0004-0000-0300-000085000000}"/>
    <hyperlink ref="D26" r:id="rId135" display="Pieņemts Saeimā 20.03.2020. Grozījums likumā &quot;Par maternitātes un slimības apdrošināšanu&quot;." xr:uid="{00000000-0004-0000-0300-000086000000}"/>
    <hyperlink ref="D20" r:id="rId136" display="https://likumi.lv/ta/id/315287-covid-19-infekcijas-izplatibas-seku-parvaresanas-likums" xr:uid="{00000000-0004-0000-0300-000087000000}"/>
    <hyperlink ref="D83" r:id="rId137" display="MK rīk. Nr.271 &quot;Par finanšu līdzekļu piešķiršanu no valsts budžeta programmas &quot;Līdzekļi neparedzētiem gadījumiem&quot;&quot;" xr:uid="{00000000-0004-0000-0300-000088000000}"/>
    <hyperlink ref="D108" r:id="rId138" display="MK rīkojums Nr. 35 &quot;Par finanšu līdzekļu piešķiršanu no valsts budžeta programmas &quot;Līdzekļi neparedzētiem gadījumiem&quot;&quot; " xr:uid="{00000000-0004-0000-0300-000089000000}"/>
    <hyperlink ref="D105" r:id="rId139" xr:uid="{00000000-0004-0000-0300-00008A000000}"/>
    <hyperlink ref="D110" r:id="rId140" xr:uid="{00000000-0004-0000-0300-00008B000000}"/>
    <hyperlink ref="D111" r:id="rId141" xr:uid="{00000000-0004-0000-0300-00008C000000}"/>
    <hyperlink ref="D112" r:id="rId142" xr:uid="{00000000-0004-0000-0300-00008D000000}"/>
    <hyperlink ref="D113" r:id="rId143" xr:uid="{00000000-0004-0000-0300-00008E000000}"/>
    <hyperlink ref="D114" r:id="rId144" xr:uid="{00000000-0004-0000-0300-00008F000000}"/>
    <hyperlink ref="D115" r:id="rId145" display="Cabinet of Ministers Order No. 55 &quot;On the Allocation of Financial Resources from the State Budget Program&quot; Contingency Funds &quot;&quot;" xr:uid="{00000000-0004-0000-0300-000090000000}"/>
    <hyperlink ref="D116" r:id="rId146" xr:uid="{00000000-0004-0000-0300-000091000000}"/>
    <hyperlink ref="D117" r:id="rId147" xr:uid="{00000000-0004-0000-0300-000092000000}"/>
    <hyperlink ref="D118" r:id="rId148" xr:uid="{00000000-0004-0000-0300-000093000000}"/>
    <hyperlink ref="D138" r:id="rId149" xr:uid="{00000000-0004-0000-0300-000094000000}"/>
    <hyperlink ref="D157" r:id="rId150" xr:uid="{00000000-0004-0000-0300-000095000000}"/>
    <hyperlink ref="D178" r:id="rId151" xr:uid="{00000000-0004-0000-0300-000096000000}"/>
    <hyperlink ref="D206" r:id="rId152" xr:uid="{00000000-0004-0000-0300-000097000000}"/>
    <hyperlink ref="D218" r:id="rId153" xr:uid="{00000000-0004-0000-0300-000098000000}"/>
    <hyperlink ref="D120" r:id="rId154" xr:uid="{00000000-0004-0000-0300-000099000000}"/>
    <hyperlink ref="D121" r:id="rId155" xr:uid="{00000000-0004-0000-0300-00009A000000}"/>
    <hyperlink ref="D139" r:id="rId156" xr:uid="{00000000-0004-0000-0300-00009B000000}"/>
    <hyperlink ref="D185" r:id="rId157" xr:uid="{00000000-0004-0000-0300-00009C000000}"/>
    <hyperlink ref="D67" r:id="rId158" display="Draft Order &quot;On Increasing the Reserve Capital of the Joint Stock Company&quot; Development Financial Institution Altum &quot;&quot;" xr:uid="{00000000-0004-0000-0300-00009D000000}"/>
    <hyperlink ref="D119" r:id="rId159" xr:uid="{00000000-0004-0000-0300-00009E000000}"/>
    <hyperlink ref="D122" r:id="rId160" xr:uid="{00000000-0004-0000-0300-00009F000000}"/>
    <hyperlink ref="D123" r:id="rId161" xr:uid="{00000000-0004-0000-0300-0000A0000000}"/>
    <hyperlink ref="D148" r:id="rId162" xr:uid="{00000000-0004-0000-0300-0000A1000000}"/>
    <hyperlink ref="D212" r:id="rId163" xr:uid="{00000000-0004-0000-0300-0000A2000000}"/>
    <hyperlink ref="D95" r:id="rId164" xr:uid="{00000000-0004-0000-0300-0000A3000000}"/>
    <hyperlink ref="D97" r:id="rId165" xr:uid="{00000000-0004-0000-0300-0000A4000000}"/>
    <hyperlink ref="D124" r:id="rId166" display="Draft Order &quot;On the Allocation of Financial Resources from the State Budget Program&quot; Contingency Funds &quot;&quot;" xr:uid="{00000000-0004-0000-0300-0000A5000000}"/>
    <hyperlink ref="D147" r:id="rId167" xr:uid="{00000000-0004-0000-0300-0000A6000000}"/>
    <hyperlink ref="D149" r:id="rId168" xr:uid="{00000000-0004-0000-0300-0000A7000000}"/>
    <hyperlink ref="D186" r:id="rId169" xr:uid="{00000000-0004-0000-0300-0000A8000000}"/>
    <hyperlink ref="D196" r:id="rId170" xr:uid="{00000000-0004-0000-0300-0000A9000000}"/>
    <hyperlink ref="D211" r:id="rId171" display="Cabinet Order No. 21 &quot;On Allocation of Financial Funds from the State Budget Program &quot;Contingency Funds" xr:uid="{00000000-0004-0000-0300-0000AA000000}"/>
    <hyperlink ref="D213" r:id="rId172" xr:uid="{00000000-0004-0000-0300-0000AB000000}"/>
    <hyperlink ref="D225" r:id="rId173" display="Cabinet Order No. 399 &quot;On Allocation of Financial Funds from the State Budget Program &quot;Contingency Funds&quot;" xr:uid="{00000000-0004-0000-0300-0000AC000000}"/>
    <hyperlink ref="D41" r:id="rId174" xr:uid="{00000000-0004-0000-0300-0000AD000000}"/>
    <hyperlink ref="D73" r:id="rId175" display="Draft Order &quot;On the Allocation of Financial Resources from the State Budget Program&quot; Contingency Funds &quot;&quot;" xr:uid="{00000000-0004-0000-0300-0000AE000000}"/>
    <hyperlink ref="D163" r:id="rId176" xr:uid="{00000000-0004-0000-0300-0000AF000000}"/>
    <hyperlink ref="D164" r:id="rId177" xr:uid="{00000000-0004-0000-0300-0000B0000000}"/>
    <hyperlink ref="D174" r:id="rId178" xr:uid="{00000000-0004-0000-0300-0000B1000000}"/>
    <hyperlink ref="D62" r:id="rId179" xr:uid="{00000000-0004-0000-0300-0000B2000000}"/>
    <hyperlink ref="D76" r:id="rId180" xr:uid="{00000000-0004-0000-0300-0000B3000000}"/>
    <hyperlink ref="D187" r:id="rId181" display="Draft Order &quot;On the Allocation of Financial Resources from the State Budget Program&quot; Contingency Funds &quot;&quot;" xr:uid="{00000000-0004-0000-0300-0000B4000000}"/>
    <hyperlink ref="D195" r:id="rId182" xr:uid="{00000000-0004-0000-0300-0000B5000000}"/>
    <hyperlink ref="D201" r:id="rId183" xr:uid="{00000000-0004-0000-0300-0000B6000000}"/>
    <hyperlink ref="D214" r:id="rId184" xr:uid="{00000000-0004-0000-0300-0000B7000000}"/>
    <hyperlink ref="D215" r:id="rId185" xr:uid="{00000000-0004-0000-0300-0000B8000000}"/>
    <hyperlink ref="D229" r:id="rId186" xr:uid="{00000000-0004-0000-0300-0000B9000000}"/>
    <hyperlink ref="D230" r:id="rId187" xr:uid="{00000000-0004-0000-0300-0000BA000000}"/>
    <hyperlink ref="D231" r:id="rId188" xr:uid="{00000000-0004-0000-0300-0000BB000000}"/>
    <hyperlink ref="D232" r:id="rId189" xr:uid="{00000000-0004-0000-0300-0000BC000000}"/>
    <hyperlink ref="D233" r:id="rId190" xr:uid="{00000000-0004-0000-0300-0000BD000000}"/>
    <hyperlink ref="D234" r:id="rId191" xr:uid="{00000000-0004-0000-0300-0000BE000000}"/>
    <hyperlink ref="D131" r:id="rId192" xr:uid="{00000000-0004-0000-0300-0000BF000000}"/>
    <hyperlink ref="D132" r:id="rId193" display="Rīkojuma projekts &quot;Par finanšu līdzekļu piešķiršanu no valsts budžeta programmas &quot;Līdzekļi neparedzētiem gadījumiem&quot;&quot;" xr:uid="{00000000-0004-0000-0300-0000C0000000}"/>
    <hyperlink ref="D161" r:id="rId194" display="Rīkojuma projekts &quot;Par finanšu līdzekļu piešķiršanu no valsts budžeta programmas &quot;Līdzekļi neparedzētiem gadījumiem&quot;&quot;" xr:uid="{00000000-0004-0000-0300-0000C1000000}"/>
    <hyperlink ref="D160" r:id="rId195" display="Rīkojuma projekts &quot;Par finanšu līdzekļu piešķiršanu no valsts budžeta programmas &quot;Līdzekļi neparedzētiem gadījumiem&quot;&quot;" xr:uid="{00000000-0004-0000-0300-0000C2000000}"/>
  </hyperlinks>
  <pageMargins left="0.70866141732283472" right="0.70866141732283472" top="0.74803149606299213" bottom="0.74803149606299213" header="0.31496062992125984" footer="0.31496062992125984"/>
  <pageSetup paperSize="8" scale="50" orientation="landscape" horizontalDpi="90" verticalDpi="90" r:id="rId196"/>
  <legacyDrawing r:id="rId1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41"/>
  <sheetViews>
    <sheetView topLeftCell="A20" zoomScale="60" zoomScaleNormal="60" workbookViewId="0">
      <selection activeCell="B17" sqref="B17"/>
    </sheetView>
  </sheetViews>
  <sheetFormatPr defaultColWidth="8.81640625" defaultRowHeight="14.5" x14ac:dyDescent="0.35"/>
  <cols>
    <col min="1" max="1" width="57.453125" customWidth="1"/>
    <col min="2" max="7" width="12.26953125" customWidth="1"/>
    <col min="8" max="11" width="11.453125" customWidth="1"/>
    <col min="12" max="13" width="11.54296875" customWidth="1"/>
  </cols>
  <sheetData>
    <row r="1" spans="1:13" ht="15.5" x14ac:dyDescent="0.35">
      <c r="A1" s="528"/>
      <c r="B1" s="529"/>
      <c r="C1" s="529"/>
      <c r="D1" s="529"/>
      <c r="E1" s="530"/>
    </row>
    <row r="2" spans="1:13" ht="20" x14ac:dyDescent="0.4">
      <c r="A2" s="795" t="s">
        <v>2324</v>
      </c>
      <c r="B2" s="529"/>
      <c r="C2" s="529"/>
      <c r="D2" s="529"/>
      <c r="E2" s="529"/>
      <c r="F2" s="581"/>
      <c r="G2" s="581"/>
    </row>
    <row r="3" spans="1:13" ht="18" thickBot="1" x14ac:dyDescent="0.4">
      <c r="A3" s="531"/>
      <c r="B3" s="529"/>
      <c r="C3" s="529"/>
      <c r="D3" s="529"/>
      <c r="E3" s="529"/>
    </row>
    <row r="4" spans="1:13" ht="15" customHeight="1" x14ac:dyDescent="0.35">
      <c r="A4" s="1016" t="s">
        <v>1737</v>
      </c>
      <c r="B4" s="1019">
        <v>2020</v>
      </c>
      <c r="C4" s="1020"/>
      <c r="D4" s="1019">
        <v>2021</v>
      </c>
      <c r="E4" s="1020"/>
      <c r="F4" s="1011">
        <v>2022</v>
      </c>
      <c r="G4" s="1012"/>
      <c r="H4" s="1011">
        <v>2023</v>
      </c>
      <c r="I4" s="1024"/>
      <c r="J4" s="1024"/>
      <c r="K4" s="1012"/>
      <c r="L4" s="1011">
        <v>2024</v>
      </c>
      <c r="M4" s="1012"/>
    </row>
    <row r="5" spans="1:13" ht="33" customHeight="1" x14ac:dyDescent="0.35">
      <c r="A5" s="1017"/>
      <c r="B5" s="1013" t="s">
        <v>1950</v>
      </c>
      <c r="C5" s="1021"/>
      <c r="D5" s="1013" t="s">
        <v>1950</v>
      </c>
      <c r="E5" s="1021"/>
      <c r="F5" s="1013" t="s">
        <v>1950</v>
      </c>
      <c r="G5" s="1014"/>
      <c r="H5" s="1022" t="s">
        <v>523</v>
      </c>
      <c r="I5" s="1023"/>
      <c r="J5" s="1015" t="s">
        <v>2376</v>
      </c>
      <c r="K5" s="1014"/>
      <c r="L5" s="1013" t="s">
        <v>523</v>
      </c>
      <c r="M5" s="1014"/>
    </row>
    <row r="6" spans="1:13" ht="45" x14ac:dyDescent="0.35">
      <c r="A6" s="1018"/>
      <c r="B6" s="525" t="s">
        <v>1951</v>
      </c>
      <c r="C6" s="532" t="s">
        <v>1952</v>
      </c>
      <c r="D6" s="525" t="s">
        <v>1951</v>
      </c>
      <c r="E6" s="532" t="s">
        <v>1952</v>
      </c>
      <c r="F6" s="525" t="s">
        <v>1951</v>
      </c>
      <c r="G6" s="532" t="s">
        <v>1952</v>
      </c>
      <c r="H6" s="950" t="s">
        <v>1951</v>
      </c>
      <c r="I6" s="532" t="s">
        <v>1710</v>
      </c>
      <c r="J6" s="525" t="s">
        <v>1951</v>
      </c>
      <c r="K6" s="532" t="s">
        <v>1710</v>
      </c>
      <c r="L6" s="525" t="s">
        <v>1951</v>
      </c>
      <c r="M6" s="532" t="s">
        <v>1952</v>
      </c>
    </row>
    <row r="7" spans="1:13" ht="15.5" x14ac:dyDescent="0.35">
      <c r="A7" s="549" t="s">
        <v>1738</v>
      </c>
      <c r="B7" s="543">
        <f>'C-19_izvērsts'!$M$7</f>
        <v>1281.6858186900001</v>
      </c>
      <c r="C7" s="544">
        <f>'C-19_izvērsts'!$W$7</f>
        <v>-960.77715680799997</v>
      </c>
      <c r="D7" s="543">
        <f>'C-19_izvērsts'!$P$7</f>
        <v>2315.1273903029</v>
      </c>
      <c r="E7" s="544">
        <f>'C-19_izvērsts'!$AB$7</f>
        <v>-2102.778497035446</v>
      </c>
      <c r="F7" s="543">
        <f>'C-19_izvērsts'!$S$7</f>
        <v>965.88075563999985</v>
      </c>
      <c r="G7" s="544">
        <f>'C-19_izvērsts'!$AI$7</f>
        <v>-796.40862290312305</v>
      </c>
      <c r="H7" s="951">
        <f>'C-19_izvērsts'!$T$7</f>
        <v>100.80846314999999</v>
      </c>
      <c r="I7" s="544">
        <f>'C-19_izvērsts'!$AM$7</f>
        <v>-132.69533600087681</v>
      </c>
      <c r="J7" s="543">
        <f>'C-19_izvērsts'!$AS$7</f>
        <v>76.778956999999991</v>
      </c>
      <c r="K7" s="544">
        <f>'C-19_izvērsts'!$AR$7</f>
        <v>-95.31057365769999</v>
      </c>
      <c r="L7" s="977">
        <f>'C-19_izvērsts'!$U$7</f>
        <v>18.330508000000002</v>
      </c>
      <c r="M7" s="976">
        <f>'C-19_izvērsts'!$AO$7</f>
        <v>-18.664673999999998</v>
      </c>
    </row>
    <row r="8" spans="1:13" ht="15.5" x14ac:dyDescent="0.35">
      <c r="A8" s="551" t="s">
        <v>2258</v>
      </c>
      <c r="B8" s="539">
        <f>'C-19_izvērsts'!$M$8</f>
        <v>252.99299999999999</v>
      </c>
      <c r="C8" s="540">
        <f>'C-19_izvērsts'!$W$8</f>
        <v>-127.12445199999999</v>
      </c>
      <c r="D8" s="539">
        <f>'C-19_izvērsts'!$P$8</f>
        <v>93.55</v>
      </c>
      <c r="E8" s="540">
        <f>'C-19_izvērsts'!$AB$8</f>
        <v>-12.759348012</v>
      </c>
      <c r="F8" s="539">
        <f>'C-19_izvērsts'!$S$8</f>
        <v>36.980000000000004</v>
      </c>
      <c r="G8" s="540">
        <f>'C-19_izvērsts'!$AI$8</f>
        <v>-5.6758423631231869</v>
      </c>
      <c r="H8" s="952">
        <f>'C-19_izvērsts'!$T$8</f>
        <v>5.5</v>
      </c>
      <c r="I8" s="540">
        <f>'C-19_izvērsts'!$AM$8</f>
        <v>-4.9478989008768135</v>
      </c>
      <c r="J8" s="539">
        <f>'C-19_izvērsts'!$AS$8</f>
        <v>5.5</v>
      </c>
      <c r="K8" s="540">
        <f>'C-19_izvērsts'!$AR$8</f>
        <v>-5.5</v>
      </c>
      <c r="L8" s="978">
        <f>'C-19_izvērsts'!$U$8</f>
        <v>0</v>
      </c>
      <c r="M8" s="981">
        <f>'C-19_izvērsts'!$AO$8</f>
        <v>6.3922999999999994E-2</v>
      </c>
    </row>
    <row r="9" spans="1:13" ht="15.5" x14ac:dyDescent="0.35">
      <c r="A9" s="552" t="s">
        <v>2259</v>
      </c>
      <c r="B9" s="527">
        <f>'C-19_izvērsts'!$M$9</f>
        <v>161.99299999999999</v>
      </c>
      <c r="C9" s="535">
        <f>'C-19_izvērsts'!$W$9</f>
        <v>-36.124451999999998</v>
      </c>
      <c r="D9" s="527">
        <f>'C-19_izvērsts'!$P$9</f>
        <v>62.55</v>
      </c>
      <c r="E9" s="535">
        <f>'C-19_izvērsts'!$AB$9</f>
        <v>-12.759348012</v>
      </c>
      <c r="F9" s="527">
        <f>'C-19_izvērsts'!$S$9</f>
        <v>1.48</v>
      </c>
      <c r="G9" s="535">
        <f>'C-19_izvērsts'!$AI$9</f>
        <v>-0.17584236312318702</v>
      </c>
      <c r="H9" s="953">
        <f>'C-19_izvērsts'!$T$9</f>
        <v>0</v>
      </c>
      <c r="I9" s="541">
        <f>'C-19_izvērsts'!$AM$9</f>
        <v>0.55210109912318683</v>
      </c>
      <c r="J9" s="527">
        <f>'C-19_izvērsts'!$AS$9</f>
        <v>0</v>
      </c>
      <c r="K9" s="541">
        <f>'C-19_izvērsts'!$AR$9</f>
        <v>0</v>
      </c>
      <c r="L9" s="979">
        <f>'C-19_izvērsts'!$U$9</f>
        <v>0</v>
      </c>
      <c r="M9" s="982">
        <f>'C-19_izvērsts'!$AO$9</f>
        <v>6.3922999999999994E-2</v>
      </c>
    </row>
    <row r="10" spans="1:13" ht="15.5" x14ac:dyDescent="0.35">
      <c r="A10" s="552" t="s">
        <v>533</v>
      </c>
      <c r="B10" s="527">
        <f>'C-19_izvērsts'!$M$22</f>
        <v>60</v>
      </c>
      <c r="C10" s="535">
        <f>'C-19_izvērsts'!$W$22</f>
        <v>-60</v>
      </c>
      <c r="D10" s="527">
        <f>'C-19_izvērsts'!$P$22</f>
        <v>0</v>
      </c>
      <c r="E10" s="535">
        <f>'C-19_izvērsts'!$AB$22</f>
        <v>0</v>
      </c>
      <c r="F10" s="527">
        <f>'C-19_izvērsts'!$S$22</f>
        <v>0</v>
      </c>
      <c r="G10" s="535">
        <f>'C-19_izvērsts'!$AI$22</f>
        <v>0</v>
      </c>
      <c r="H10" s="953">
        <f>'C-19_izvērsts'!$T$22</f>
        <v>0</v>
      </c>
      <c r="I10" s="541">
        <f>'C-19_izvērsts'!$AM$22</f>
        <v>0</v>
      </c>
      <c r="J10" s="527">
        <f>'C-19_izvērsts'!$AS$22</f>
        <v>0</v>
      </c>
      <c r="K10" s="541">
        <f>'C-19_izvērsts'!$AR$22</f>
        <v>0</v>
      </c>
      <c r="L10" s="979">
        <f>'C-19_izvērsts'!$U$22</f>
        <v>0</v>
      </c>
      <c r="M10" s="982">
        <f>'C-19_izvērsts'!$AO$22</f>
        <v>0</v>
      </c>
    </row>
    <row r="11" spans="1:13" ht="15.5" x14ac:dyDescent="0.35">
      <c r="A11" s="552" t="s">
        <v>2260</v>
      </c>
      <c r="B11" s="527">
        <f>'C-19_izvērsts'!$M$20</f>
        <v>31</v>
      </c>
      <c r="C11" s="535">
        <f>'C-19_izvērsts'!$W$20</f>
        <v>-31</v>
      </c>
      <c r="D11" s="527">
        <f>'C-19_izvērsts'!$P$20</f>
        <v>31</v>
      </c>
      <c r="E11" s="535">
        <f>'C-19_izvērsts'!$AB$20</f>
        <v>0</v>
      </c>
      <c r="F11" s="527">
        <f>'C-19_izvērsts'!$S$20</f>
        <v>30</v>
      </c>
      <c r="G11" s="535">
        <f>'C-19_izvērsts'!$AI$20</f>
        <v>0</v>
      </c>
      <c r="H11" s="953">
        <f>'C-19_izvērsts'!$T$20</f>
        <v>0</v>
      </c>
      <c r="I11" s="541">
        <f>'C-19_izvērsts'!$AM$20</f>
        <v>0</v>
      </c>
      <c r="J11" s="527">
        <f>'C-19_izvērsts'!$AS$20</f>
        <v>0</v>
      </c>
      <c r="K11" s="541">
        <f>'C-19_izvērsts'!$AR$20</f>
        <v>0</v>
      </c>
      <c r="L11" s="979">
        <f>'C-19_izvērsts'!$U$20</f>
        <v>0</v>
      </c>
      <c r="M11" s="982">
        <f>'C-19_izvērsts'!$AO$20</f>
        <v>0</v>
      </c>
    </row>
    <row r="12" spans="1:13" ht="15.5" x14ac:dyDescent="0.35">
      <c r="A12" s="553" t="s">
        <v>2261</v>
      </c>
      <c r="B12" s="533">
        <f>'C-19_izvērsts'!$M$28</f>
        <v>129.587782</v>
      </c>
      <c r="C12" s="534">
        <f>'C-19_izvērsts'!$W$28</f>
        <v>-129.587782</v>
      </c>
      <c r="D12" s="533">
        <f>'C-19_izvērsts'!$P$28</f>
        <v>533.45613600000001</v>
      </c>
      <c r="E12" s="534">
        <f>'C-19_izvērsts'!$AB$28</f>
        <v>-533.45613600000001</v>
      </c>
      <c r="F12" s="533">
        <f>'C-19_izvērsts'!$S$28</f>
        <v>87.069663000000006</v>
      </c>
      <c r="G12" s="534">
        <f>'C-19_izvērsts'!$AI$28</f>
        <v>-87.069663000000006</v>
      </c>
      <c r="H12" s="954">
        <f>'C-19_izvērsts'!$T$28</f>
        <v>0</v>
      </c>
      <c r="I12" s="534">
        <f>'C-19_izvērsts'!$AM$28</f>
        <v>0</v>
      </c>
      <c r="J12" s="533">
        <f>'C-19_izvērsts'!$AS$28</f>
        <v>2.2918999999999998E-2</v>
      </c>
      <c r="K12" s="534">
        <f>'C-19_izvērsts'!$AR$28</f>
        <v>-2.2918999999999998E-2</v>
      </c>
      <c r="L12" s="545">
        <f>'C-19_izvērsts'!$U$28</f>
        <v>0</v>
      </c>
      <c r="M12" s="546">
        <f>'C-19_izvērsts'!$AO$28</f>
        <v>0</v>
      </c>
    </row>
    <row r="13" spans="1:13" ht="15.5" x14ac:dyDescent="0.35">
      <c r="A13" s="552" t="s">
        <v>2262</v>
      </c>
      <c r="B13" s="527">
        <f>'C-19_izvērsts'!$M$29</f>
        <v>60.502936000000005</v>
      </c>
      <c r="C13" s="535">
        <f>'C-19_izvērsts'!$W$29</f>
        <v>-60.502936000000005</v>
      </c>
      <c r="D13" s="527">
        <f>'C-19_izvērsts'!$P$29</f>
        <v>135.88231999999999</v>
      </c>
      <c r="E13" s="535">
        <f>'C-19_izvērsts'!$AB$29</f>
        <v>-135.88231999999999</v>
      </c>
      <c r="F13" s="527">
        <f>'C-19_izvērsts'!$S$29</f>
        <v>0</v>
      </c>
      <c r="G13" s="535">
        <f>'C-19_izvērsts'!$AI$29</f>
        <v>0</v>
      </c>
      <c r="H13" s="953">
        <f>'C-19_izvērsts'!$T$29</f>
        <v>0</v>
      </c>
      <c r="I13" s="541">
        <f>'C-19_izvērsts'!$AM$29</f>
        <v>0</v>
      </c>
      <c r="J13" s="527">
        <f>'C-19_izvērsts'!$AS$29</f>
        <v>0</v>
      </c>
      <c r="K13" s="541">
        <f>'C-19_izvērsts'!$AR$29</f>
        <v>0</v>
      </c>
      <c r="L13" s="979">
        <f>'C-19_izvērsts'!$U$29</f>
        <v>0</v>
      </c>
      <c r="M13" s="982">
        <f>'C-19_izvērsts'!$AO$29</f>
        <v>0</v>
      </c>
    </row>
    <row r="14" spans="1:13" ht="15.5" x14ac:dyDescent="0.35">
      <c r="A14" s="554" t="s">
        <v>1713</v>
      </c>
      <c r="B14" s="527">
        <f>'C-19_izvērsts'!$M$37</f>
        <v>47.324961000000002</v>
      </c>
      <c r="C14" s="535">
        <f>'C-19_izvērsts'!$W$37</f>
        <v>-47.324961000000002</v>
      </c>
      <c r="D14" s="527">
        <f>'C-19_izvērsts'!$P$37</f>
        <v>32.712878000000003</v>
      </c>
      <c r="E14" s="535">
        <f>'C-19_izvērsts'!$AB$37</f>
        <v>-32.712878000000003</v>
      </c>
      <c r="F14" s="527">
        <f>'C-19_izvērsts'!$S$37</f>
        <v>7.6351550000000001</v>
      </c>
      <c r="G14" s="535">
        <f>'C-19_izvērsts'!$AI$37</f>
        <v>-7.6351550000000001</v>
      </c>
      <c r="H14" s="953">
        <f>'C-19_izvērsts'!$T$37</f>
        <v>0</v>
      </c>
      <c r="I14" s="542">
        <f>'C-19_izvērsts'!$AM$37</f>
        <v>0</v>
      </c>
      <c r="J14" s="527">
        <f>'C-19_izvērsts'!$AS$37</f>
        <v>0</v>
      </c>
      <c r="K14" s="542">
        <f>'C-19_izvērsts'!$AR$37</f>
        <v>0</v>
      </c>
      <c r="L14" s="979">
        <f>'C-19_izvērsts'!$U$37</f>
        <v>0</v>
      </c>
      <c r="M14" s="982">
        <f>'C-19_izvērsts'!$AO$37</f>
        <v>0</v>
      </c>
    </row>
    <row r="15" spans="1:13" ht="15.5" x14ac:dyDescent="0.35">
      <c r="A15" s="554" t="s">
        <v>2263</v>
      </c>
      <c r="B15" s="527">
        <f>'C-19_izvērsts'!$M$51</f>
        <v>6.2191000000000003E-2</v>
      </c>
      <c r="C15" s="535">
        <f>'C-19_izvērsts'!$W$51</f>
        <v>-6.2191000000000003E-2</v>
      </c>
      <c r="D15" s="527">
        <f>'C-19_izvērsts'!$P$51</f>
        <v>2.873157</v>
      </c>
      <c r="E15" s="535">
        <f>'C-19_izvērsts'!$AB$51</f>
        <v>-2.873157</v>
      </c>
      <c r="F15" s="527">
        <f>'C-19_izvērsts'!$S$51</f>
        <v>0</v>
      </c>
      <c r="G15" s="535">
        <f>'C-19_izvērsts'!$AI$51</f>
        <v>0</v>
      </c>
      <c r="H15" s="953">
        <f>'C-19_izvērsts'!$T$51</f>
        <v>0</v>
      </c>
      <c r="I15" s="541">
        <f>'C-19_izvērsts'!$AM$51</f>
        <v>0</v>
      </c>
      <c r="J15" s="527">
        <f>'C-19_izvērsts'!$AS$51</f>
        <v>0</v>
      </c>
      <c r="K15" s="541">
        <f>'C-19_izvērsts'!$AR$51</f>
        <v>0</v>
      </c>
      <c r="L15" s="979">
        <f>'C-19_izvērsts'!$U$51</f>
        <v>0</v>
      </c>
      <c r="M15" s="982">
        <f>'C-19_izvērsts'!$AO$51</f>
        <v>0</v>
      </c>
    </row>
    <row r="16" spans="1:13" ht="15.5" x14ac:dyDescent="0.35">
      <c r="A16" s="554" t="s">
        <v>152</v>
      </c>
      <c r="B16" s="527">
        <f>'C-19_izvērsts'!$M$55</f>
        <v>5.1554669999999998</v>
      </c>
      <c r="C16" s="535">
        <f>'C-19_izvērsts'!$W$55</f>
        <v>-5.1554669999999998</v>
      </c>
      <c r="D16" s="527">
        <f>'C-19_izvērsts'!$P$55</f>
        <v>10.821989</v>
      </c>
      <c r="E16" s="535">
        <f>'C-19_izvērsts'!$AB$55</f>
        <v>-10.821989</v>
      </c>
      <c r="F16" s="527">
        <f>'C-19_izvērsts'!$S$55</f>
        <v>0</v>
      </c>
      <c r="G16" s="535">
        <f>'C-19_izvērsts'!$AI$55</f>
        <v>0</v>
      </c>
      <c r="H16" s="953">
        <f>'C-19_izvērsts'!$T$55</f>
        <v>0</v>
      </c>
      <c r="I16" s="541">
        <f>'C-19_izvērsts'!$AM$55</f>
        <v>0</v>
      </c>
      <c r="J16" s="527">
        <f>'C-19_izvērsts'!$AS$55</f>
        <v>0</v>
      </c>
      <c r="K16" s="541">
        <f>'C-19_izvērsts'!$AR$55</f>
        <v>0</v>
      </c>
      <c r="L16" s="979">
        <f>'C-19_izvērsts'!$U$55</f>
        <v>0</v>
      </c>
      <c r="M16" s="982">
        <f>'C-19_izvērsts'!$AO$55</f>
        <v>0</v>
      </c>
    </row>
    <row r="17" spans="1:13" ht="15.5" x14ac:dyDescent="0.35">
      <c r="A17" s="554" t="s">
        <v>2264</v>
      </c>
      <c r="B17" s="527">
        <f>'C-19_izvērsts'!$M$46</f>
        <v>2.8603730000000001</v>
      </c>
      <c r="C17" s="535">
        <f>'C-19_izvērsts'!$W$46</f>
        <v>-2.8603730000000001</v>
      </c>
      <c r="D17" s="527">
        <f>'C-19_izvērsts'!$P$46</f>
        <v>32.656832999999999</v>
      </c>
      <c r="E17" s="535">
        <f>'C-19_izvērsts'!$AB$46</f>
        <v>-32.656832999999999</v>
      </c>
      <c r="F17" s="527">
        <f>'C-19_izvērsts'!$S$46</f>
        <v>49.010249999999999</v>
      </c>
      <c r="G17" s="535">
        <f>'C-19_izvērsts'!$AI$46</f>
        <v>-49.010249999999999</v>
      </c>
      <c r="H17" s="953">
        <f>'C-19_izvērsts'!$T$46</f>
        <v>0</v>
      </c>
      <c r="I17" s="541">
        <f>'C-19_izvērsts'!$AM$46</f>
        <v>0</v>
      </c>
      <c r="J17" s="527">
        <f>'C-19_izvērsts'!$AS$46</f>
        <v>0</v>
      </c>
      <c r="K17" s="541">
        <f>'C-19_izvērsts'!$AR$46</f>
        <v>0</v>
      </c>
      <c r="L17" s="979">
        <f>'C-19_izvērsts'!$U$46</f>
        <v>0</v>
      </c>
      <c r="M17" s="982">
        <f>'C-19_izvērsts'!$AO$46</f>
        <v>0</v>
      </c>
    </row>
    <row r="18" spans="1:13" ht="15.5" x14ac:dyDescent="0.35">
      <c r="A18" s="554" t="s">
        <v>2265</v>
      </c>
      <c r="B18" s="527">
        <f>'C-19_izvērsts'!$M$42</f>
        <v>0</v>
      </c>
      <c r="C18" s="535">
        <f>'C-19_izvērsts'!$W$42</f>
        <v>0</v>
      </c>
      <c r="D18" s="527">
        <f>'C-19_izvērsts'!$P$42</f>
        <v>187.92102600000001</v>
      </c>
      <c r="E18" s="535">
        <f>'C-19_izvērsts'!$AB$42</f>
        <v>-187.92102600000001</v>
      </c>
      <c r="F18" s="527">
        <f>'C-19_izvērsts'!$S$42</f>
        <v>0.218886</v>
      </c>
      <c r="G18" s="535">
        <f>'C-19_izvērsts'!$AI$42</f>
        <v>-0.218886</v>
      </c>
      <c r="H18" s="953">
        <f>'C-19_izvērsts'!$T$42</f>
        <v>0</v>
      </c>
      <c r="I18" s="541">
        <f>'C-19_izvērsts'!$AM$42</f>
        <v>0</v>
      </c>
      <c r="J18" s="527">
        <f>'C-19_izvērsts'!$AS$42</f>
        <v>2.2918999999999998E-2</v>
      </c>
      <c r="K18" s="541">
        <f>'C-19_izvērsts'!$AR$42</f>
        <v>-2.2918999999999998E-2</v>
      </c>
      <c r="L18" s="979">
        <f>'C-19_izvērsts'!$U$42</f>
        <v>0</v>
      </c>
      <c r="M18" s="982">
        <f>'C-19_izvērsts'!$AO$42</f>
        <v>0</v>
      </c>
    </row>
    <row r="19" spans="1:13" ht="31" x14ac:dyDescent="0.35">
      <c r="A19" s="554" t="s">
        <v>2266</v>
      </c>
      <c r="B19" s="527">
        <f>'C-19_izvērsts'!$M$44</f>
        <v>0</v>
      </c>
      <c r="C19" s="535">
        <f>'C-19_izvērsts'!$W$44</f>
        <v>0</v>
      </c>
      <c r="D19" s="527">
        <f>'C-19_izvērsts'!$P$44</f>
        <v>110.007152</v>
      </c>
      <c r="E19" s="535">
        <f>'C-19_izvērsts'!$AB$44</f>
        <v>-110.007152</v>
      </c>
      <c r="F19" s="527">
        <f>'C-19_izvērsts'!$S$44</f>
        <v>1.8599999999999998E-2</v>
      </c>
      <c r="G19" s="535">
        <f>'C-19_izvērsts'!$AI$44</f>
        <v>-1.8599999999999998E-2</v>
      </c>
      <c r="H19" s="953">
        <f>'C-19_izvērsts'!$T$44</f>
        <v>0</v>
      </c>
      <c r="I19" s="541">
        <f>'C-19_izvērsts'!$AM$44</f>
        <v>0</v>
      </c>
      <c r="J19" s="527">
        <f>'C-19_izvērsts'!$AS$44</f>
        <v>0</v>
      </c>
      <c r="K19" s="541">
        <f>'C-19_izvērsts'!$AR$44</f>
        <v>0</v>
      </c>
      <c r="L19" s="979">
        <f>'C-19_izvērsts'!$U$44</f>
        <v>0</v>
      </c>
      <c r="M19" s="982">
        <f>'C-19_izvērsts'!$AO$44</f>
        <v>0</v>
      </c>
    </row>
    <row r="20" spans="1:13" ht="31" x14ac:dyDescent="0.35">
      <c r="A20" s="554" t="s">
        <v>2267</v>
      </c>
      <c r="B20" s="527">
        <f>'C-19_izvērsts'!$M$49</f>
        <v>0</v>
      </c>
      <c r="C20" s="535">
        <f>'C-19_izvērsts'!$W$49</f>
        <v>0</v>
      </c>
      <c r="D20" s="527">
        <f>'C-19_izvērsts'!$P$49</f>
        <v>15.038055999999999</v>
      </c>
      <c r="E20" s="535">
        <f>'C-19_izvērsts'!$AB$49</f>
        <v>-15.038055999999999</v>
      </c>
      <c r="F20" s="527">
        <f>'C-19_izvērsts'!$S$49</f>
        <v>23.75704</v>
      </c>
      <c r="G20" s="535">
        <f>'C-19_izvērsts'!$AI$49</f>
        <v>-23.75704</v>
      </c>
      <c r="H20" s="953">
        <f>'C-19_izvērsts'!$T$49</f>
        <v>0</v>
      </c>
      <c r="I20" s="541">
        <f>'C-19_izvērsts'!$AM$49</f>
        <v>0</v>
      </c>
      <c r="J20" s="527">
        <f>'C-19_izvērsts'!$AS$49</f>
        <v>0</v>
      </c>
      <c r="K20" s="541">
        <f>'C-19_izvērsts'!$AR$49</f>
        <v>0</v>
      </c>
      <c r="L20" s="979">
        <f>'C-19_izvērsts'!$U$49</f>
        <v>0</v>
      </c>
      <c r="M20" s="982">
        <f>'C-19_izvērsts'!$AO$49</f>
        <v>0</v>
      </c>
    </row>
    <row r="21" spans="1:13" ht="15.5" x14ac:dyDescent="0.35">
      <c r="A21" s="553" t="s">
        <v>2268</v>
      </c>
      <c r="B21" s="533">
        <f>'C-19_izvērsts'!$M$76</f>
        <v>239.96399569000002</v>
      </c>
      <c r="C21" s="534">
        <f>'C-19_izvērsts'!$W$76</f>
        <v>-81.687714698000008</v>
      </c>
      <c r="D21" s="533">
        <f>'C-19_izvērsts'!$P$76</f>
        <v>133.71341889289999</v>
      </c>
      <c r="E21" s="534">
        <f>'C-19_izvērsts'!$AB$76</f>
        <v>-91.726519613446044</v>
      </c>
      <c r="F21" s="533">
        <f>'C-19_izvērsts'!$S$76</f>
        <v>76.861741370000004</v>
      </c>
      <c r="G21" s="534">
        <f>'C-19_izvērsts'!$AI$76</f>
        <v>-72.810081370000006</v>
      </c>
      <c r="H21" s="954">
        <f>'C-19_izvērsts'!$T$76</f>
        <v>31.90594815</v>
      </c>
      <c r="I21" s="534">
        <f>'C-19_izvērsts'!$AM$76</f>
        <v>-30.475948150000001</v>
      </c>
      <c r="J21" s="533">
        <f>'C-19_izvērsts'!$AS$76</f>
        <v>18.109197999999999</v>
      </c>
      <c r="K21" s="534">
        <f>'C-19_izvērsts'!$AR$76</f>
        <v>-17.748385657699998</v>
      </c>
      <c r="L21" s="545">
        <f>'C-19_izvērsts'!$U$76</f>
        <v>13</v>
      </c>
      <c r="M21" s="546">
        <f>'C-19_izvērsts'!$AO$76</f>
        <v>-11.31</v>
      </c>
    </row>
    <row r="22" spans="1:13" ht="15.5" x14ac:dyDescent="0.35">
      <c r="A22" s="550" t="s">
        <v>2269</v>
      </c>
      <c r="B22" s="527">
        <f>'C-19_izvērsts'!$M$79</f>
        <v>91.8</v>
      </c>
      <c r="C22" s="535">
        <f>'C-19_izvērsts'!$W$79</f>
        <v>-17.717400000000001</v>
      </c>
      <c r="D22" s="527">
        <f>'C-19_izvērsts'!$P$79</f>
        <v>14.8</v>
      </c>
      <c r="E22" s="535">
        <f>'C-19_izvērsts'!$AB$79</f>
        <v>-2.8564000000000003</v>
      </c>
      <c r="F22" s="527">
        <f>'C-19_izvērsts'!$S$79</f>
        <v>0</v>
      </c>
      <c r="G22" s="535">
        <f>'C-19_izvērsts'!$AI$79</f>
        <v>0</v>
      </c>
      <c r="H22" s="953">
        <f>'C-19_izvērsts'!$T$79</f>
        <v>0</v>
      </c>
      <c r="I22" s="542">
        <f>'C-19_izvērsts'!$AM$79</f>
        <v>0</v>
      </c>
      <c r="J22" s="527">
        <f>'C-19_izvērsts'!$AS$79</f>
        <v>0</v>
      </c>
      <c r="K22" s="542">
        <f>'C-19_izvērsts'!$AR$79</f>
        <v>0</v>
      </c>
      <c r="L22" s="979">
        <f>'C-19_izvērsts'!$U$79</f>
        <v>0</v>
      </c>
      <c r="M22" s="982">
        <f>'C-19_izvērsts'!$AO$79</f>
        <v>0</v>
      </c>
    </row>
    <row r="23" spans="1:13" ht="15.5" x14ac:dyDescent="0.35">
      <c r="A23" s="550" t="s">
        <v>2270</v>
      </c>
      <c r="B23" s="527">
        <f>'C-19_izvērsts'!$M$81</f>
        <v>3.0398809999999998</v>
      </c>
      <c r="C23" s="535">
        <f>'C-19_izvērsts'!$W$81</f>
        <v>-0.51070000800000004</v>
      </c>
      <c r="D23" s="527">
        <f>'C-19_izvērsts'!$P$81</f>
        <v>5.8999999999999997E-2</v>
      </c>
      <c r="E23" s="535">
        <f>'C-19_izvērsts'!$AB$81</f>
        <v>-9.9120000000000007E-3</v>
      </c>
      <c r="F23" s="527">
        <f>'C-19_izvērsts'!$S$81</f>
        <v>0</v>
      </c>
      <c r="G23" s="535">
        <f>'C-19_izvērsts'!$AI$81</f>
        <v>0</v>
      </c>
      <c r="H23" s="953">
        <f>'C-19_izvērsts'!$T$81</f>
        <v>0</v>
      </c>
      <c r="I23" s="542">
        <f>'C-19_izvērsts'!$AM$81</f>
        <v>0</v>
      </c>
      <c r="J23" s="527">
        <f>'C-19_izvērsts'!$AS$81</f>
        <v>0</v>
      </c>
      <c r="K23" s="542">
        <f>'C-19_izvērsts'!$AR$81</f>
        <v>0</v>
      </c>
      <c r="L23" s="979">
        <f>'C-19_izvērsts'!$U$81</f>
        <v>0</v>
      </c>
      <c r="M23" s="982">
        <f>'C-19_izvērsts'!$AO$81</f>
        <v>0</v>
      </c>
    </row>
    <row r="24" spans="1:13" ht="31" x14ac:dyDescent="0.35">
      <c r="A24" s="552" t="s">
        <v>2271</v>
      </c>
      <c r="B24" s="527">
        <f>'C-19_izvērsts'!$M$77</f>
        <v>92.5</v>
      </c>
      <c r="C24" s="535">
        <f>'C-19_izvērsts'!$W$77</f>
        <v>-13.1165</v>
      </c>
      <c r="D24" s="527">
        <f>'C-19_izvērsts'!$P$77</f>
        <v>13.3</v>
      </c>
      <c r="E24" s="535">
        <f>'C-19_izvērsts'!$AB$77</f>
        <v>-1.8859400000000002</v>
      </c>
      <c r="F24" s="527">
        <f>'C-19_izvērsts'!$S$77</f>
        <v>3.1</v>
      </c>
      <c r="G24" s="535">
        <f>'C-19_izvērsts'!$AI$77</f>
        <v>-0.43958000000000003</v>
      </c>
      <c r="H24" s="953">
        <f>'C-19_izvērsts'!$T$77</f>
        <v>0</v>
      </c>
      <c r="I24" s="542">
        <f>'C-19_izvērsts'!$AM$77</f>
        <v>0</v>
      </c>
      <c r="J24" s="527">
        <f>'C-19_izvērsts'!$AS$77</f>
        <v>0</v>
      </c>
      <c r="K24" s="542">
        <f>'C-19_izvērsts'!$AR$77</f>
        <v>0</v>
      </c>
      <c r="L24" s="979">
        <f>'C-19_izvērsts'!$U$77</f>
        <v>0</v>
      </c>
      <c r="M24" s="982">
        <f>'C-19_izvērsts'!$AO$77</f>
        <v>0</v>
      </c>
    </row>
    <row r="25" spans="1:13" ht="31" x14ac:dyDescent="0.35">
      <c r="A25" s="552" t="s">
        <v>2272</v>
      </c>
      <c r="B25" s="527">
        <f>'C-19_izvērsts'!$M$83</f>
        <v>0</v>
      </c>
      <c r="C25" s="535">
        <f>'C-19_izvērsts'!$W$83</f>
        <v>0</v>
      </c>
      <c r="D25" s="527">
        <f>'C-19_izvērsts'!$P$83</f>
        <v>16.088100000000001</v>
      </c>
      <c r="E25" s="535">
        <f>'C-19_izvērsts'!$AB$83</f>
        <v>0</v>
      </c>
      <c r="F25" s="527">
        <f>'C-19_izvērsts'!$S$83</f>
        <v>1.3</v>
      </c>
      <c r="G25" s="535">
        <f>'C-19_izvērsts'!$AI$83</f>
        <v>0</v>
      </c>
      <c r="H25" s="953">
        <f>'C-19_izvērsts'!$T$83</f>
        <v>0</v>
      </c>
      <c r="I25" s="541">
        <f>'C-19_izvērsts'!$AM$83</f>
        <v>0</v>
      </c>
      <c r="J25" s="527">
        <f>'C-19_izvērsts'!$AS$83</f>
        <v>0</v>
      </c>
      <c r="K25" s="541">
        <f>'C-19_izvērsts'!$AR$83</f>
        <v>0</v>
      </c>
      <c r="L25" s="979">
        <f>'C-19_izvērsts'!$U$83</f>
        <v>0</v>
      </c>
      <c r="M25" s="982">
        <f>'C-19_izvērsts'!$AO$83</f>
        <v>0</v>
      </c>
    </row>
    <row r="26" spans="1:13" ht="31" x14ac:dyDescent="0.35">
      <c r="A26" s="552" t="s">
        <v>1534</v>
      </c>
      <c r="B26" s="527">
        <f>'C-19_izvērsts'!$M$87</f>
        <v>0</v>
      </c>
      <c r="C26" s="535">
        <f>'C-19_izvērsts'!$W$87</f>
        <v>0</v>
      </c>
      <c r="D26" s="527">
        <f>'C-19_izvērsts'!$P$87</f>
        <v>0</v>
      </c>
      <c r="E26" s="535">
        <f>'C-19_izvērsts'!$AB$87</f>
        <v>0</v>
      </c>
      <c r="F26" s="527">
        <f>'C-19_izvērsts'!$S$87</f>
        <v>0</v>
      </c>
      <c r="G26" s="535">
        <f>'C-19_izvērsts'!$AI$87</f>
        <v>0</v>
      </c>
      <c r="H26" s="953">
        <f>'C-19_izvērsts'!$T$87</f>
        <v>11</v>
      </c>
      <c r="I26" s="541">
        <f>'C-19_izvērsts'!$AM$87</f>
        <v>-9.57</v>
      </c>
      <c r="J26" s="527">
        <f>'C-19_izvērsts'!$AS$87</f>
        <v>2.75</v>
      </c>
      <c r="K26" s="541">
        <f>'C-19_izvērsts'!$AR$87</f>
        <v>-2.3891876577</v>
      </c>
      <c r="L26" s="979">
        <f>'C-19_izvērsts'!$U$87</f>
        <v>13</v>
      </c>
      <c r="M26" s="982">
        <f>'C-19_izvērsts'!$AO$87</f>
        <v>-11.31</v>
      </c>
    </row>
    <row r="27" spans="1:13" ht="15.5" x14ac:dyDescent="0.35">
      <c r="A27" s="550" t="s">
        <v>165</v>
      </c>
      <c r="B27" s="527">
        <f>'C-19_izvērsts'!$M$94</f>
        <v>50.124114689999999</v>
      </c>
      <c r="C27" s="535">
        <f>'C-19_izvērsts'!$W$94</f>
        <v>-50.124114689999999</v>
      </c>
      <c r="D27" s="527">
        <f>'C-19_izvērsts'!$P$94</f>
        <v>83.737523469999999</v>
      </c>
      <c r="E27" s="535">
        <f>'C-19_izvērsts'!$AB$94</f>
        <v>-83.737523469999999</v>
      </c>
      <c r="F27" s="527">
        <f>'C-19_izvērsts'!$S$94</f>
        <v>68.161741370000001</v>
      </c>
      <c r="G27" s="535">
        <f>'C-19_izvērsts'!$AI$94</f>
        <v>-68.161741370000001</v>
      </c>
      <c r="H27" s="953">
        <f>'C-19_izvērsts'!$T$94</f>
        <v>20.90594815</v>
      </c>
      <c r="I27" s="542">
        <f>'C-19_izvērsts'!$AM$94</f>
        <v>-20.90594815</v>
      </c>
      <c r="J27" s="527">
        <f>'C-19_izvērsts'!$AS$94</f>
        <v>15.359197999999999</v>
      </c>
      <c r="K27" s="542">
        <f>'C-19_izvērsts'!$AR$94</f>
        <v>-15.359197999999999</v>
      </c>
      <c r="L27" s="979">
        <f>'C-19_izvērsts'!$U$94</f>
        <v>0</v>
      </c>
      <c r="M27" s="982">
        <f>'C-19_izvērsts'!$AO$94</f>
        <v>0</v>
      </c>
    </row>
    <row r="28" spans="1:13" ht="15.5" x14ac:dyDescent="0.35">
      <c r="A28" s="553" t="s">
        <v>2273</v>
      </c>
      <c r="B28" s="533">
        <f>'C-19_izvērsts'!$M$106</f>
        <v>631.83905000000004</v>
      </c>
      <c r="C28" s="534">
        <f>'C-19_izvērsts'!$W$106</f>
        <v>-622.37720810999997</v>
      </c>
      <c r="D28" s="533">
        <f>'C-19_izvērsts'!$P$106</f>
        <v>1497.2107644100001</v>
      </c>
      <c r="E28" s="534">
        <f>'C-19_izvērsts'!$AB$106</f>
        <v>-1456.25409341</v>
      </c>
      <c r="F28" s="533">
        <f>'C-19_izvērsts'!$S$106</f>
        <v>594.38529026999981</v>
      </c>
      <c r="G28" s="534">
        <f>'C-19_izvērsts'!$AI$106</f>
        <v>-623.97303616999989</v>
      </c>
      <c r="H28" s="954">
        <f>'C-19_izvērsts'!$T$106</f>
        <v>63.402514999999994</v>
      </c>
      <c r="I28" s="534">
        <f>'C-19_izvērsts'!$AM$106</f>
        <v>-97.271488949999991</v>
      </c>
      <c r="J28" s="533">
        <f>'C-19_izvērsts'!$AS$106</f>
        <v>53.14683999999999</v>
      </c>
      <c r="K28" s="534">
        <f>'C-19_izvērsts'!$AR$106</f>
        <v>-72.03926899999999</v>
      </c>
      <c r="L28" s="545">
        <f>'C-19_izvērsts'!$U$106</f>
        <v>5.330508</v>
      </c>
      <c r="M28" s="546">
        <f>'C-19_izvērsts'!$AO$106</f>
        <v>-7.4185970000000001</v>
      </c>
    </row>
    <row r="29" spans="1:13" ht="15.5" x14ac:dyDescent="0.35">
      <c r="A29" s="550" t="s">
        <v>1721</v>
      </c>
      <c r="B29" s="527">
        <f>'C-19_izvērsts'!$M$107</f>
        <v>133.10977500000001</v>
      </c>
      <c r="C29" s="535">
        <f>'C-19_izvērsts'!$W$107</f>
        <v>-123.64793311000001</v>
      </c>
      <c r="D29" s="527">
        <f>'C-19_izvērsts'!$P$107</f>
        <v>578.44283900000016</v>
      </c>
      <c r="E29" s="535">
        <f>'C-19_izvērsts'!$AB$107</f>
        <v>-538.17287899999985</v>
      </c>
      <c r="F29" s="527">
        <f>'C-19_izvērsts'!$S$107</f>
        <v>378.4128495999999</v>
      </c>
      <c r="G29" s="535">
        <f>'C-19_izvērsts'!$AI$107</f>
        <v>-408.00059549999992</v>
      </c>
      <c r="H29" s="953">
        <f>'C-19_izvērsts'!$T$107</f>
        <v>63.402514999999994</v>
      </c>
      <c r="I29" s="542">
        <f>'C-19_izvērsts'!$AM$107</f>
        <v>-83.803772949999995</v>
      </c>
      <c r="J29" s="527">
        <f>'C-19_izvērsts'!$AS$107</f>
        <v>49.081646999999997</v>
      </c>
      <c r="K29" s="542">
        <f>'C-19_izvērsts'!$AR$107</f>
        <v>-67.974075999999997</v>
      </c>
      <c r="L29" s="979">
        <f>'C-19_izvērsts'!$U$107</f>
        <v>5.330508</v>
      </c>
      <c r="M29" s="982">
        <f>'C-19_izvērsts'!$AO$107</f>
        <v>-7.4185970000000001</v>
      </c>
    </row>
    <row r="30" spans="1:13" ht="15.5" x14ac:dyDescent="0.35">
      <c r="A30" s="550" t="s">
        <v>2274</v>
      </c>
      <c r="B30" s="527">
        <f>'C-19_izvērsts'!$M$263</f>
        <v>408.375744</v>
      </c>
      <c r="C30" s="535">
        <f>'C-19_izvērsts'!$W$263</f>
        <v>-408.375744</v>
      </c>
      <c r="D30" s="527">
        <f>'C-19_izvērsts'!$P$263</f>
        <v>227.910798</v>
      </c>
      <c r="E30" s="535">
        <f>'C-19_izvērsts'!$AB$263</f>
        <v>-227.910798</v>
      </c>
      <c r="F30" s="527">
        <f>'C-19_izvērsts'!$S$263</f>
        <v>68.769563000000005</v>
      </c>
      <c r="G30" s="535">
        <f>'C-19_izvērsts'!$AI$263</f>
        <v>-68.769563000000005</v>
      </c>
      <c r="H30" s="953">
        <f>'C-19_izvērsts'!$T$263</f>
        <v>0</v>
      </c>
      <c r="I30" s="542">
        <f>'C-19_izvērsts'!$AM$263</f>
        <v>0</v>
      </c>
      <c r="J30" s="527">
        <f>'C-19_izvērsts'!$AS$263</f>
        <v>0</v>
      </c>
      <c r="K30" s="542">
        <f>'C-19_izvērsts'!$AR$263</f>
        <v>0</v>
      </c>
      <c r="L30" s="979">
        <f>'C-19_izvērsts'!$U$263</f>
        <v>0</v>
      </c>
      <c r="M30" s="982">
        <f>'C-19_izvērsts'!$AO$263</f>
        <v>0</v>
      </c>
    </row>
    <row r="31" spans="1:13" ht="15.5" x14ac:dyDescent="0.35">
      <c r="A31" s="550" t="s">
        <v>2275</v>
      </c>
      <c r="B31" s="527">
        <f>'C-19_izvērsts'!$M$386</f>
        <v>6.7655999999999994E-2</v>
      </c>
      <c r="C31" s="535">
        <f>'C-19_izvērsts'!$W$386</f>
        <v>-6.7655999999999994E-2</v>
      </c>
      <c r="D31" s="527">
        <f>'C-19_izvērsts'!$P$386</f>
        <v>513.12829199999999</v>
      </c>
      <c r="E31" s="535">
        <f>'C-19_izvērsts'!$AB$386</f>
        <v>-513.12829199999999</v>
      </c>
      <c r="F31" s="527">
        <f>'C-19_izvērsts'!$S$386</f>
        <v>55.725071</v>
      </c>
      <c r="G31" s="535">
        <f>'C-19_izvērsts'!$AI$386</f>
        <v>-55.725071</v>
      </c>
      <c r="H31" s="953">
        <f>'C-19_izvērsts'!$T$386</f>
        <v>0</v>
      </c>
      <c r="I31" s="541">
        <f>'C-19_izvērsts'!$AM$386</f>
        <v>0</v>
      </c>
      <c r="J31" s="527">
        <f>'C-19_izvērsts'!$AS$386</f>
        <v>2.6224999999999998E-2</v>
      </c>
      <c r="K31" s="541">
        <f>'C-19_izvērsts'!$AR$386</f>
        <v>-2.6224999999999998E-2</v>
      </c>
      <c r="L31" s="979">
        <f>'C-19_izvērsts'!$U$386</f>
        <v>0</v>
      </c>
      <c r="M31" s="982">
        <f>'C-19_izvērsts'!$AO$386</f>
        <v>0</v>
      </c>
    </row>
    <row r="32" spans="1:13" ht="15.5" x14ac:dyDescent="0.35">
      <c r="A32" s="552" t="s">
        <v>1725</v>
      </c>
      <c r="B32" s="527">
        <f>'C-19_izvērsts'!$M$346</f>
        <v>37.540770000000002</v>
      </c>
      <c r="C32" s="535">
        <f>'C-19_izvērsts'!$W$346</f>
        <v>-37.540770000000002</v>
      </c>
      <c r="D32" s="527">
        <f>'C-19_izvērsts'!$P$346</f>
        <v>24.146602999999999</v>
      </c>
      <c r="E32" s="535">
        <f>'C-19_izvērsts'!$AB$346</f>
        <v>-24.146602999999999</v>
      </c>
      <c r="F32" s="527">
        <f>'C-19_izvērsts'!$S$346</f>
        <v>0.21742600000000001</v>
      </c>
      <c r="G32" s="535">
        <f>'C-19_izvērsts'!$AI$346</f>
        <v>-0.21742600000000001</v>
      </c>
      <c r="H32" s="953">
        <f>'C-19_izvērsts'!$T$346</f>
        <v>0</v>
      </c>
      <c r="I32" s="542">
        <f>'C-19_izvērsts'!$AM$346</f>
        <v>0</v>
      </c>
      <c r="J32" s="527">
        <f>'C-19_izvērsts'!$AS$346</f>
        <v>0</v>
      </c>
      <c r="K32" s="542">
        <f>'C-19_izvērsts'!$AR$346</f>
        <v>0</v>
      </c>
      <c r="L32" s="979">
        <f>'C-19_izvērsts'!$U$346</f>
        <v>0</v>
      </c>
      <c r="M32" s="982">
        <f>'C-19_izvērsts'!$AO$346</f>
        <v>0</v>
      </c>
    </row>
    <row r="33" spans="1:13" ht="15.5" x14ac:dyDescent="0.35">
      <c r="A33" s="550" t="s">
        <v>1724</v>
      </c>
      <c r="B33" s="527">
        <f>'C-19_izvērsts'!$M$316</f>
        <v>21.134721999999996</v>
      </c>
      <c r="C33" s="535">
        <f>'C-19_izvērsts'!$W$316</f>
        <v>-21.134721999999996</v>
      </c>
      <c r="D33" s="527">
        <f>'C-19_izvērsts'!$P$316</f>
        <v>19.821274999999996</v>
      </c>
      <c r="E33" s="535">
        <f>'C-19_izvērsts'!$AB$316</f>
        <v>-19.821274999999996</v>
      </c>
      <c r="F33" s="527">
        <f>'C-19_izvērsts'!$S$316</f>
        <v>4.7907249999999992</v>
      </c>
      <c r="G33" s="535">
        <f>'C-19_izvērsts'!$AI$316</f>
        <v>-4.7907249999999992</v>
      </c>
      <c r="H33" s="953">
        <f>'C-19_izvērsts'!$T$316</f>
        <v>0</v>
      </c>
      <c r="I33" s="542">
        <f>'C-19_izvērsts'!$AM$316</f>
        <v>0</v>
      </c>
      <c r="J33" s="527">
        <f>'C-19_izvērsts'!$AS$316</f>
        <v>0</v>
      </c>
      <c r="K33" s="542">
        <f>'C-19_izvērsts'!$AR$316</f>
        <v>0</v>
      </c>
      <c r="L33" s="979">
        <f>'C-19_izvērsts'!$U$316</f>
        <v>0</v>
      </c>
      <c r="M33" s="982">
        <f>'C-19_izvērsts'!$AO$316</f>
        <v>0</v>
      </c>
    </row>
    <row r="34" spans="1:13" ht="31" x14ac:dyDescent="0.35">
      <c r="A34" s="552" t="s">
        <v>2276</v>
      </c>
      <c r="B34" s="527">
        <f>'C-19_izvērsts'!$M$281</f>
        <v>22.05678</v>
      </c>
      <c r="C34" s="535">
        <f>'C-19_izvērsts'!$W$281</f>
        <v>-22.05678</v>
      </c>
      <c r="D34" s="527">
        <f>'C-19_izvērsts'!$P$281</f>
        <v>36.901719999999997</v>
      </c>
      <c r="E34" s="535">
        <f>'C-19_izvērsts'!$AB$281</f>
        <v>-36.901719999999997</v>
      </c>
      <c r="F34" s="527">
        <f>'C-19_izvērsts'!$S$281</f>
        <v>16.005141000000002</v>
      </c>
      <c r="G34" s="535">
        <f>'C-19_izvērsts'!$AI$281</f>
        <v>-16.005141000000002</v>
      </c>
      <c r="H34" s="953">
        <f>'C-19_izvērsts'!$T$281</f>
        <v>0</v>
      </c>
      <c r="I34" s="542">
        <f>'C-19_izvērsts'!$AM$281</f>
        <v>0</v>
      </c>
      <c r="J34" s="527">
        <f>'C-19_izvērsts'!$AS$281</f>
        <v>0</v>
      </c>
      <c r="K34" s="542">
        <f>'C-19_izvērsts'!$AR$281</f>
        <v>0</v>
      </c>
      <c r="L34" s="979">
        <f>'C-19_izvērsts'!$U$281</f>
        <v>0</v>
      </c>
      <c r="M34" s="982">
        <f>'C-19_izvērsts'!$AO$281</f>
        <v>0</v>
      </c>
    </row>
    <row r="35" spans="1:13" ht="15.5" x14ac:dyDescent="0.35">
      <c r="A35" s="552" t="s">
        <v>2277</v>
      </c>
      <c r="B35" s="527">
        <f>'C-19_izvērsts'!$M$351</f>
        <v>0</v>
      </c>
      <c r="C35" s="535">
        <f>'C-19_izvērsts'!$W$351</f>
        <v>0</v>
      </c>
      <c r="D35" s="527">
        <f>'C-19_izvērsts'!$P$351</f>
        <v>52.511577999999993</v>
      </c>
      <c r="E35" s="535">
        <f>'C-19_izvērsts'!$AB$351</f>
        <v>-51.82486699999999</v>
      </c>
      <c r="F35" s="527">
        <f>'C-19_izvērsts'!$S$351</f>
        <v>52.009733000000004</v>
      </c>
      <c r="G35" s="535">
        <f>'C-19_izvērsts'!$AI$351</f>
        <v>-52.009733000000004</v>
      </c>
      <c r="H35" s="953">
        <f>'C-19_izvērsts'!$T$351</f>
        <v>0</v>
      </c>
      <c r="I35" s="542">
        <f>'C-19_izvērsts'!$AM$351</f>
        <v>-13.467715999999999</v>
      </c>
      <c r="J35" s="527">
        <f>'C-19_izvērsts'!$AS$351</f>
        <v>4.0389679999999997</v>
      </c>
      <c r="K35" s="542">
        <f>'C-19_izvērsts'!$AR$351</f>
        <v>-4.0389679999999997</v>
      </c>
      <c r="L35" s="979">
        <f>'C-19_izvērsts'!$U$351</f>
        <v>0</v>
      </c>
      <c r="M35" s="982">
        <f>'C-19_izvērsts'!$AO$351</f>
        <v>0</v>
      </c>
    </row>
    <row r="36" spans="1:13" ht="15.5" x14ac:dyDescent="0.35">
      <c r="A36" s="553" t="s">
        <v>2314</v>
      </c>
      <c r="B36" s="545">
        <f>'C-19_izvērsts'!$M$491</f>
        <v>27.301991000000001</v>
      </c>
      <c r="C36" s="546">
        <f>'C-19_izvērsts'!$W$491</f>
        <v>0</v>
      </c>
      <c r="D36" s="533">
        <f>'C-19_izvērsts'!$P$491</f>
        <v>57.197071000000001</v>
      </c>
      <c r="E36" s="534">
        <f>'C-19_izvērsts'!$AB$491</f>
        <v>-8.5823999999999998</v>
      </c>
      <c r="F36" s="533">
        <f>'C-19_izvērsts'!$S$491</f>
        <v>170.58406099999999</v>
      </c>
      <c r="G36" s="534">
        <f>'C-19_izvērsts'!$AI$491</f>
        <v>-6.88</v>
      </c>
      <c r="H36" s="955">
        <f>'C-19_izvērsts'!$T$491</f>
        <v>0</v>
      </c>
      <c r="I36" s="534">
        <f>'C-19_izvērsts'!$AM$491</f>
        <v>0</v>
      </c>
      <c r="J36" s="545">
        <f>'C-19_izvērsts'!$AS$491</f>
        <v>0</v>
      </c>
      <c r="K36" s="546">
        <f>'C-19_izvērsts'!$AR$491</f>
        <v>0</v>
      </c>
      <c r="L36" s="545">
        <f>'C-19_izvērsts'!$U$491</f>
        <v>0</v>
      </c>
      <c r="M36" s="546">
        <f>'C-19_izvērsts'!$AO$491</f>
        <v>0</v>
      </c>
    </row>
    <row r="37" spans="1:13" ht="15.5" x14ac:dyDescent="0.35">
      <c r="A37" s="550" t="s">
        <v>200</v>
      </c>
      <c r="B37" s="527">
        <f>'C-19_izvērsts'!$M$492</f>
        <v>9.3443529999999999</v>
      </c>
      <c r="C37" s="535">
        <f>'C-19_izvērsts'!$W$492</f>
        <v>0</v>
      </c>
      <c r="D37" s="527">
        <f>'C-19_izvērsts'!$P$492</f>
        <v>36.971586000000002</v>
      </c>
      <c r="E37" s="535">
        <f>'C-19_izvērsts'!$AB$492</f>
        <v>0</v>
      </c>
      <c r="F37" s="527">
        <f>'C-19_izvērsts'!$S$492</f>
        <v>136.58406099999999</v>
      </c>
      <c r="G37" s="535">
        <f>'C-19_izvērsts'!$AI$492</f>
        <v>0</v>
      </c>
      <c r="H37" s="953">
        <f>'C-19_izvērsts'!$T$492</f>
        <v>0</v>
      </c>
      <c r="I37" s="542">
        <f>'C-19_izvērsts'!$AM$492</f>
        <v>0</v>
      </c>
      <c r="J37" s="527">
        <f>'C-19_izvērsts'!$AS$492</f>
        <v>0</v>
      </c>
      <c r="K37" s="542">
        <f>'C-19_izvērsts'!$AR$492</f>
        <v>0</v>
      </c>
      <c r="L37" s="979">
        <f>'C-19_izvērsts'!$U$492</f>
        <v>0</v>
      </c>
      <c r="M37" s="982">
        <f>'C-19_izvērsts'!$AO$492</f>
        <v>0</v>
      </c>
    </row>
    <row r="38" spans="1:13" ht="16" thickBot="1" x14ac:dyDescent="0.4">
      <c r="A38" s="555" t="s">
        <v>213</v>
      </c>
      <c r="B38" s="547">
        <f>'C-19_izvērsts'!$M$494</f>
        <v>0.222636</v>
      </c>
      <c r="C38" s="548">
        <f>'C-19_izvērsts'!$W$494</f>
        <v>0</v>
      </c>
      <c r="D38" s="547">
        <f>'C-19_izvērsts'!$P$494</f>
        <v>20.225484999999999</v>
      </c>
      <c r="E38" s="548">
        <f>'C-19_izvērsts'!$AB$494</f>
        <v>0</v>
      </c>
      <c r="F38" s="547">
        <f>'C-19_izvērsts'!$S$494</f>
        <v>34</v>
      </c>
      <c r="G38" s="548">
        <f>'C-19_izvērsts'!$AI$494</f>
        <v>0</v>
      </c>
      <c r="H38" s="956">
        <f>'C-19_izvērsts'!$T$494</f>
        <v>0</v>
      </c>
      <c r="I38" s="548">
        <f>'C-19_izvērsts'!$AM$494</f>
        <v>0</v>
      </c>
      <c r="J38" s="547">
        <f>'C-19_izvērsts'!$AS$494</f>
        <v>0</v>
      </c>
      <c r="K38" s="548">
        <f>'C-19_izvērsts'!$AR$494</f>
        <v>0</v>
      </c>
      <c r="L38" s="980">
        <f>'C-19_izvērsts'!$U$494</f>
        <v>0</v>
      </c>
      <c r="M38" s="983">
        <f>'C-19_izvērsts'!$AO$494</f>
        <v>0</v>
      </c>
    </row>
    <row r="39" spans="1:13" ht="15.5" x14ac:dyDescent="0.35">
      <c r="A39" s="536"/>
      <c r="B39" s="537"/>
      <c r="C39" s="537"/>
      <c r="D39" s="537"/>
      <c r="E39" s="537"/>
      <c r="F39" s="537"/>
      <c r="G39" s="537"/>
      <c r="H39" s="537"/>
      <c r="I39" s="537"/>
      <c r="J39" s="537"/>
      <c r="K39" s="537"/>
    </row>
    <row r="40" spans="1:13" ht="15.5" x14ac:dyDescent="0.35">
      <c r="A40" s="793" t="s">
        <v>2321</v>
      </c>
      <c r="B40" s="529"/>
      <c r="C40" s="529"/>
      <c r="D40" s="529"/>
      <c r="E40" s="529"/>
    </row>
    <row r="41" spans="1:13" ht="15.5" x14ac:dyDescent="0.35">
      <c r="A41" s="793" t="s">
        <v>2322</v>
      </c>
      <c r="B41" s="529"/>
      <c r="C41" s="529"/>
      <c r="D41" s="529"/>
      <c r="E41" s="529"/>
    </row>
  </sheetData>
  <mergeCells count="12">
    <mergeCell ref="L4:M4"/>
    <mergeCell ref="L5:M5"/>
    <mergeCell ref="J5:K5"/>
    <mergeCell ref="A4:A6"/>
    <mergeCell ref="B4:C4"/>
    <mergeCell ref="D4:E4"/>
    <mergeCell ref="B5:C5"/>
    <mergeCell ref="D5:E5"/>
    <mergeCell ref="H5:I5"/>
    <mergeCell ref="F5:G5"/>
    <mergeCell ref="F4:G4"/>
    <mergeCell ref="H4:K4"/>
  </mergeCells>
  <pageMargins left="0.7" right="0.7" top="0.75" bottom="0.75" header="0.3" footer="0.3"/>
  <pageSetup paperSize="9" orientation="portrait"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87A0-7C6F-40FC-B71A-81534F09E366}">
  <sheetPr>
    <tabColor rgb="FF00B0F0"/>
  </sheetPr>
  <dimension ref="A2:J51"/>
  <sheetViews>
    <sheetView zoomScale="40" zoomScaleNormal="40" workbookViewId="0">
      <pane ySplit="5" topLeftCell="A6" activePane="bottomLeft" state="frozen"/>
      <selection pane="bottomLeft" activeCell="A54" sqref="A54"/>
    </sheetView>
  </sheetViews>
  <sheetFormatPr defaultColWidth="8.7265625" defaultRowHeight="14.5" outlineLevelRow="1" outlineLevelCol="1" x14ac:dyDescent="0.35"/>
  <cols>
    <col min="1" max="1" width="187" customWidth="1"/>
    <col min="2" max="2" width="18.26953125" hidden="1" customWidth="1" outlineLevel="1"/>
    <col min="3" max="3" width="19" customWidth="1" collapsed="1"/>
    <col min="4" max="5" width="14.7265625" hidden="1" customWidth="1" outlineLevel="1"/>
    <col min="6" max="6" width="19.26953125" customWidth="1" collapsed="1"/>
    <col min="7" max="7" width="15.54296875" customWidth="1"/>
    <col min="8" max="8" width="25.1796875" customWidth="1"/>
    <col min="9" max="9" width="25.7265625" customWidth="1"/>
    <col min="10" max="10" width="29" customWidth="1"/>
    <col min="11" max="11" width="36.7265625" customWidth="1"/>
  </cols>
  <sheetData>
    <row r="2" spans="1:10" ht="27.5" x14ac:dyDescent="0.55000000000000004">
      <c r="A2" s="794" t="s">
        <v>2336</v>
      </c>
      <c r="F2" s="826"/>
      <c r="G2" s="826"/>
      <c r="H2" s="826"/>
      <c r="I2" s="788"/>
    </row>
    <row r="4" spans="1:10" ht="27.5" x14ac:dyDescent="0.55000000000000004">
      <c r="A4" s="1028" t="s">
        <v>1737</v>
      </c>
      <c r="B4" s="1030">
        <v>2021</v>
      </c>
      <c r="C4" s="1031"/>
      <c r="D4" s="1030">
        <v>2022</v>
      </c>
      <c r="E4" s="1032"/>
      <c r="F4" s="1031"/>
      <c r="G4" s="1030">
        <v>2023</v>
      </c>
      <c r="H4" s="1032"/>
      <c r="I4" s="1031"/>
      <c r="J4" s="967">
        <v>2024</v>
      </c>
    </row>
    <row r="5" spans="1:10" ht="67.5" customHeight="1" x14ac:dyDescent="0.35">
      <c r="A5" s="1029"/>
      <c r="B5" s="779" t="s">
        <v>523</v>
      </c>
      <c r="C5" s="779" t="s">
        <v>1950</v>
      </c>
      <c r="D5" s="704" t="s">
        <v>523</v>
      </c>
      <c r="E5" s="779" t="s">
        <v>2327</v>
      </c>
      <c r="F5" s="780" t="s">
        <v>1950</v>
      </c>
      <c r="G5" s="704" t="s">
        <v>523</v>
      </c>
      <c r="H5" s="1001" t="s">
        <v>2369</v>
      </c>
      <c r="I5" s="961" t="s">
        <v>2375</v>
      </c>
      <c r="J5" s="704" t="s">
        <v>523</v>
      </c>
    </row>
    <row r="6" spans="1:10" ht="27.5" x14ac:dyDescent="0.55000000000000004">
      <c r="A6" s="705" t="s">
        <v>2199</v>
      </c>
      <c r="B6" s="706">
        <f>B7+B31+B44+B43</f>
        <v>2.97</v>
      </c>
      <c r="C6" s="706">
        <f>C7+C31+C44+C43</f>
        <v>1.8805700000000001</v>
      </c>
      <c r="D6" s="706">
        <f>D7+D31+D44</f>
        <v>836.07835399999999</v>
      </c>
      <c r="E6" s="706">
        <f>E7+E31+E44</f>
        <v>658.70002045000001</v>
      </c>
      <c r="F6" s="706">
        <f>F7+F31+F44+F43</f>
        <v>603.54405190000011</v>
      </c>
      <c r="G6" s="706">
        <f>G7+G31+G44+G43</f>
        <v>652.03893900000003</v>
      </c>
      <c r="H6" s="706">
        <f>H7+H31+H43+H44+H45</f>
        <v>484.2</v>
      </c>
      <c r="I6" s="706">
        <f>I7+I31+I43+I44+I45</f>
        <v>454.44529630999995</v>
      </c>
      <c r="J6" s="706">
        <f>J7+J31+J43+J44+J45</f>
        <v>50</v>
      </c>
    </row>
    <row r="7" spans="1:10" ht="20" x14ac:dyDescent="0.35">
      <c r="A7" s="707" t="s">
        <v>2256</v>
      </c>
      <c r="B7" s="708">
        <f>SUM(B9:B14)</f>
        <v>2.97</v>
      </c>
      <c r="C7" s="708">
        <f>SUM(C9:C14)</f>
        <v>1.8805700000000001</v>
      </c>
      <c r="D7" s="708">
        <f t="shared" ref="D7:J7" si="0">SUM(D9:D14)+SUM(D16:D30)</f>
        <v>571.1295419999999</v>
      </c>
      <c r="E7" s="708">
        <f t="shared" si="0"/>
        <v>381.10527745000002</v>
      </c>
      <c r="F7" s="708">
        <f t="shared" si="0"/>
        <v>339.56395824000003</v>
      </c>
      <c r="G7" s="708">
        <f t="shared" si="0"/>
        <v>546.95583599999998</v>
      </c>
      <c r="H7" s="708">
        <v>363</v>
      </c>
      <c r="I7" s="708">
        <f t="shared" si="0"/>
        <v>363.24295230999996</v>
      </c>
      <c r="J7" s="708">
        <f t="shared" si="0"/>
        <v>0</v>
      </c>
    </row>
    <row r="8" spans="1:10" ht="20" hidden="1" outlineLevel="1" x14ac:dyDescent="0.35">
      <c r="A8" s="1036" t="s">
        <v>2278</v>
      </c>
      <c r="B8" s="1037"/>
      <c r="C8" s="1037"/>
      <c r="D8" s="1037"/>
      <c r="E8" s="1037"/>
      <c r="F8" s="1037"/>
      <c r="G8" s="1037"/>
      <c r="H8" s="1037"/>
      <c r="I8" s="1037"/>
      <c r="J8" s="1038"/>
    </row>
    <row r="9" spans="1:10" ht="41" hidden="1" outlineLevel="1" x14ac:dyDescent="0.35">
      <c r="A9" s="709" t="s">
        <v>2279</v>
      </c>
      <c r="B9" s="710"/>
      <c r="C9" s="711"/>
      <c r="D9" s="711">
        <f>77.894+63.5</f>
        <v>141.39400000000001</v>
      </c>
      <c r="E9" s="711">
        <v>134.75700000000001</v>
      </c>
      <c r="F9" s="717">
        <v>134.73500000000001</v>
      </c>
      <c r="G9" s="717"/>
      <c r="H9" s="717"/>
      <c r="I9" s="713"/>
      <c r="J9" s="854"/>
    </row>
    <row r="10" spans="1:10" ht="20.5" hidden="1" outlineLevel="1" x14ac:dyDescent="0.35">
      <c r="A10" s="714" t="s">
        <v>2378</v>
      </c>
      <c r="B10" s="715">
        <v>2.97</v>
      </c>
      <c r="C10" s="711">
        <v>1.8805700000000001</v>
      </c>
      <c r="D10" s="711">
        <v>17.524920000000002</v>
      </c>
      <c r="E10" s="711">
        <v>17.524920000000002</v>
      </c>
      <c r="F10" s="717">
        <v>12.701000000000001</v>
      </c>
      <c r="G10" s="717"/>
      <c r="H10" s="717">
        <v>11</v>
      </c>
      <c r="I10" s="715">
        <v>11</v>
      </c>
      <c r="J10" s="854"/>
    </row>
    <row r="11" spans="1:10" ht="20.5" hidden="1" outlineLevel="1" x14ac:dyDescent="0.35">
      <c r="A11" s="714" t="s">
        <v>2379</v>
      </c>
      <c r="B11" s="710"/>
      <c r="C11" s="710"/>
      <c r="D11" s="715">
        <v>18.427592000000001</v>
      </c>
      <c r="E11" s="711">
        <v>18.427592000000001</v>
      </c>
      <c r="F11" s="717">
        <v>14.3</v>
      </c>
      <c r="G11" s="717"/>
      <c r="H11" s="717"/>
      <c r="I11" s="713"/>
      <c r="J11" s="854"/>
    </row>
    <row r="12" spans="1:10" ht="20.5" hidden="1" outlineLevel="1" x14ac:dyDescent="0.35">
      <c r="A12" s="714" t="s">
        <v>2200</v>
      </c>
      <c r="B12" s="710"/>
      <c r="C12" s="710"/>
      <c r="D12" s="715">
        <v>7</v>
      </c>
      <c r="E12" s="711">
        <v>8.7140000000000004</v>
      </c>
      <c r="F12" s="717">
        <v>8.74</v>
      </c>
      <c r="G12" s="717"/>
      <c r="H12" s="717"/>
      <c r="I12" s="713"/>
      <c r="J12" s="854"/>
    </row>
    <row r="13" spans="1:10" ht="20.5" hidden="1" outlineLevel="1" x14ac:dyDescent="0.35">
      <c r="A13" s="714" t="s">
        <v>2201</v>
      </c>
      <c r="B13" s="710"/>
      <c r="C13" s="710"/>
      <c r="D13" s="715">
        <v>27.400020999999999</v>
      </c>
      <c r="E13" s="711">
        <v>26.451000000000001</v>
      </c>
      <c r="F13" s="717">
        <v>27.02</v>
      </c>
      <c r="G13" s="717"/>
      <c r="H13" s="717"/>
      <c r="I13" s="710"/>
      <c r="J13" s="854"/>
    </row>
    <row r="14" spans="1:10" ht="20.5" hidden="1" outlineLevel="1" x14ac:dyDescent="0.35">
      <c r="A14" s="714" t="s">
        <v>2202</v>
      </c>
      <c r="B14" s="710"/>
      <c r="C14" s="710"/>
      <c r="D14" s="715">
        <v>21.200391</v>
      </c>
      <c r="E14" s="711">
        <v>21.813641860000001</v>
      </c>
      <c r="F14" s="717">
        <v>18.03</v>
      </c>
      <c r="G14" s="717"/>
      <c r="H14" s="717"/>
      <c r="I14" s="710"/>
      <c r="J14" s="854"/>
    </row>
    <row r="15" spans="1:10" ht="20" hidden="1" outlineLevel="1" x14ac:dyDescent="0.35">
      <c r="A15" s="1033" t="s">
        <v>2313</v>
      </c>
      <c r="B15" s="1034"/>
      <c r="C15" s="1034"/>
      <c r="D15" s="1034"/>
      <c r="E15" s="1034"/>
      <c r="F15" s="1034"/>
      <c r="G15" s="1034"/>
      <c r="H15" s="1034"/>
      <c r="I15" s="1034"/>
      <c r="J15" s="1035"/>
    </row>
    <row r="16" spans="1:10" ht="41" hidden="1" outlineLevel="1" x14ac:dyDescent="0.35">
      <c r="A16" s="784" t="s">
        <v>2281</v>
      </c>
      <c r="B16" s="710"/>
      <c r="C16" s="710"/>
      <c r="D16" s="715">
        <f>15.16</f>
        <v>15.16</v>
      </c>
      <c r="E16" s="852">
        <v>1.829451E-2</v>
      </c>
      <c r="F16" s="852">
        <f>0+0.00609817+0.02809152</f>
        <v>3.4189689999999995E-2</v>
      </c>
      <c r="G16" s="715">
        <v>37.9</v>
      </c>
      <c r="H16" s="717">
        <f>0.07126907+0.05295086+0.040261+0.029+0.026+0.0163</f>
        <v>0.23578093</v>
      </c>
      <c r="I16" s="717">
        <f>0.07126907+0.05295086+0.040261+0.029+0.026+0.0163</f>
        <v>0.23578093</v>
      </c>
      <c r="J16" s="854"/>
    </row>
    <row r="17" spans="1:10" ht="50.5" hidden="1" customHeight="1" outlineLevel="1" x14ac:dyDescent="0.35">
      <c r="A17" s="784" t="s">
        <v>2282</v>
      </c>
      <c r="B17" s="710"/>
      <c r="C17" s="710"/>
      <c r="D17" s="715">
        <f>26.133746</f>
        <v>26.133745999999999</v>
      </c>
      <c r="E17" s="717">
        <v>13.799999999999999</v>
      </c>
      <c r="F17" s="717">
        <v>6.0525767500000001</v>
      </c>
      <c r="G17" s="715">
        <f>17.426254</f>
        <v>17.426254</v>
      </c>
      <c r="H17" s="717">
        <v>4.8108551500000001</v>
      </c>
      <c r="I17" s="717">
        <v>4.8108551500000001</v>
      </c>
      <c r="J17" s="965"/>
    </row>
    <row r="18" spans="1:10" ht="41" hidden="1" outlineLevel="1" x14ac:dyDescent="0.35">
      <c r="A18" s="784" t="s">
        <v>2283</v>
      </c>
      <c r="B18" s="710"/>
      <c r="C18" s="710"/>
      <c r="D18" s="715">
        <f>71.999399</f>
        <v>71.999398999999997</v>
      </c>
      <c r="E18" s="717">
        <v>32.234999999999999</v>
      </c>
      <c r="F18" s="717">
        <v>26.41057481</v>
      </c>
      <c r="G18" s="715">
        <f>96.000601</f>
        <v>96.000601000000003</v>
      </c>
      <c r="H18" s="717">
        <v>100.84080710000001</v>
      </c>
      <c r="I18" s="717">
        <v>100.84080710000001</v>
      </c>
      <c r="J18" s="854"/>
    </row>
    <row r="19" spans="1:10" ht="41.15" hidden="1" customHeight="1" outlineLevel="1" x14ac:dyDescent="0.35">
      <c r="A19" s="784" t="s">
        <v>2284</v>
      </c>
      <c r="B19" s="710"/>
      <c r="C19" s="710"/>
      <c r="D19" s="715">
        <f>21.7728</f>
        <v>21.7728</v>
      </c>
      <c r="E19" s="717">
        <v>0.20217096000000001</v>
      </c>
      <c r="F19" s="717">
        <f>0.02757207+0.03981825+0.04141392</f>
        <v>0.10880424</v>
      </c>
      <c r="G19" s="715">
        <f>21.7728</f>
        <v>21.7728</v>
      </c>
      <c r="H19" s="717">
        <f>0.01557317+0.02318222+0.019885+0.0197+0.017+0.001</f>
        <v>9.6340389999999998E-2</v>
      </c>
      <c r="I19" s="717">
        <f>0.01557317+0.02318222+0.019885+0.0197+0.017+0.001</f>
        <v>9.6340389999999998E-2</v>
      </c>
      <c r="J19" s="854"/>
    </row>
    <row r="20" spans="1:10" ht="20.5" hidden="1" outlineLevel="1" x14ac:dyDescent="0.35">
      <c r="A20" s="784" t="s">
        <v>2287</v>
      </c>
      <c r="B20" s="710"/>
      <c r="C20" s="710"/>
      <c r="D20" s="715">
        <f>4.79536</f>
        <v>4.7953599999999996</v>
      </c>
      <c r="E20" s="717">
        <v>15.13334538</v>
      </c>
      <c r="F20" s="717">
        <f>5.88336+5.24998538+1.74199464</f>
        <v>12.875340019999999</v>
      </c>
      <c r="G20" s="715"/>
      <c r="H20" s="717">
        <f>0.06192+0.03318+0.00072+0.0003+0.00006</f>
        <v>9.6180000000000002E-2</v>
      </c>
      <c r="I20" s="717">
        <f>0.06192+0.03318+0.00072+0.0003+0.00006</f>
        <v>9.6180000000000002E-2</v>
      </c>
      <c r="J20" s="966"/>
    </row>
    <row r="21" spans="1:10" ht="41" hidden="1" outlineLevel="1" x14ac:dyDescent="0.35">
      <c r="A21" s="784" t="s">
        <v>2285</v>
      </c>
      <c r="B21" s="710"/>
      <c r="C21" s="710"/>
      <c r="D21" s="715">
        <f>2.016</f>
        <v>2.016</v>
      </c>
      <c r="E21" s="717">
        <v>0.11879520000000002</v>
      </c>
      <c r="F21" s="717">
        <f>0.01352437+0.02607403+0.02774825</f>
        <v>6.7346650000000008E-2</v>
      </c>
      <c r="G21" s="715">
        <v>2.016</v>
      </c>
      <c r="H21" s="717">
        <f>0.02085023+0.01538204+0.016629+0.0144+0.013+0.003</f>
        <v>8.3261269999999998E-2</v>
      </c>
      <c r="I21" s="717">
        <f>0.02085023+0.01538204+0.016629+0.0144+0.013+0.003</f>
        <v>8.3261269999999998E-2</v>
      </c>
      <c r="J21" s="966"/>
    </row>
    <row r="22" spans="1:10" ht="41" hidden="1" outlineLevel="1" x14ac:dyDescent="0.35">
      <c r="A22" s="784" t="s">
        <v>2286</v>
      </c>
      <c r="B22" s="710"/>
      <c r="C22" s="710"/>
      <c r="D22" s="715">
        <f>10.48</f>
        <v>10.48</v>
      </c>
      <c r="E22" s="717">
        <v>2.5045175399999997</v>
      </c>
      <c r="F22" s="717">
        <f>0.33375182+0.50108736+0.27102723</f>
        <v>1.10586641</v>
      </c>
      <c r="G22" s="715">
        <f>11.92</f>
        <v>11.92</v>
      </c>
      <c r="H22" s="717">
        <f>0.25982208+0.13725345+0.103893+0.069+0.06+0.0054</f>
        <v>0.63536852999999993</v>
      </c>
      <c r="I22" s="717">
        <f>0.25982208+0.13725345+0.103893+0.069+0.06+0.0054</f>
        <v>0.63536852999999993</v>
      </c>
      <c r="J22" s="966"/>
    </row>
    <row r="23" spans="1:10" ht="20.5" hidden="1" outlineLevel="1" x14ac:dyDescent="0.35">
      <c r="A23" s="784" t="s">
        <v>2352</v>
      </c>
      <c r="B23" s="710"/>
      <c r="C23" s="710"/>
      <c r="D23" s="715"/>
      <c r="E23" s="717"/>
      <c r="F23" s="717"/>
      <c r="G23" s="715"/>
      <c r="H23" s="717">
        <f>0.00608491+0.030979+0.019+0.021+0.009</f>
        <v>8.6063909999999993E-2</v>
      </c>
      <c r="I23" s="717">
        <f>0.00608491+0.030979+0.019+0.021+0.009</f>
        <v>8.6063909999999993E-2</v>
      </c>
      <c r="J23" s="966"/>
    </row>
    <row r="24" spans="1:10" ht="20.5" hidden="1" outlineLevel="1" x14ac:dyDescent="0.35">
      <c r="A24" s="784" t="s">
        <v>2353</v>
      </c>
      <c r="B24" s="710"/>
      <c r="C24" s="710"/>
      <c r="D24" s="715"/>
      <c r="E24" s="717"/>
      <c r="F24" s="717"/>
      <c r="G24" s="715"/>
      <c r="H24" s="717">
        <f>0.04059591+0.0195324+0.095+0.068+0.0168</f>
        <v>0.23992831000000001</v>
      </c>
      <c r="I24" s="717">
        <f>0.04059591+0.0195324+0.095+0.068+0.0168</f>
        <v>0.23992831000000001</v>
      </c>
      <c r="J24" s="966"/>
    </row>
    <row r="25" spans="1:10" ht="20.5" hidden="1" outlineLevel="1" x14ac:dyDescent="0.35">
      <c r="A25" s="785" t="s">
        <v>2280</v>
      </c>
      <c r="B25" s="710"/>
      <c r="C25" s="710"/>
      <c r="D25" s="715">
        <v>52.961942999999998</v>
      </c>
      <c r="E25" s="717">
        <v>37.975000000000001</v>
      </c>
      <c r="F25" s="717">
        <v>30.992884499999999</v>
      </c>
      <c r="G25" s="715">
        <v>70.615924000000007</v>
      </c>
      <c r="H25" s="717">
        <v>82.521629129999994</v>
      </c>
      <c r="I25" s="717">
        <v>82.521629129999994</v>
      </c>
      <c r="J25" s="966"/>
    </row>
    <row r="26" spans="1:10" ht="41" hidden="1" outlineLevel="1" x14ac:dyDescent="0.35">
      <c r="A26" s="785" t="s">
        <v>2288</v>
      </c>
      <c r="B26" s="710"/>
      <c r="C26" s="710"/>
      <c r="D26" s="715">
        <v>3.1114289999999998</v>
      </c>
      <c r="E26" s="717">
        <v>2.46</v>
      </c>
      <c r="F26" s="717">
        <v>1.7142301900000001</v>
      </c>
      <c r="G26" s="715">
        <v>7.7785710000000003</v>
      </c>
      <c r="H26" s="717">
        <v>0.72417978999999999</v>
      </c>
      <c r="I26" s="717">
        <v>0.72417978999999999</v>
      </c>
      <c r="J26" s="966"/>
    </row>
    <row r="27" spans="1:10" ht="41" hidden="1" outlineLevel="1" x14ac:dyDescent="0.35">
      <c r="A27" s="785" t="s">
        <v>2350</v>
      </c>
      <c r="B27" s="710"/>
      <c r="C27" s="710"/>
      <c r="D27" s="715"/>
      <c r="E27" s="717"/>
      <c r="F27" s="717"/>
      <c r="G27" s="715"/>
      <c r="H27" s="717">
        <v>40.865333360000001</v>
      </c>
      <c r="I27" s="717">
        <v>40.865333360000001</v>
      </c>
      <c r="J27" s="966"/>
    </row>
    <row r="28" spans="1:10" ht="41" hidden="1" outlineLevel="1" x14ac:dyDescent="0.35">
      <c r="A28" s="785" t="s">
        <v>2296</v>
      </c>
      <c r="B28" s="710"/>
      <c r="C28" s="710"/>
      <c r="D28" s="715">
        <v>19.166399999999999</v>
      </c>
      <c r="E28" s="717">
        <v>5.35</v>
      </c>
      <c r="F28" s="717">
        <v>5.13217781</v>
      </c>
      <c r="G28" s="715">
        <v>47.915999999999997</v>
      </c>
      <c r="H28" s="717">
        <v>17.406706759999999</v>
      </c>
      <c r="I28" s="717">
        <v>17.406706759999999</v>
      </c>
      <c r="J28" s="966"/>
    </row>
    <row r="29" spans="1:10" ht="20.5" hidden="1" outlineLevel="1" x14ac:dyDescent="0.35">
      <c r="A29" s="785" t="s">
        <v>2252</v>
      </c>
      <c r="B29" s="710"/>
      <c r="C29" s="710"/>
      <c r="D29" s="715">
        <v>24.877208</v>
      </c>
      <c r="E29" s="717">
        <v>17.64</v>
      </c>
      <c r="F29" s="717">
        <v>15.146614980000001</v>
      </c>
      <c r="G29" s="715">
        <v>62.193019</v>
      </c>
      <c r="H29" s="717">
        <v>60.928766580000001</v>
      </c>
      <c r="I29" s="717">
        <v>60.928766580000001</v>
      </c>
      <c r="J29" s="966"/>
    </row>
    <row r="30" spans="1:10" ht="41" hidden="1" outlineLevel="1" x14ac:dyDescent="0.35">
      <c r="A30" s="785" t="s">
        <v>2289</v>
      </c>
      <c r="B30" s="710"/>
      <c r="C30" s="710"/>
      <c r="D30" s="715">
        <v>85.708332999999996</v>
      </c>
      <c r="E30" s="717">
        <v>25.98</v>
      </c>
      <c r="F30" s="717">
        <v>24.397352189999999</v>
      </c>
      <c r="G30" s="715">
        <v>171.41666699999999</v>
      </c>
      <c r="H30" s="717">
        <v>42.671751100000002</v>
      </c>
      <c r="I30" s="717">
        <v>42.671751100000002</v>
      </c>
      <c r="J30" s="966"/>
    </row>
    <row r="31" spans="1:10" ht="20" collapsed="1" x14ac:dyDescent="0.35">
      <c r="A31" s="781" t="s">
        <v>2203</v>
      </c>
      <c r="B31" s="782">
        <f>SUM(B33:B36)</f>
        <v>0</v>
      </c>
      <c r="C31" s="782">
        <f>SUM(C33:C36)</f>
        <v>0</v>
      </c>
      <c r="D31" s="782">
        <f>SUM(D33:D36)+SUM(D38:D42)</f>
        <v>214.94881200000003</v>
      </c>
      <c r="E31" s="782">
        <f>SUM(E33:E36)+SUM(E38:E42)</f>
        <v>253.09474299999999</v>
      </c>
      <c r="F31" s="782">
        <f>SUM(F33:F36)+SUM(F38:F42)</f>
        <v>240.43266234000004</v>
      </c>
      <c r="G31" s="782">
        <f>G38+SUM(G33:G36)+SUM(G39:G42)</f>
        <v>74.613102999999995</v>
      </c>
      <c r="H31" s="782">
        <f>H38+SUM(H33:H36)+SUM(H39:H42)</f>
        <v>60.7</v>
      </c>
      <c r="I31" s="782">
        <f>I38+SUM(I33:I36)+SUM(I39:I42)</f>
        <v>60.702343999999997</v>
      </c>
      <c r="J31" s="782">
        <f>J38+SUM(J33:J36)+SUM(J39:J42)</f>
        <v>0</v>
      </c>
    </row>
    <row r="32" spans="1:10" ht="20" hidden="1" outlineLevel="1" x14ac:dyDescent="0.35">
      <c r="A32" s="1039" t="s">
        <v>2278</v>
      </c>
      <c r="B32" s="1040"/>
      <c r="C32" s="1040"/>
      <c r="D32" s="1040"/>
      <c r="E32" s="1040"/>
      <c r="F32" s="1040"/>
      <c r="G32" s="1040"/>
      <c r="H32" s="1040"/>
      <c r="I32" s="1040"/>
      <c r="J32" s="1041"/>
    </row>
    <row r="33" spans="1:10" ht="41" hidden="1" outlineLevel="1" x14ac:dyDescent="0.35">
      <c r="A33" s="720" t="s">
        <v>2382</v>
      </c>
      <c r="B33" s="710"/>
      <c r="C33" s="713"/>
      <c r="D33" s="711">
        <f>9.161718+4.907118</f>
        <v>14.068836000000001</v>
      </c>
      <c r="E33" s="711">
        <v>14.068836000000001</v>
      </c>
      <c r="F33" s="712">
        <v>5.5182758200000004</v>
      </c>
      <c r="G33" s="712"/>
      <c r="H33" s="712"/>
      <c r="I33" s="711"/>
      <c r="J33" s="854"/>
    </row>
    <row r="34" spans="1:10" ht="20.5" hidden="1" outlineLevel="1" x14ac:dyDescent="0.35">
      <c r="A34" s="720" t="s">
        <v>2204</v>
      </c>
      <c r="B34" s="710"/>
      <c r="C34" s="713"/>
      <c r="D34" s="711">
        <v>44.250390000000003</v>
      </c>
      <c r="E34" s="711">
        <v>43.84</v>
      </c>
      <c r="F34" s="712">
        <v>43.84920752</v>
      </c>
      <c r="G34" s="712"/>
      <c r="H34" s="712"/>
      <c r="I34" s="713"/>
      <c r="J34" s="854"/>
    </row>
    <row r="35" spans="1:10" ht="20.5" hidden="1" outlineLevel="1" x14ac:dyDescent="0.35">
      <c r="A35" s="720" t="s">
        <v>2205</v>
      </c>
      <c r="B35" s="710"/>
      <c r="C35" s="713"/>
      <c r="D35" s="711">
        <v>81.121153000000007</v>
      </c>
      <c r="E35" s="711">
        <v>80.98</v>
      </c>
      <c r="F35" s="712">
        <v>81.042139000000006</v>
      </c>
      <c r="G35" s="712"/>
      <c r="H35" s="712"/>
      <c r="I35" s="711">
        <v>6.2343999999999997E-2</v>
      </c>
      <c r="J35" s="854"/>
    </row>
    <row r="36" spans="1:10" ht="41" hidden="1" outlineLevel="1" x14ac:dyDescent="0.35">
      <c r="A36" s="720" t="s">
        <v>2206</v>
      </c>
      <c r="B36" s="710"/>
      <c r="C36" s="710"/>
      <c r="D36" s="721">
        <v>6.7200000000000003E-3</v>
      </c>
      <c r="E36" s="853">
        <v>2.48E-3</v>
      </c>
      <c r="F36" s="853">
        <v>2E-3</v>
      </c>
      <c r="G36" s="853"/>
      <c r="H36" s="853"/>
      <c r="I36" s="710"/>
      <c r="J36" s="854"/>
    </row>
    <row r="37" spans="1:10" ht="20" hidden="1" outlineLevel="1" x14ac:dyDescent="0.35">
      <c r="A37" s="1033" t="s">
        <v>2312</v>
      </c>
      <c r="B37" s="1034"/>
      <c r="C37" s="1034"/>
      <c r="D37" s="1034"/>
      <c r="E37" s="1034"/>
      <c r="F37" s="1034"/>
      <c r="G37" s="1034"/>
      <c r="H37" s="1034"/>
      <c r="I37" s="1034"/>
      <c r="J37" s="1035"/>
    </row>
    <row r="38" spans="1:10" ht="41.5" hidden="1" customHeight="1" outlineLevel="1" x14ac:dyDescent="0.35">
      <c r="A38" s="720" t="s">
        <v>2335</v>
      </c>
      <c r="B38" s="710"/>
      <c r="C38" s="713"/>
      <c r="D38" s="854"/>
      <c r="E38" s="854"/>
      <c r="F38" s="854"/>
      <c r="G38" s="715">
        <f>14.721354</f>
        <v>14.721354</v>
      </c>
      <c r="H38" s="715">
        <v>13.7</v>
      </c>
      <c r="I38" s="717">
        <v>13.68</v>
      </c>
      <c r="J38" s="854"/>
    </row>
    <row r="39" spans="1:10" ht="20.5" hidden="1" outlineLevel="1" x14ac:dyDescent="0.35">
      <c r="A39" s="720" t="s">
        <v>2381</v>
      </c>
      <c r="B39" s="722"/>
      <c r="C39" s="722"/>
      <c r="D39" s="715">
        <f>26.065366*2</f>
        <v>52.130732000000002</v>
      </c>
      <c r="E39" s="715">
        <v>90.832446000000004</v>
      </c>
      <c r="F39" s="715">
        <v>91.4</v>
      </c>
      <c r="G39" s="710"/>
      <c r="H39" s="710"/>
      <c r="I39" s="710"/>
      <c r="J39" s="854"/>
    </row>
    <row r="40" spans="1:10" ht="20.5" hidden="1" outlineLevel="1" x14ac:dyDescent="0.35">
      <c r="A40" s="720" t="s">
        <v>2207</v>
      </c>
      <c r="B40" s="722"/>
      <c r="C40" s="722"/>
      <c r="D40" s="715">
        <f>0.2828</f>
        <v>0.2828</v>
      </c>
      <c r="E40" s="715">
        <v>0.2828</v>
      </c>
      <c r="F40" s="715">
        <v>0.28000000000000003</v>
      </c>
      <c r="G40" s="710"/>
      <c r="H40" s="710"/>
      <c r="I40" s="710"/>
      <c r="J40" s="854"/>
    </row>
    <row r="41" spans="1:10" ht="41" hidden="1" outlineLevel="1" x14ac:dyDescent="0.35">
      <c r="A41" s="720" t="s">
        <v>2208</v>
      </c>
      <c r="B41" s="710"/>
      <c r="C41" s="710"/>
      <c r="D41" s="715">
        <f>23.086981</f>
        <v>23.086981000000002</v>
      </c>
      <c r="E41" s="715">
        <v>23.086981000000002</v>
      </c>
      <c r="F41" s="717">
        <v>18.340039999999998</v>
      </c>
      <c r="G41" s="715">
        <f>59.888748</f>
        <v>59.888748</v>
      </c>
      <c r="H41" s="715">
        <v>47</v>
      </c>
      <c r="I41" s="717">
        <v>46.96</v>
      </c>
      <c r="J41" s="965"/>
    </row>
    <row r="42" spans="1:10" ht="41" hidden="1" outlineLevel="1" x14ac:dyDescent="0.35">
      <c r="A42" s="720" t="s">
        <v>2209</v>
      </c>
      <c r="B42" s="710"/>
      <c r="C42" s="710"/>
      <c r="D42" s="853">
        <f>0.0012</f>
        <v>1.1999999999999999E-3</v>
      </c>
      <c r="E42" s="853">
        <v>1.1999999999999999E-3</v>
      </c>
      <c r="F42" s="853">
        <v>1E-3</v>
      </c>
      <c r="G42" s="715">
        <f>0.003001</f>
        <v>3.0010000000000002E-3</v>
      </c>
      <c r="H42" s="715"/>
      <c r="I42" s="715"/>
      <c r="J42" s="854"/>
    </row>
    <row r="43" spans="1:10" ht="20" collapsed="1" x14ac:dyDescent="0.35">
      <c r="A43" s="781" t="s">
        <v>2387</v>
      </c>
      <c r="B43" s="782">
        <v>0</v>
      </c>
      <c r="C43" s="782">
        <v>0</v>
      </c>
      <c r="D43" s="782">
        <v>0</v>
      </c>
      <c r="E43" s="782">
        <v>0</v>
      </c>
      <c r="F43" s="782">
        <v>0</v>
      </c>
      <c r="G43" s="782">
        <v>30.47</v>
      </c>
      <c r="H43" s="782">
        <v>30.5</v>
      </c>
      <c r="I43" s="782">
        <v>30.5</v>
      </c>
      <c r="J43" s="782">
        <v>0</v>
      </c>
    </row>
    <row r="44" spans="1:10" ht="20" x14ac:dyDescent="0.35">
      <c r="A44" s="781" t="s">
        <v>2315</v>
      </c>
      <c r="B44" s="782">
        <v>0</v>
      </c>
      <c r="C44" s="782">
        <v>0</v>
      </c>
      <c r="D44" s="782">
        <v>50</v>
      </c>
      <c r="E44" s="782">
        <v>24.5</v>
      </c>
      <c r="F44" s="942">
        <v>23.547431320000001</v>
      </c>
      <c r="G44" s="782">
        <v>0</v>
      </c>
      <c r="H44" s="782">
        <v>0</v>
      </c>
      <c r="I44" s="782">
        <v>0</v>
      </c>
      <c r="J44" s="782">
        <v>0</v>
      </c>
    </row>
    <row r="45" spans="1:10" ht="20" x14ac:dyDescent="0.35">
      <c r="A45" s="781" t="s">
        <v>2386</v>
      </c>
      <c r="B45" s="782">
        <v>0</v>
      </c>
      <c r="C45" s="782">
        <v>0</v>
      </c>
      <c r="D45" s="782">
        <v>0</v>
      </c>
      <c r="E45" s="782">
        <v>0</v>
      </c>
      <c r="F45" s="942">
        <v>0</v>
      </c>
      <c r="G45" s="782">
        <v>0</v>
      </c>
      <c r="H45" s="782">
        <v>30</v>
      </c>
      <c r="I45" s="782">
        <v>0</v>
      </c>
      <c r="J45" s="782">
        <v>50</v>
      </c>
    </row>
    <row r="46" spans="1:10" ht="20.5" x14ac:dyDescent="0.35">
      <c r="A46" s="723"/>
      <c r="B46" s="724"/>
      <c r="C46" s="725"/>
      <c r="D46" s="726"/>
      <c r="E46" s="726"/>
      <c r="F46" s="726"/>
      <c r="G46" s="726"/>
      <c r="H46" s="726"/>
      <c r="I46" s="727"/>
    </row>
    <row r="47" spans="1:10" ht="40.5" customHeight="1" x14ac:dyDescent="0.35">
      <c r="A47" s="1026" t="s">
        <v>2323</v>
      </c>
      <c r="B47" s="1027"/>
      <c r="C47" s="1027"/>
      <c r="D47" s="1027"/>
      <c r="E47" s="1027"/>
      <c r="F47" s="1027"/>
      <c r="G47" s="1027"/>
      <c r="H47" s="1027"/>
      <c r="I47" s="1027"/>
    </row>
    <row r="48" spans="1:10" ht="20.5" x14ac:dyDescent="0.35">
      <c r="A48" s="1025" t="s">
        <v>2380</v>
      </c>
      <c r="B48" s="1025"/>
      <c r="C48" s="1025"/>
      <c r="D48" s="1025"/>
      <c r="E48" s="1025"/>
      <c r="F48" s="1025"/>
      <c r="G48" s="1025"/>
      <c r="H48" s="1025"/>
      <c r="I48" s="1025"/>
    </row>
    <row r="49" spans="1:10" ht="20.5" x14ac:dyDescent="0.35">
      <c r="A49" s="723" t="s">
        <v>2383</v>
      </c>
      <c r="B49" s="723"/>
      <c r="C49" s="723"/>
      <c r="D49" s="723"/>
      <c r="E49" s="723"/>
      <c r="F49" s="723"/>
      <c r="G49" s="723"/>
      <c r="H49" s="1000"/>
      <c r="I49" s="723"/>
    </row>
    <row r="50" spans="1:10" ht="20.5" x14ac:dyDescent="0.35">
      <c r="A50" s="723" t="s">
        <v>2384</v>
      </c>
      <c r="B50" s="723"/>
      <c r="C50" s="723"/>
      <c r="D50" s="723"/>
      <c r="E50" s="723"/>
      <c r="F50" s="723"/>
      <c r="G50" s="723"/>
      <c r="H50" s="723"/>
      <c r="I50" s="723"/>
    </row>
    <row r="51" spans="1:10" ht="40" customHeight="1" x14ac:dyDescent="0.35">
      <c r="A51" s="1025" t="s">
        <v>2385</v>
      </c>
      <c r="B51" s="1025"/>
      <c r="C51" s="1025"/>
      <c r="D51" s="1025"/>
      <c r="E51" s="1025"/>
      <c r="F51" s="1025"/>
      <c r="G51" s="1025"/>
      <c r="H51" s="1025"/>
      <c r="I51" s="1025"/>
      <c r="J51" s="1025"/>
    </row>
  </sheetData>
  <mergeCells count="11">
    <mergeCell ref="A51:J51"/>
    <mergeCell ref="A48:I48"/>
    <mergeCell ref="A47:I47"/>
    <mergeCell ref="A4:A5"/>
    <mergeCell ref="B4:C4"/>
    <mergeCell ref="D4:F4"/>
    <mergeCell ref="G4:I4"/>
    <mergeCell ref="A37:J37"/>
    <mergeCell ref="A8:J8"/>
    <mergeCell ref="A15:J15"/>
    <mergeCell ref="A32:J32"/>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1EFF-C0DD-4F00-A708-3477E67DCE92}">
  <sheetPr>
    <tabColor rgb="FF00B0F0"/>
  </sheetPr>
  <dimension ref="A1:F21"/>
  <sheetViews>
    <sheetView zoomScale="90" zoomScaleNormal="90" workbookViewId="0">
      <selection activeCell="I8" sqref="I8"/>
    </sheetView>
  </sheetViews>
  <sheetFormatPr defaultColWidth="8.7265625" defaultRowHeight="14" outlineLevelCol="1" x14ac:dyDescent="0.3"/>
  <cols>
    <col min="1" max="1" width="71" style="702" customWidth="1"/>
    <col min="2" max="2" width="12.54296875" style="702" hidden="1" customWidth="1" outlineLevel="1"/>
    <col min="3" max="3" width="10.453125" style="702" customWidth="1" collapsed="1"/>
    <col min="4" max="4" width="10.453125" style="702" customWidth="1"/>
    <col min="5" max="5" width="12.1796875" style="702" customWidth="1"/>
    <col min="6" max="6" width="10.453125" style="702" customWidth="1"/>
    <col min="7" max="7" width="8.7265625" style="702" customWidth="1"/>
    <col min="8" max="16384" width="8.7265625" style="702"/>
  </cols>
  <sheetData>
    <row r="1" spans="1:6" ht="15.5" x14ac:dyDescent="0.35">
      <c r="B1" s="728"/>
      <c r="C1" s="729"/>
      <c r="D1" s="729"/>
      <c r="E1" s="728"/>
    </row>
    <row r="2" spans="1:6" ht="17.5" x14ac:dyDescent="0.35">
      <c r="A2" s="531" t="s">
        <v>2325</v>
      </c>
      <c r="B2" s="775"/>
      <c r="C2" s="786"/>
      <c r="D2" s="786"/>
      <c r="E2" s="775"/>
    </row>
    <row r="4" spans="1:6" ht="14.5" customHeight="1" x14ac:dyDescent="0.3">
      <c r="B4" s="1044">
        <v>2022</v>
      </c>
      <c r="C4" s="1044"/>
      <c r="D4" s="1045">
        <v>2023</v>
      </c>
      <c r="E4" s="1046"/>
      <c r="F4" s="964">
        <v>2024</v>
      </c>
    </row>
    <row r="5" spans="1:6" ht="28" x14ac:dyDescent="0.3">
      <c r="B5" s="787" t="s">
        <v>523</v>
      </c>
      <c r="C5" s="787" t="s">
        <v>1950</v>
      </c>
      <c r="D5" s="787" t="s">
        <v>523</v>
      </c>
      <c r="E5" s="787" t="s">
        <v>2375</v>
      </c>
      <c r="F5" s="787" t="s">
        <v>523</v>
      </c>
    </row>
    <row r="6" spans="1:6" x14ac:dyDescent="0.3">
      <c r="A6" s="731" t="s">
        <v>2212</v>
      </c>
      <c r="B6" s="732">
        <f>7.15112+0.55964</f>
        <v>7.7107599999999996</v>
      </c>
      <c r="C6" s="732">
        <f>5+1.92+0.223078+0.55964</f>
        <v>7.702718</v>
      </c>
      <c r="D6" s="732" t="s">
        <v>2359</v>
      </c>
      <c r="E6" s="941">
        <v>10</v>
      </c>
      <c r="F6" s="732" t="s">
        <v>2359</v>
      </c>
    </row>
    <row r="7" spans="1:6" x14ac:dyDescent="0.3">
      <c r="A7" s="731" t="s">
        <v>2360</v>
      </c>
      <c r="B7" s="732">
        <f>54.780086</f>
        <v>54.780085999999997</v>
      </c>
      <c r="C7" s="943">
        <f>0.000038+2.40099+8.415621+11.659904+9.199773+6.4157+4.350925+3.827012+3.526692+3.564886+3.409845</f>
        <v>56.771385999999985</v>
      </c>
      <c r="D7" s="732" t="s">
        <v>2359</v>
      </c>
      <c r="E7" s="941">
        <f>2.839865+3.288916+3.33439+3.018305+2.770648+2.260746+2.114704+2.060038+1.917717+1.785242+1.865248+1.61155</f>
        <v>28.867369</v>
      </c>
      <c r="F7" s="732" t="s">
        <v>2359</v>
      </c>
    </row>
    <row r="8" spans="1:6" x14ac:dyDescent="0.3">
      <c r="A8" s="731" t="s">
        <v>2363</v>
      </c>
      <c r="B8" s="789">
        <f>12.065204+0.009771+0.045738+0.200165+0.0237+1.159065+2.409722+0.567954+0.030797+0.408476</f>
        <v>16.920591999999999</v>
      </c>
      <c r="C8" s="941">
        <v>16.536028000000002</v>
      </c>
      <c r="D8" s="789" t="s">
        <v>2359</v>
      </c>
      <c r="E8" s="963">
        <v>29.000039999999998</v>
      </c>
      <c r="F8" s="789" t="s">
        <v>2359</v>
      </c>
    </row>
    <row r="9" spans="1:6" x14ac:dyDescent="0.3">
      <c r="A9" s="734" t="s">
        <v>415</v>
      </c>
      <c r="B9" s="735">
        <f>B6+B7+B8</f>
        <v>79.411438000000004</v>
      </c>
      <c r="C9" s="735">
        <f>SUM(C6:C8)</f>
        <v>81.010131999999984</v>
      </c>
      <c r="D9" s="735">
        <v>102</v>
      </c>
      <c r="E9" s="735">
        <f>E6+E7+E8</f>
        <v>67.867408999999995</v>
      </c>
      <c r="F9" s="735">
        <v>70</v>
      </c>
    </row>
    <row r="10" spans="1:6" x14ac:dyDescent="0.3">
      <c r="B10" s="736"/>
      <c r="E10" s="736"/>
    </row>
    <row r="11" spans="1:6" ht="12.65" customHeight="1" x14ac:dyDescent="0.3">
      <c r="A11" s="1042" t="s">
        <v>2364</v>
      </c>
      <c r="B11" s="1043"/>
      <c r="C11" s="1043"/>
      <c r="D11" s="825"/>
      <c r="E11" s="825"/>
    </row>
    <row r="15" spans="1:6" x14ac:dyDescent="0.3">
      <c r="B15" s="737"/>
      <c r="C15" s="730"/>
      <c r="D15" s="730"/>
      <c r="E15" s="737"/>
    </row>
    <row r="16" spans="1:6" x14ac:dyDescent="0.3">
      <c r="B16" s="730"/>
      <c r="C16" s="738"/>
      <c r="D16" s="738"/>
      <c r="E16" s="730"/>
    </row>
    <row r="17" spans="2:5" x14ac:dyDescent="0.3">
      <c r="B17" s="739"/>
      <c r="C17" s="740"/>
      <c r="D17" s="740"/>
      <c r="E17" s="739"/>
    </row>
    <row r="18" spans="2:5" x14ac:dyDescent="0.3">
      <c r="B18" s="739"/>
      <c r="C18" s="741"/>
      <c r="D18" s="741"/>
      <c r="E18" s="739"/>
    </row>
    <row r="19" spans="2:5" x14ac:dyDescent="0.3">
      <c r="B19" s="739"/>
      <c r="C19" s="740"/>
      <c r="D19" s="740"/>
      <c r="E19" s="739"/>
    </row>
    <row r="20" spans="2:5" x14ac:dyDescent="0.3">
      <c r="B20" s="739"/>
      <c r="C20" s="740"/>
      <c r="D20" s="740"/>
      <c r="E20" s="739"/>
    </row>
    <row r="21" spans="2:5" x14ac:dyDescent="0.3">
      <c r="B21" s="730"/>
      <c r="C21" s="742"/>
      <c r="D21" s="742"/>
      <c r="E21" s="730"/>
    </row>
  </sheetData>
  <mergeCells count="3">
    <mergeCell ref="A11:C11"/>
    <mergeCell ref="B4:C4"/>
    <mergeCell ref="D4:E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P37"/>
  <sheetViews>
    <sheetView zoomScale="70" zoomScaleNormal="70" workbookViewId="0">
      <selection activeCell="P18" sqref="P18"/>
    </sheetView>
  </sheetViews>
  <sheetFormatPr defaultColWidth="8.7265625" defaultRowHeight="14" x14ac:dyDescent="0.3"/>
  <cols>
    <col min="1" max="1" width="8.7265625" style="702"/>
    <col min="2" max="6" width="13.7265625" style="702" customWidth="1"/>
    <col min="7" max="8" width="15" style="702" customWidth="1"/>
    <col min="9" max="9" width="8.7265625" style="702"/>
    <col min="10" max="16" width="15.54296875" style="702" customWidth="1"/>
    <col min="17" max="16384" width="8.7265625" style="702"/>
  </cols>
  <sheetData>
    <row r="2" spans="2:16" ht="17.5" x14ac:dyDescent="0.35">
      <c r="B2" s="531" t="s">
        <v>2213</v>
      </c>
      <c r="J2" s="531" t="s">
        <v>2214</v>
      </c>
    </row>
    <row r="3" spans="2:16" ht="14.5" customHeight="1" x14ac:dyDescent="0.3">
      <c r="B3" s="743"/>
      <c r="C3" s="744">
        <v>2020</v>
      </c>
      <c r="D3" s="744">
        <v>2021</v>
      </c>
      <c r="E3" s="748">
        <v>2022</v>
      </c>
      <c r="F3" s="1047">
        <v>2023</v>
      </c>
      <c r="G3" s="1048"/>
      <c r="H3" s="744">
        <v>2024</v>
      </c>
      <c r="J3" s="743"/>
      <c r="K3" s="744">
        <v>2020</v>
      </c>
      <c r="L3" s="744">
        <v>2021</v>
      </c>
      <c r="M3" s="744">
        <v>2022</v>
      </c>
      <c r="N3" s="1047">
        <v>2023</v>
      </c>
      <c r="O3" s="1048"/>
      <c r="P3" s="744">
        <v>2024</v>
      </c>
    </row>
    <row r="4" spans="2:16" ht="28" x14ac:dyDescent="0.3">
      <c r="B4" s="745"/>
      <c r="C4" s="746" t="s">
        <v>1978</v>
      </c>
      <c r="D4" s="746" t="s">
        <v>1978</v>
      </c>
      <c r="E4" s="746" t="s">
        <v>1978</v>
      </c>
      <c r="F4" s="747" t="s">
        <v>739</v>
      </c>
      <c r="G4" s="959" t="s">
        <v>2377</v>
      </c>
      <c r="H4" s="747" t="s">
        <v>739</v>
      </c>
      <c r="J4" s="745"/>
      <c r="K4" s="744" t="str">
        <f>C4</f>
        <v>Execution</v>
      </c>
      <c r="L4" s="744" t="str">
        <f>D4</f>
        <v>Execution</v>
      </c>
      <c r="M4" s="744" t="str">
        <f>E4</f>
        <v>Execution</v>
      </c>
      <c r="N4" s="748" t="s">
        <v>2251</v>
      </c>
      <c r="O4" s="748" t="s">
        <v>2377</v>
      </c>
      <c r="P4" s="747" t="s">
        <v>739</v>
      </c>
    </row>
    <row r="5" spans="2:16" ht="22" customHeight="1" x14ac:dyDescent="0.3">
      <c r="B5" s="749" t="s">
        <v>2215</v>
      </c>
      <c r="C5" s="750">
        <f>KOPĀ!C6</f>
        <v>1281.6858186900001</v>
      </c>
      <c r="D5" s="750">
        <f>KOPĀ!D6</f>
        <v>2315.1273903029</v>
      </c>
      <c r="E5" s="750">
        <f>KOPĀ!E6</f>
        <v>965.88075563999985</v>
      </c>
      <c r="F5" s="750">
        <f>KOPĀ!F6</f>
        <v>100.80846314999999</v>
      </c>
      <c r="G5" s="751">
        <f>KOPĀ!G6</f>
        <v>76.778956999999991</v>
      </c>
      <c r="H5" s="751">
        <f>KOPĀ!H6</f>
        <v>18.330508000000002</v>
      </c>
      <c r="J5" s="749" t="str">
        <f>B5</f>
        <v>Covid-19</v>
      </c>
      <c r="K5" s="750">
        <f>KOPĀ!K6</f>
        <v>-960.77715680799997</v>
      </c>
      <c r="L5" s="750">
        <f>KOPĀ!L6</f>
        <v>-2102.778497035446</v>
      </c>
      <c r="M5" s="750">
        <f>KOPĀ!M6</f>
        <v>-796.40862290312305</v>
      </c>
      <c r="N5" s="750">
        <f>KOPĀ!N6</f>
        <v>-132.69533600087681</v>
      </c>
      <c r="O5" s="751">
        <f>KOPĀ!O6</f>
        <v>-95.31057365769999</v>
      </c>
      <c r="P5" s="751">
        <f>KOPĀ!P6</f>
        <v>-18.664673999999998</v>
      </c>
    </row>
    <row r="6" spans="2:16" ht="21" customHeight="1" x14ac:dyDescent="0.3">
      <c r="B6" s="752"/>
      <c r="C6" s="753">
        <f t="shared" ref="C6:H6" si="0">C5/C13</f>
        <v>4.2567543009901676E-2</v>
      </c>
      <c r="D6" s="753">
        <f t="shared" si="0"/>
        <v>6.9421335301019529E-2</v>
      </c>
      <c r="E6" s="754">
        <f t="shared" si="0"/>
        <v>2.4848985332349128E-2</v>
      </c>
      <c r="F6" s="754">
        <f t="shared" si="0"/>
        <v>2.4797023551726342E-3</v>
      </c>
      <c r="G6" s="755">
        <f t="shared" si="0"/>
        <v>1.8886208017803554E-3</v>
      </c>
      <c r="H6" s="755"/>
      <c r="J6" s="752"/>
      <c r="K6" s="753">
        <f t="shared" ref="K6:P6" si="1">K5/K13</f>
        <v>-3.190947605799134E-2</v>
      </c>
      <c r="L6" s="753">
        <f t="shared" si="1"/>
        <v>-6.3053848232244622E-2</v>
      </c>
      <c r="M6" s="754">
        <f t="shared" si="1"/>
        <v>-2.0489015930297838E-2</v>
      </c>
      <c r="N6" s="754">
        <f t="shared" si="1"/>
        <v>-3.2640606445134392E-3</v>
      </c>
      <c r="O6" s="755">
        <f t="shared" si="1"/>
        <v>-2.3444644089076513E-3</v>
      </c>
      <c r="P6" s="755"/>
    </row>
    <row r="7" spans="2:16" x14ac:dyDescent="0.3">
      <c r="B7" s="749" t="s">
        <v>2255</v>
      </c>
      <c r="C7" s="756"/>
      <c r="D7" s="757">
        <f>KOPĀ!D8</f>
        <v>1.8805700000000001</v>
      </c>
      <c r="E7" s="750">
        <f>KOPĀ!E8</f>
        <v>603.54405190000011</v>
      </c>
      <c r="F7" s="750">
        <f>KOPĀ!F8</f>
        <v>652.03893900000003</v>
      </c>
      <c r="G7" s="751">
        <f>KOPĀ!G8</f>
        <v>454.44529630999995</v>
      </c>
      <c r="H7" s="751">
        <f>KOPĀ!H8</f>
        <v>50</v>
      </c>
      <c r="J7" s="749" t="s">
        <v>2255</v>
      </c>
      <c r="K7" s="756"/>
      <c r="L7" s="757">
        <f>KOPĀ!L8</f>
        <v>-1.8805700000000001</v>
      </c>
      <c r="M7" s="750">
        <f>KOPĀ!M8</f>
        <v>-603.54405190000011</v>
      </c>
      <c r="N7" s="750">
        <f>KOPĀ!N8</f>
        <v>-465.7</v>
      </c>
      <c r="O7" s="751">
        <f>KOPĀ!O8</f>
        <v>-435.94529630999995</v>
      </c>
      <c r="P7" s="751">
        <f>KOPĀ!P8</f>
        <v>0</v>
      </c>
    </row>
    <row r="8" spans="2:16" x14ac:dyDescent="0.3">
      <c r="B8" s="752"/>
      <c r="C8" s="758"/>
      <c r="D8" s="753">
        <f>D7/D13</f>
        <v>5.6390711402691998E-5</v>
      </c>
      <c r="E8" s="754">
        <f>E7/E13</f>
        <v>1.5527234811870991E-2</v>
      </c>
      <c r="F8" s="754">
        <f>F7/F13</f>
        <v>1.6038955879098388E-2</v>
      </c>
      <c r="G8" s="755">
        <f>G7/G13</f>
        <v>1.1178516528718973E-2</v>
      </c>
      <c r="H8" s="755"/>
      <c r="J8" s="752"/>
      <c r="K8" s="758"/>
      <c r="L8" s="753">
        <f>L7/L13</f>
        <v>-5.6390711402691998E-5</v>
      </c>
      <c r="M8" s="754">
        <f>M7/M13</f>
        <v>-1.5527234811870991E-2</v>
      </c>
      <c r="N8" s="754">
        <f>N7/N13</f>
        <v>-1.1455361491679439E-2</v>
      </c>
      <c r="O8" s="755">
        <f>O7/O13</f>
        <v>-1.0723450633086442E-2</v>
      </c>
      <c r="P8" s="755"/>
    </row>
    <row r="9" spans="2:16" x14ac:dyDescent="0.3">
      <c r="B9" s="749" t="s">
        <v>2216</v>
      </c>
      <c r="C9" s="759"/>
      <c r="D9" s="759"/>
      <c r="E9" s="750">
        <f>KOPĀ!E10</f>
        <v>81.010131999999984</v>
      </c>
      <c r="F9" s="750">
        <f>KOPĀ!F10</f>
        <v>102</v>
      </c>
      <c r="G9" s="750">
        <f>KOPĀ!G10</f>
        <v>67.867408999999995</v>
      </c>
      <c r="H9" s="750">
        <f>KOPĀ!H10</f>
        <v>70</v>
      </c>
      <c r="J9" s="749" t="str">
        <f>B9</f>
        <v>Ukraine</v>
      </c>
      <c r="K9" s="759"/>
      <c r="L9" s="759"/>
      <c r="M9" s="750">
        <f>KOPĀ!M10</f>
        <v>-81.010131999999984</v>
      </c>
      <c r="N9" s="750">
        <f>KOPĀ!N10</f>
        <v>-72</v>
      </c>
      <c r="O9" s="750">
        <f>KOPĀ!O10</f>
        <v>-67.867408999999995</v>
      </c>
      <c r="P9" s="750">
        <f>KOPĀ!P10</f>
        <v>-70</v>
      </c>
    </row>
    <row r="10" spans="2:16" x14ac:dyDescent="0.3">
      <c r="B10" s="760"/>
      <c r="C10" s="758"/>
      <c r="D10" s="758"/>
      <c r="E10" s="754">
        <f>E9/E13</f>
        <v>2.0841284703988377E-3</v>
      </c>
      <c r="F10" s="754">
        <f>F9/F13</f>
        <v>2.5090119651090892E-3</v>
      </c>
      <c r="G10" s="754">
        <f>G9/G13</f>
        <v>1.6694131492348261E-3</v>
      </c>
      <c r="H10" s="754"/>
      <c r="J10" s="760"/>
      <c r="K10" s="758"/>
      <c r="L10" s="758"/>
      <c r="M10" s="754">
        <f>M9/M13</f>
        <v>-2.0841284703988377E-3</v>
      </c>
      <c r="N10" s="754">
        <f>N9/N13</f>
        <v>-1.7710672694887688E-3</v>
      </c>
      <c r="O10" s="754">
        <f>O9/O13</f>
        <v>-1.6694131492348261E-3</v>
      </c>
      <c r="P10" s="754"/>
    </row>
    <row r="11" spans="2:16" ht="15" x14ac:dyDescent="0.3">
      <c r="B11" s="761" t="s">
        <v>306</v>
      </c>
      <c r="C11" s="762">
        <f t="shared" ref="C11:H11" si="2">C5+C7+C9</f>
        <v>1281.6858186900001</v>
      </c>
      <c r="D11" s="762">
        <f t="shared" si="2"/>
        <v>2317.0079603028998</v>
      </c>
      <c r="E11" s="763">
        <f t="shared" si="2"/>
        <v>1650.43493954</v>
      </c>
      <c r="F11" s="763">
        <f t="shared" si="2"/>
        <v>854.84740214999999</v>
      </c>
      <c r="G11" s="764">
        <f t="shared" si="2"/>
        <v>599.09166230999995</v>
      </c>
      <c r="H11" s="764">
        <f t="shared" si="2"/>
        <v>138.33050800000001</v>
      </c>
      <c r="J11" s="761" t="str">
        <f>B11</f>
        <v>TOTAL</v>
      </c>
      <c r="K11" s="762">
        <f t="shared" ref="K11:P11" si="3">K5+K7+K9</f>
        <v>-960.77715680799997</v>
      </c>
      <c r="L11" s="762">
        <f t="shared" si="3"/>
        <v>-2104.6590670354458</v>
      </c>
      <c r="M11" s="763">
        <f t="shared" si="3"/>
        <v>-1480.9628068031229</v>
      </c>
      <c r="N11" s="763">
        <f t="shared" si="3"/>
        <v>-670.3953360008768</v>
      </c>
      <c r="O11" s="764">
        <f t="shared" si="3"/>
        <v>-599.12327896769989</v>
      </c>
      <c r="P11" s="764">
        <f t="shared" si="3"/>
        <v>-88.664673999999991</v>
      </c>
    </row>
    <row r="12" spans="2:16" ht="15.5" x14ac:dyDescent="0.3">
      <c r="B12" s="765" t="s">
        <v>307</v>
      </c>
      <c r="C12" s="766">
        <f t="shared" ref="C12:H12" si="4">C11/C13</f>
        <v>4.2567543009901676E-2</v>
      </c>
      <c r="D12" s="766">
        <f t="shared" si="4"/>
        <v>6.947772601242222E-2</v>
      </c>
      <c r="E12" s="766">
        <f t="shared" si="4"/>
        <v>4.2460348614618955E-2</v>
      </c>
      <c r="F12" s="766">
        <f t="shared" si="4"/>
        <v>2.1027670199380111E-2</v>
      </c>
      <c r="G12" s="767">
        <f t="shared" si="4"/>
        <v>1.4736550479734154E-2</v>
      </c>
      <c r="H12" s="767"/>
      <c r="J12" s="765" t="str">
        <f>B12</f>
        <v>% of GDP</v>
      </c>
      <c r="K12" s="766">
        <f t="shared" ref="K12:P12" si="5">K11/K13</f>
        <v>-3.190947605799134E-2</v>
      </c>
      <c r="L12" s="766">
        <f t="shared" si="5"/>
        <v>-6.3110238943647298E-2</v>
      </c>
      <c r="M12" s="766">
        <f t="shared" si="5"/>
        <v>-3.8100379212567662E-2</v>
      </c>
      <c r="N12" s="766">
        <f t="shared" si="5"/>
        <v>-1.6490489405681649E-2</v>
      </c>
      <c r="O12" s="767">
        <f t="shared" si="5"/>
        <v>-1.4737328191228919E-2</v>
      </c>
      <c r="P12" s="767"/>
    </row>
    <row r="13" spans="2:16" x14ac:dyDescent="0.3">
      <c r="B13" s="768" t="s">
        <v>2217</v>
      </c>
      <c r="C13" s="783">
        <f>KOPĀ!C14</f>
        <v>30109.462</v>
      </c>
      <c r="D13" s="783">
        <f>KOPĀ!D14</f>
        <v>33348.932000000001</v>
      </c>
      <c r="E13" s="783">
        <f>KOPĀ!E14</f>
        <v>38870.027999999998</v>
      </c>
      <c r="F13" s="783">
        <f>KOPĀ!F14</f>
        <v>40653.453000000001</v>
      </c>
      <c r="G13" s="1430">
        <f>KOPĀ!G14</f>
        <v>40653.453000000001</v>
      </c>
      <c r="H13" s="783"/>
      <c r="J13" s="768" t="str">
        <f>B13</f>
        <v>GDP</v>
      </c>
      <c r="K13" s="783">
        <f>C13</f>
        <v>30109.462</v>
      </c>
      <c r="L13" s="783">
        <f t="shared" ref="L13:P13" si="6">D13</f>
        <v>33348.932000000001</v>
      </c>
      <c r="M13" s="783">
        <f t="shared" si="6"/>
        <v>38870.027999999998</v>
      </c>
      <c r="N13" s="783">
        <f t="shared" si="6"/>
        <v>40653.453000000001</v>
      </c>
      <c r="O13" s="1430">
        <f t="shared" si="6"/>
        <v>40653.453000000001</v>
      </c>
      <c r="P13" s="783"/>
    </row>
    <row r="36" ht="26.5" customHeight="1" x14ac:dyDescent="0.3"/>
    <row r="37" ht="37.5" customHeight="1" x14ac:dyDescent="0.3"/>
  </sheetData>
  <mergeCells count="2">
    <mergeCell ref="F3:G3"/>
    <mergeCell ref="N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0D4DC-0333-4A45-A5D1-1F87A77278BE}">
  <sheetPr>
    <tabColor rgb="FF00B050"/>
  </sheetPr>
  <dimension ref="A1:M40"/>
  <sheetViews>
    <sheetView zoomScale="60" zoomScaleNormal="60" workbookViewId="0">
      <selection activeCell="E19" sqref="E19"/>
    </sheetView>
  </sheetViews>
  <sheetFormatPr defaultColWidth="8.81640625" defaultRowHeight="14.5" x14ac:dyDescent="0.35"/>
  <cols>
    <col min="1" max="1" width="89.7265625" customWidth="1"/>
    <col min="2" max="5" width="12" customWidth="1"/>
    <col min="6" max="7" width="11.54296875" customWidth="1"/>
    <col min="8" max="8" width="12.26953125" customWidth="1"/>
    <col min="9" max="9" width="12" customWidth="1"/>
    <col min="10" max="10" width="10.7265625" customWidth="1"/>
    <col min="11" max="11" width="15.1796875" customWidth="1"/>
    <col min="12" max="13" width="11.7265625" customWidth="1"/>
  </cols>
  <sheetData>
    <row r="1" spans="1:13" ht="15.5" x14ac:dyDescent="0.35">
      <c r="A1" s="528"/>
      <c r="B1" s="529"/>
      <c r="C1" s="529"/>
      <c r="D1" s="529"/>
      <c r="E1" s="530"/>
      <c r="F1" s="530"/>
      <c r="G1" s="530"/>
      <c r="K1" s="790"/>
    </row>
    <row r="2" spans="1:13" ht="20" x14ac:dyDescent="0.35">
      <c r="A2" s="531" t="s">
        <v>2218</v>
      </c>
      <c r="B2" s="529"/>
      <c r="C2" s="529"/>
      <c r="D2" s="529"/>
      <c r="E2" s="529"/>
      <c r="F2" s="529"/>
      <c r="G2" s="529"/>
    </row>
    <row r="3" spans="1:13" ht="18" thickBot="1" x14ac:dyDescent="0.4">
      <c r="A3" s="531"/>
      <c r="B3" s="529"/>
      <c r="C3" s="529"/>
      <c r="D3" s="529"/>
      <c r="E3" s="529"/>
      <c r="F3" s="529"/>
      <c r="G3" s="529"/>
    </row>
    <row r="4" spans="1:13" ht="16" thickBot="1" x14ac:dyDescent="0.4">
      <c r="A4" s="1016" t="s">
        <v>1760</v>
      </c>
      <c r="B4" s="1049">
        <v>2020</v>
      </c>
      <c r="C4" s="1050"/>
      <c r="D4" s="1049">
        <v>2021</v>
      </c>
      <c r="E4" s="1050"/>
      <c r="F4" s="1053">
        <v>2022</v>
      </c>
      <c r="G4" s="1054"/>
      <c r="H4" s="1053">
        <v>2023</v>
      </c>
      <c r="I4" s="1057"/>
      <c r="J4" s="1057"/>
      <c r="K4" s="1054"/>
      <c r="L4" s="1053">
        <v>2024</v>
      </c>
      <c r="M4" s="1054"/>
    </row>
    <row r="5" spans="1:13" ht="15" x14ac:dyDescent="0.35">
      <c r="A5" s="1017"/>
      <c r="B5" s="1051" t="s">
        <v>1978</v>
      </c>
      <c r="C5" s="1052"/>
      <c r="D5" s="1051" t="s">
        <v>1978</v>
      </c>
      <c r="E5" s="1052"/>
      <c r="F5" s="1051" t="s">
        <v>1978</v>
      </c>
      <c r="G5" s="1052"/>
      <c r="H5" s="1055" t="s">
        <v>739</v>
      </c>
      <c r="I5" s="1056"/>
      <c r="J5" s="1051" t="s">
        <v>1978</v>
      </c>
      <c r="K5" s="1052"/>
      <c r="L5" s="1055" t="s">
        <v>739</v>
      </c>
      <c r="M5" s="1056"/>
    </row>
    <row r="6" spans="1:13" ht="45" x14ac:dyDescent="0.35">
      <c r="A6" s="1018"/>
      <c r="B6" s="525" t="s">
        <v>2219</v>
      </c>
      <c r="C6" s="532" t="s">
        <v>2085</v>
      </c>
      <c r="D6" s="525" t="s">
        <v>2219</v>
      </c>
      <c r="E6" s="532" t="s">
        <v>2085</v>
      </c>
      <c r="F6" s="525" t="s">
        <v>2219</v>
      </c>
      <c r="G6" s="532" t="s">
        <v>2085</v>
      </c>
      <c r="H6" s="525" t="s">
        <v>1761</v>
      </c>
      <c r="I6" s="532" t="s">
        <v>2354</v>
      </c>
      <c r="J6" s="525" t="s">
        <v>2219</v>
      </c>
      <c r="K6" s="532" t="s">
        <v>2354</v>
      </c>
      <c r="L6" s="525" t="s">
        <v>2219</v>
      </c>
      <c r="M6" s="532" t="s">
        <v>2354</v>
      </c>
    </row>
    <row r="7" spans="1:13" ht="15.5" x14ac:dyDescent="0.35">
      <c r="A7" s="549" t="s">
        <v>1762</v>
      </c>
      <c r="B7" s="543">
        <f>'Covid-19'!B7</f>
        <v>1281.6858186900001</v>
      </c>
      <c r="C7" s="544">
        <f>'Covid-19'!C7</f>
        <v>-960.77715680799997</v>
      </c>
      <c r="D7" s="543">
        <f>'Covid-19'!D7</f>
        <v>2315.1273903029</v>
      </c>
      <c r="E7" s="544">
        <f>'Covid-19'!E7</f>
        <v>-2102.778497035446</v>
      </c>
      <c r="F7" s="543">
        <f>'Covid-19'!F7</f>
        <v>965.88075563999985</v>
      </c>
      <c r="G7" s="544">
        <f>'Covid-19'!G7</f>
        <v>-796.40862290312305</v>
      </c>
      <c r="H7" s="543">
        <f>'Covid-19'!H7</f>
        <v>100.80846314999999</v>
      </c>
      <c r="I7" s="544">
        <f>'Covid-19'!I7</f>
        <v>-132.69533600087681</v>
      </c>
      <c r="J7" s="543">
        <f>'Covid-19'!J7</f>
        <v>76.778956999999991</v>
      </c>
      <c r="K7" s="544">
        <f>'Covid-19'!K7</f>
        <v>-95.31057365769999</v>
      </c>
      <c r="L7" s="543">
        <f>'Covid-19'!L7</f>
        <v>18.330508000000002</v>
      </c>
      <c r="M7" s="544">
        <f>'Covid-19'!M7</f>
        <v>-18.664673999999998</v>
      </c>
    </row>
    <row r="8" spans="1:13" ht="15.5" x14ac:dyDescent="0.35">
      <c r="A8" s="551" t="s">
        <v>2220</v>
      </c>
      <c r="B8" s="539">
        <f>'Covid-19'!B8</f>
        <v>252.99299999999999</v>
      </c>
      <c r="C8" s="540">
        <f>'Covid-19'!C8</f>
        <v>-127.12445199999999</v>
      </c>
      <c r="D8" s="539">
        <f>'Covid-19'!D8</f>
        <v>93.55</v>
      </c>
      <c r="E8" s="540">
        <f>'Covid-19'!E8</f>
        <v>-12.759348012</v>
      </c>
      <c r="F8" s="539">
        <f>'Covid-19'!F8</f>
        <v>36.980000000000004</v>
      </c>
      <c r="G8" s="540">
        <f>'Covid-19'!G8</f>
        <v>-5.6758423631231869</v>
      </c>
      <c r="H8" s="539">
        <f>'Covid-19'!H8</f>
        <v>5.5</v>
      </c>
      <c r="I8" s="540">
        <f>'Covid-19'!I8</f>
        <v>-4.9478989008768135</v>
      </c>
      <c r="J8" s="539">
        <f>'Covid-19'!J8</f>
        <v>5.5</v>
      </c>
      <c r="K8" s="540">
        <f>'Covid-19'!K8</f>
        <v>-5.5</v>
      </c>
      <c r="L8" s="539">
        <f>'Covid-19'!L8</f>
        <v>0</v>
      </c>
      <c r="M8" s="540">
        <f>'Covid-19'!M8</f>
        <v>6.3922999999999994E-2</v>
      </c>
    </row>
    <row r="9" spans="1:13" ht="15.5" x14ac:dyDescent="0.35">
      <c r="A9" s="552" t="s">
        <v>740</v>
      </c>
      <c r="B9" s="527">
        <f>'Covid-19'!B9</f>
        <v>161.99299999999999</v>
      </c>
      <c r="C9" s="535">
        <f>'Covid-19'!C9</f>
        <v>-36.124451999999998</v>
      </c>
      <c r="D9" s="527">
        <f>'Covid-19'!D9</f>
        <v>62.55</v>
      </c>
      <c r="E9" s="535">
        <f>'Covid-19'!E9</f>
        <v>-12.759348012</v>
      </c>
      <c r="F9" s="527">
        <f>'Covid-19'!F9</f>
        <v>1.48</v>
      </c>
      <c r="G9" s="541">
        <f>'Covid-19'!G9</f>
        <v>-0.17584236312318702</v>
      </c>
      <c r="H9" s="527">
        <f>'Covid-19'!H9</f>
        <v>0</v>
      </c>
      <c r="I9" s="541">
        <f>'Covid-19'!I9</f>
        <v>0.55210109912318683</v>
      </c>
      <c r="J9" s="527">
        <f>'Covid-19'!J9</f>
        <v>0</v>
      </c>
      <c r="K9" s="541">
        <f>'Covid-19'!K9</f>
        <v>0</v>
      </c>
      <c r="L9" s="527">
        <f>'Covid-19'!L9</f>
        <v>0</v>
      </c>
      <c r="M9" s="541">
        <f>'Covid-19'!M9</f>
        <v>6.3922999999999994E-2</v>
      </c>
    </row>
    <row r="10" spans="1:13" ht="15.5" x14ac:dyDescent="0.35">
      <c r="A10" s="552" t="s">
        <v>745</v>
      </c>
      <c r="B10" s="527">
        <f>'Covid-19'!B10</f>
        <v>60</v>
      </c>
      <c r="C10" s="535">
        <f>'Covid-19'!C10</f>
        <v>-60</v>
      </c>
      <c r="D10" s="527">
        <f>'Covid-19'!D10</f>
        <v>0</v>
      </c>
      <c r="E10" s="535">
        <f>'Covid-19'!E10</f>
        <v>0</v>
      </c>
      <c r="F10" s="527">
        <f>'Covid-19'!F10</f>
        <v>0</v>
      </c>
      <c r="G10" s="541">
        <f>'Covid-19'!G10</f>
        <v>0</v>
      </c>
      <c r="H10" s="527">
        <f>'Covid-19'!H10</f>
        <v>0</v>
      </c>
      <c r="I10" s="541">
        <f>'Covid-19'!I10</f>
        <v>0</v>
      </c>
      <c r="J10" s="527">
        <f>'Covid-19'!J10</f>
        <v>0</v>
      </c>
      <c r="K10" s="541">
        <f>'Covid-19'!K10</f>
        <v>0</v>
      </c>
      <c r="L10" s="527">
        <f>'Covid-19'!L10</f>
        <v>0</v>
      </c>
      <c r="M10" s="541">
        <f>'Covid-19'!M10</f>
        <v>0</v>
      </c>
    </row>
    <row r="11" spans="1:13" ht="15.5" x14ac:dyDescent="0.35">
      <c r="A11" s="552" t="s">
        <v>743</v>
      </c>
      <c r="B11" s="527">
        <f>'Covid-19'!B11</f>
        <v>31</v>
      </c>
      <c r="C11" s="535">
        <f>'Covid-19'!C11</f>
        <v>-31</v>
      </c>
      <c r="D11" s="527">
        <f>'Covid-19'!D11</f>
        <v>31</v>
      </c>
      <c r="E11" s="535">
        <f>'Covid-19'!E11</f>
        <v>0</v>
      </c>
      <c r="F11" s="527">
        <f>'Covid-19'!F11</f>
        <v>30</v>
      </c>
      <c r="G11" s="541">
        <f>'Covid-19'!G11</f>
        <v>0</v>
      </c>
      <c r="H11" s="527">
        <f>'Covid-19'!H11</f>
        <v>0</v>
      </c>
      <c r="I11" s="541">
        <f>'Covid-19'!I11</f>
        <v>0</v>
      </c>
      <c r="J11" s="527">
        <f>'Covid-19'!J11</f>
        <v>0</v>
      </c>
      <c r="K11" s="535">
        <f>'Covid-19'!K11</f>
        <v>0</v>
      </c>
      <c r="L11" s="527">
        <f>'Covid-19'!L11</f>
        <v>0</v>
      </c>
      <c r="M11" s="535">
        <f>'Covid-19'!M11</f>
        <v>0</v>
      </c>
    </row>
    <row r="12" spans="1:13" ht="15.5" x14ac:dyDescent="0.35">
      <c r="A12" s="553" t="s">
        <v>2221</v>
      </c>
      <c r="B12" s="533">
        <f>'Covid-19'!B12</f>
        <v>129.587782</v>
      </c>
      <c r="C12" s="534">
        <f>'Covid-19'!C12</f>
        <v>-129.587782</v>
      </c>
      <c r="D12" s="533">
        <f>'Covid-19'!D12</f>
        <v>533.45613600000001</v>
      </c>
      <c r="E12" s="534">
        <f>'Covid-19'!E12</f>
        <v>-533.45613600000001</v>
      </c>
      <c r="F12" s="533">
        <f>'Covid-19'!F12</f>
        <v>87.069663000000006</v>
      </c>
      <c r="G12" s="534">
        <f>'Covid-19'!G12</f>
        <v>-87.069663000000006</v>
      </c>
      <c r="H12" s="533">
        <f>'Covid-19'!H12</f>
        <v>0</v>
      </c>
      <c r="I12" s="534">
        <f>'Covid-19'!I12</f>
        <v>0</v>
      </c>
      <c r="J12" s="533">
        <f>'Covid-19'!J12</f>
        <v>2.2918999999999998E-2</v>
      </c>
      <c r="K12" s="534">
        <f>'Covid-19'!K12</f>
        <v>-2.2918999999999998E-2</v>
      </c>
      <c r="L12" s="533">
        <f>'Covid-19'!L12</f>
        <v>0</v>
      </c>
      <c r="M12" s="534">
        <f>'Covid-19'!M12</f>
        <v>0</v>
      </c>
    </row>
    <row r="13" spans="1:13" ht="15.5" x14ac:dyDescent="0.35">
      <c r="A13" s="552" t="s">
        <v>2222</v>
      </c>
      <c r="B13" s="527">
        <f>'Covid-19'!B13</f>
        <v>60.502936000000005</v>
      </c>
      <c r="C13" s="535">
        <f>'Covid-19'!C13</f>
        <v>-60.502936000000005</v>
      </c>
      <c r="D13" s="527">
        <f>'Covid-19'!D13</f>
        <v>135.88231999999999</v>
      </c>
      <c r="E13" s="535">
        <f>'Covid-19'!E13</f>
        <v>-135.88231999999999</v>
      </c>
      <c r="F13" s="527">
        <f>'Covid-19'!F13</f>
        <v>0</v>
      </c>
      <c r="G13" s="541">
        <f>'Covid-19'!G13</f>
        <v>0</v>
      </c>
      <c r="H13" s="527">
        <f>'Covid-19'!H13</f>
        <v>0</v>
      </c>
      <c r="I13" s="541">
        <f>'Covid-19'!I13</f>
        <v>0</v>
      </c>
      <c r="J13" s="527">
        <f>'Covid-19'!J13</f>
        <v>0</v>
      </c>
      <c r="K13" s="541">
        <f>'Covid-19'!K13</f>
        <v>0</v>
      </c>
      <c r="L13" s="527">
        <f>'Covid-19'!L13</f>
        <v>0</v>
      </c>
      <c r="M13" s="541">
        <f>'Covid-19'!M13</f>
        <v>0</v>
      </c>
    </row>
    <row r="14" spans="1:13" ht="15.5" x14ac:dyDescent="0.35">
      <c r="A14" s="554" t="s">
        <v>2223</v>
      </c>
      <c r="B14" s="527">
        <f>'Covid-19'!B14</f>
        <v>47.324961000000002</v>
      </c>
      <c r="C14" s="535">
        <f>'Covid-19'!C14</f>
        <v>-47.324961000000002</v>
      </c>
      <c r="D14" s="527">
        <f>'Covid-19'!D14</f>
        <v>32.712878000000003</v>
      </c>
      <c r="E14" s="535">
        <f>'Covid-19'!E14</f>
        <v>-32.712878000000003</v>
      </c>
      <c r="F14" s="527">
        <f>'Covid-19'!F14</f>
        <v>7.6351550000000001</v>
      </c>
      <c r="G14" s="542">
        <f>'Covid-19'!G14</f>
        <v>-7.6351550000000001</v>
      </c>
      <c r="H14" s="527">
        <f>'Covid-19'!H14</f>
        <v>0</v>
      </c>
      <c r="I14" s="542">
        <f>'Covid-19'!I14</f>
        <v>0</v>
      </c>
      <c r="J14" s="527">
        <f>'Covid-19'!J14</f>
        <v>0</v>
      </c>
      <c r="K14" s="542">
        <f>'Covid-19'!K14</f>
        <v>0</v>
      </c>
      <c r="L14" s="527">
        <f>'Covid-19'!L14</f>
        <v>0</v>
      </c>
      <c r="M14" s="542">
        <f>'Covid-19'!M14</f>
        <v>0</v>
      </c>
    </row>
    <row r="15" spans="1:13" ht="15.5" x14ac:dyDescent="0.35">
      <c r="A15" s="554" t="s">
        <v>755</v>
      </c>
      <c r="B15" s="527">
        <f>'Covid-19'!B15</f>
        <v>6.2191000000000003E-2</v>
      </c>
      <c r="C15" s="535">
        <f>'Covid-19'!C15</f>
        <v>-6.2191000000000003E-2</v>
      </c>
      <c r="D15" s="527">
        <f>'Covid-19'!D15</f>
        <v>2.873157</v>
      </c>
      <c r="E15" s="535">
        <f>'Covid-19'!E15</f>
        <v>-2.873157</v>
      </c>
      <c r="F15" s="527">
        <f>'Covid-19'!F15</f>
        <v>0</v>
      </c>
      <c r="G15" s="541">
        <f>'Covid-19'!G15</f>
        <v>0</v>
      </c>
      <c r="H15" s="527">
        <f>'Covid-19'!H15</f>
        <v>0</v>
      </c>
      <c r="I15" s="541">
        <f>'Covid-19'!I15</f>
        <v>0</v>
      </c>
      <c r="J15" s="527">
        <f>'Covid-19'!J15</f>
        <v>0</v>
      </c>
      <c r="K15" s="541">
        <f>'Covid-19'!K15</f>
        <v>0</v>
      </c>
      <c r="L15" s="527">
        <f>'Covid-19'!L15</f>
        <v>0</v>
      </c>
      <c r="M15" s="541">
        <f>'Covid-19'!M15</f>
        <v>0</v>
      </c>
    </row>
    <row r="16" spans="1:13" ht="15.5" x14ac:dyDescent="0.35">
      <c r="A16" s="554" t="s">
        <v>785</v>
      </c>
      <c r="B16" s="527">
        <f>'Covid-19'!B16</f>
        <v>5.1554669999999998</v>
      </c>
      <c r="C16" s="535">
        <f>'Covid-19'!C16</f>
        <v>-5.1554669999999998</v>
      </c>
      <c r="D16" s="527">
        <f>'Covid-19'!D16</f>
        <v>10.821989</v>
      </c>
      <c r="E16" s="535">
        <f>'Covid-19'!E16</f>
        <v>-10.821989</v>
      </c>
      <c r="F16" s="527">
        <f>'Covid-19'!F16</f>
        <v>0</v>
      </c>
      <c r="G16" s="541">
        <f>'Covid-19'!G16</f>
        <v>0</v>
      </c>
      <c r="H16" s="527">
        <f>'Covid-19'!H16</f>
        <v>0</v>
      </c>
      <c r="I16" s="541">
        <f>'Covid-19'!I16</f>
        <v>0</v>
      </c>
      <c r="J16" s="527">
        <f>'Covid-19'!J16</f>
        <v>0</v>
      </c>
      <c r="K16" s="541">
        <f>'Covid-19'!K16</f>
        <v>0</v>
      </c>
      <c r="L16" s="527">
        <f>'Covid-19'!L16</f>
        <v>0</v>
      </c>
      <c r="M16" s="541">
        <f>'Covid-19'!M16</f>
        <v>0</v>
      </c>
    </row>
    <row r="17" spans="1:13" ht="15.5" x14ac:dyDescent="0.35">
      <c r="A17" s="554" t="s">
        <v>2224</v>
      </c>
      <c r="B17" s="527">
        <f>'Covid-19'!B17</f>
        <v>2.8603730000000001</v>
      </c>
      <c r="C17" s="535">
        <f>'Covid-19'!C17</f>
        <v>-2.8603730000000001</v>
      </c>
      <c r="D17" s="527">
        <f>'Covid-19'!D17</f>
        <v>32.656832999999999</v>
      </c>
      <c r="E17" s="535">
        <f>'Covid-19'!E17</f>
        <v>-32.656832999999999</v>
      </c>
      <c r="F17" s="527">
        <f>'Covid-19'!F17</f>
        <v>49.010249999999999</v>
      </c>
      <c r="G17" s="541">
        <f>'Covid-19'!G17</f>
        <v>-49.010249999999999</v>
      </c>
      <c r="H17" s="527">
        <f>'Covid-19'!H17</f>
        <v>0</v>
      </c>
      <c r="I17" s="541">
        <f>'Covid-19'!I17</f>
        <v>0</v>
      </c>
      <c r="J17" s="527">
        <f>'Covid-19'!J17</f>
        <v>0</v>
      </c>
      <c r="K17" s="541">
        <f>'Covid-19'!K17</f>
        <v>0</v>
      </c>
      <c r="L17" s="527">
        <f>'Covid-19'!L17</f>
        <v>0</v>
      </c>
      <c r="M17" s="541">
        <f>'Covid-19'!M17</f>
        <v>0</v>
      </c>
    </row>
    <row r="18" spans="1:13" ht="15.5" x14ac:dyDescent="0.35">
      <c r="A18" s="554" t="s">
        <v>1132</v>
      </c>
      <c r="B18" s="527">
        <f>'Covid-19'!B18</f>
        <v>0</v>
      </c>
      <c r="C18" s="535">
        <f>'Covid-19'!C18</f>
        <v>0</v>
      </c>
      <c r="D18" s="527">
        <f>'Covid-19'!D18</f>
        <v>187.92102600000001</v>
      </c>
      <c r="E18" s="535">
        <f>'Covid-19'!E18</f>
        <v>-187.92102600000001</v>
      </c>
      <c r="F18" s="527">
        <f>'Covid-19'!F18</f>
        <v>0.218886</v>
      </c>
      <c r="G18" s="541">
        <f>'Covid-19'!G18</f>
        <v>-0.218886</v>
      </c>
      <c r="H18" s="527">
        <f>'Covid-19'!H18</f>
        <v>0</v>
      </c>
      <c r="I18" s="541">
        <f>'Covid-19'!I18</f>
        <v>0</v>
      </c>
      <c r="J18" s="527">
        <f>'Covid-19'!J18</f>
        <v>2.2918999999999998E-2</v>
      </c>
      <c r="K18" s="541">
        <f>'Covid-19'!K18</f>
        <v>-2.2918999999999998E-2</v>
      </c>
      <c r="L18" s="527">
        <f>'Covid-19'!L18</f>
        <v>0</v>
      </c>
      <c r="M18" s="541">
        <f>'Covid-19'!M18</f>
        <v>0</v>
      </c>
    </row>
    <row r="19" spans="1:13" ht="15.5" x14ac:dyDescent="0.35">
      <c r="A19" s="554" t="s">
        <v>1172</v>
      </c>
      <c r="B19" s="527">
        <f>'Covid-19'!B19</f>
        <v>0</v>
      </c>
      <c r="C19" s="535">
        <f>'Covid-19'!C19</f>
        <v>0</v>
      </c>
      <c r="D19" s="527">
        <f>'Covid-19'!D19</f>
        <v>110.007152</v>
      </c>
      <c r="E19" s="535">
        <f>'Covid-19'!E19</f>
        <v>-110.007152</v>
      </c>
      <c r="F19" s="527">
        <f>'Covid-19'!F19</f>
        <v>1.8599999999999998E-2</v>
      </c>
      <c r="G19" s="541">
        <f>'Covid-19'!G19</f>
        <v>-1.8599999999999998E-2</v>
      </c>
      <c r="H19" s="527">
        <f>'Covid-19'!H19</f>
        <v>0</v>
      </c>
      <c r="I19" s="541">
        <f>'Covid-19'!I19</f>
        <v>0</v>
      </c>
      <c r="J19" s="527">
        <f>'Covid-19'!J19</f>
        <v>0</v>
      </c>
      <c r="K19" s="541">
        <f>'Covid-19'!K19</f>
        <v>0</v>
      </c>
      <c r="L19" s="527">
        <f>'Covid-19'!L19</f>
        <v>0</v>
      </c>
      <c r="M19" s="541">
        <f>'Covid-19'!M19</f>
        <v>0</v>
      </c>
    </row>
    <row r="20" spans="1:13" ht="15.5" x14ac:dyDescent="0.35">
      <c r="A20" s="554" t="s">
        <v>2225</v>
      </c>
      <c r="B20" s="527">
        <f>'Covid-19'!B20</f>
        <v>0</v>
      </c>
      <c r="C20" s="535">
        <f>'Covid-19'!C20</f>
        <v>0</v>
      </c>
      <c r="D20" s="527">
        <f>'Covid-19'!D20</f>
        <v>15.038055999999999</v>
      </c>
      <c r="E20" s="535">
        <f>'Covid-19'!E20</f>
        <v>-15.038055999999999</v>
      </c>
      <c r="F20" s="527">
        <f>'Covid-19'!F20</f>
        <v>23.75704</v>
      </c>
      <c r="G20" s="541">
        <f>'Covid-19'!G20</f>
        <v>-23.75704</v>
      </c>
      <c r="H20" s="527">
        <f>'Covid-19'!H20</f>
        <v>0</v>
      </c>
      <c r="I20" s="541">
        <f>'Covid-19'!I20</f>
        <v>0</v>
      </c>
      <c r="J20" s="527">
        <f>'Covid-19'!J20</f>
        <v>0</v>
      </c>
      <c r="K20" s="541">
        <f>'Covid-19'!K20</f>
        <v>0</v>
      </c>
      <c r="L20" s="527">
        <f>'Covid-19'!L20</f>
        <v>0</v>
      </c>
      <c r="M20" s="541">
        <f>'Covid-19'!M20</f>
        <v>0</v>
      </c>
    </row>
    <row r="21" spans="1:13" ht="15.5" x14ac:dyDescent="0.35">
      <c r="A21" s="553" t="s">
        <v>2226</v>
      </c>
      <c r="B21" s="533">
        <f>'Covid-19'!B21</f>
        <v>239.96399569000002</v>
      </c>
      <c r="C21" s="534">
        <f>'Covid-19'!C21</f>
        <v>-81.687714698000008</v>
      </c>
      <c r="D21" s="533">
        <f>'Covid-19'!D21</f>
        <v>133.71341889289999</v>
      </c>
      <c r="E21" s="534">
        <f>'Covid-19'!E21</f>
        <v>-91.726519613446044</v>
      </c>
      <c r="F21" s="533">
        <f>'Covid-19'!F21</f>
        <v>76.861741370000004</v>
      </c>
      <c r="G21" s="534">
        <f>'Covid-19'!G21</f>
        <v>-72.810081370000006</v>
      </c>
      <c r="H21" s="533">
        <f>'Covid-19'!H21</f>
        <v>31.90594815</v>
      </c>
      <c r="I21" s="534">
        <f>'Covid-19'!I21</f>
        <v>-30.475948150000001</v>
      </c>
      <c r="J21" s="533">
        <f>'Covid-19'!J21</f>
        <v>18.109197999999999</v>
      </c>
      <c r="K21" s="534">
        <f>'Covid-19'!K21</f>
        <v>-17.748385657699998</v>
      </c>
      <c r="L21" s="533">
        <f>'Covid-19'!L21</f>
        <v>13</v>
      </c>
      <c r="M21" s="534">
        <f>'Covid-19'!M21</f>
        <v>-11.31</v>
      </c>
    </row>
    <row r="22" spans="1:13" ht="15.5" x14ac:dyDescent="0.35">
      <c r="A22" s="550" t="s">
        <v>12</v>
      </c>
      <c r="B22" s="527">
        <f>'Covid-19'!B22</f>
        <v>91.8</v>
      </c>
      <c r="C22" s="535">
        <f>'Covid-19'!C22</f>
        <v>-17.717400000000001</v>
      </c>
      <c r="D22" s="527">
        <f>'Covid-19'!D22</f>
        <v>14.8</v>
      </c>
      <c r="E22" s="535">
        <f>'Covid-19'!E22</f>
        <v>-2.8564000000000003</v>
      </c>
      <c r="F22" s="527">
        <f>'Covid-19'!F22</f>
        <v>0</v>
      </c>
      <c r="G22" s="542">
        <f>'Covid-19'!G22</f>
        <v>0</v>
      </c>
      <c r="H22" s="527">
        <f>'Covid-19'!H22</f>
        <v>0</v>
      </c>
      <c r="I22" s="542">
        <f>'Covid-19'!I22</f>
        <v>0</v>
      </c>
      <c r="J22" s="527">
        <f>'Covid-19'!J22</f>
        <v>0</v>
      </c>
      <c r="K22" s="542">
        <f>'Covid-19'!K22</f>
        <v>0</v>
      </c>
      <c r="L22" s="527">
        <f>'Covid-19'!L22</f>
        <v>0</v>
      </c>
      <c r="M22" s="542">
        <f>'Covid-19'!M22</f>
        <v>0</v>
      </c>
    </row>
    <row r="23" spans="1:13" ht="15.5" x14ac:dyDescent="0.35">
      <c r="A23" s="550" t="s">
        <v>11</v>
      </c>
      <c r="B23" s="527">
        <f>'Covid-19'!B23</f>
        <v>3.0398809999999998</v>
      </c>
      <c r="C23" s="535">
        <f>'Covid-19'!C23</f>
        <v>-0.51070000800000004</v>
      </c>
      <c r="D23" s="527">
        <f>'Covid-19'!D23</f>
        <v>5.8999999999999997E-2</v>
      </c>
      <c r="E23" s="535">
        <f>'Covid-19'!E23</f>
        <v>-9.9120000000000007E-3</v>
      </c>
      <c r="F23" s="527">
        <f>'Covid-19'!F23</f>
        <v>0</v>
      </c>
      <c r="G23" s="542">
        <f>'Covid-19'!G23</f>
        <v>0</v>
      </c>
      <c r="H23" s="527">
        <f>'Covid-19'!H23</f>
        <v>0</v>
      </c>
      <c r="I23" s="542">
        <f>'Covid-19'!I23</f>
        <v>0</v>
      </c>
      <c r="J23" s="527">
        <f>'Covid-19'!J23</f>
        <v>0</v>
      </c>
      <c r="K23" s="542">
        <f>'Covid-19'!K23</f>
        <v>0</v>
      </c>
      <c r="L23" s="527">
        <f>'Covid-19'!L23</f>
        <v>0</v>
      </c>
      <c r="M23" s="542">
        <f>'Covid-19'!M23</f>
        <v>0</v>
      </c>
    </row>
    <row r="24" spans="1:13" ht="15.5" x14ac:dyDescent="0.35">
      <c r="A24" s="552" t="s">
        <v>95</v>
      </c>
      <c r="B24" s="527">
        <f>'Covid-19'!B24</f>
        <v>92.5</v>
      </c>
      <c r="C24" s="535">
        <f>'Covid-19'!C24</f>
        <v>-13.1165</v>
      </c>
      <c r="D24" s="527">
        <f>'Covid-19'!D24</f>
        <v>13.3</v>
      </c>
      <c r="E24" s="535">
        <f>'Covid-19'!E24</f>
        <v>-1.8859400000000002</v>
      </c>
      <c r="F24" s="527">
        <f>'Covid-19'!F24</f>
        <v>3.1</v>
      </c>
      <c r="G24" s="542">
        <f>'Covid-19'!G24</f>
        <v>-0.43958000000000003</v>
      </c>
      <c r="H24" s="527">
        <f>'Covid-19'!H24</f>
        <v>0</v>
      </c>
      <c r="I24" s="542">
        <f>'Covid-19'!I24</f>
        <v>0</v>
      </c>
      <c r="J24" s="527">
        <f>'Covid-19'!J24</f>
        <v>0</v>
      </c>
      <c r="K24" s="542">
        <f>'Covid-19'!K24</f>
        <v>0</v>
      </c>
      <c r="L24" s="527">
        <f>'Covid-19'!L24</f>
        <v>0</v>
      </c>
      <c r="M24" s="542">
        <f>'Covid-19'!M24</f>
        <v>0</v>
      </c>
    </row>
    <row r="25" spans="1:13" ht="15.5" x14ac:dyDescent="0.35">
      <c r="A25" s="552" t="s">
        <v>816</v>
      </c>
      <c r="B25" s="527">
        <f>'Covid-19'!B25</f>
        <v>0</v>
      </c>
      <c r="C25" s="535">
        <f>'Covid-19'!C25</f>
        <v>0</v>
      </c>
      <c r="D25" s="527">
        <f>'Covid-19'!D25</f>
        <v>16.088100000000001</v>
      </c>
      <c r="E25" s="535">
        <f>'Covid-19'!E25</f>
        <v>0</v>
      </c>
      <c r="F25" s="527">
        <f>'Covid-19'!F25</f>
        <v>1.3</v>
      </c>
      <c r="G25" s="541">
        <f>'Covid-19'!G25</f>
        <v>0</v>
      </c>
      <c r="H25" s="527">
        <f>'Covid-19'!H25</f>
        <v>0</v>
      </c>
      <c r="I25" s="541">
        <f>'Covid-19'!I25</f>
        <v>0</v>
      </c>
      <c r="J25" s="527">
        <f>'Covid-19'!J25</f>
        <v>0</v>
      </c>
      <c r="K25" s="541">
        <f>'Covid-19'!K25</f>
        <v>0</v>
      </c>
      <c r="L25" s="527">
        <f>'Covid-19'!L25</f>
        <v>0</v>
      </c>
      <c r="M25" s="541">
        <f>'Covid-19'!M25</f>
        <v>0</v>
      </c>
    </row>
    <row r="26" spans="1:13" ht="16" customHeight="1" x14ac:dyDescent="0.35">
      <c r="A26" s="552" t="s">
        <v>2227</v>
      </c>
      <c r="B26" s="527">
        <f>'Covid-19'!B26</f>
        <v>0</v>
      </c>
      <c r="C26" s="535">
        <f>'Covid-19'!C26</f>
        <v>0</v>
      </c>
      <c r="D26" s="527">
        <f>'Covid-19'!D26</f>
        <v>0</v>
      </c>
      <c r="E26" s="535">
        <f>'Covid-19'!E26</f>
        <v>0</v>
      </c>
      <c r="F26" s="527">
        <f>'Covid-19'!F26</f>
        <v>0</v>
      </c>
      <c r="G26" s="541">
        <f>'Covid-19'!G26</f>
        <v>0</v>
      </c>
      <c r="H26" s="527">
        <f>'Covid-19'!H26</f>
        <v>11</v>
      </c>
      <c r="I26" s="541">
        <f>'Covid-19'!I26</f>
        <v>-9.57</v>
      </c>
      <c r="J26" s="527">
        <f>'Covid-19'!J26</f>
        <v>2.75</v>
      </c>
      <c r="K26" s="541">
        <f>'Covid-19'!K26</f>
        <v>-2.3891876577</v>
      </c>
      <c r="L26" s="527">
        <f>'Covid-19'!L26</f>
        <v>13</v>
      </c>
      <c r="M26" s="541">
        <f>'Covid-19'!M26</f>
        <v>-11.31</v>
      </c>
    </row>
    <row r="27" spans="1:13" ht="15.5" x14ac:dyDescent="0.35">
      <c r="A27" s="550" t="s">
        <v>2228</v>
      </c>
      <c r="B27" s="527">
        <f>'Covid-19'!B27</f>
        <v>50.124114689999999</v>
      </c>
      <c r="C27" s="535">
        <f>'Covid-19'!C27</f>
        <v>-50.124114689999999</v>
      </c>
      <c r="D27" s="527">
        <f>'Covid-19'!D27</f>
        <v>83.737523469999999</v>
      </c>
      <c r="E27" s="535">
        <f>'Covid-19'!E27</f>
        <v>-83.737523469999999</v>
      </c>
      <c r="F27" s="527">
        <f>'Covid-19'!F27</f>
        <v>68.161741370000001</v>
      </c>
      <c r="G27" s="542">
        <f>'Covid-19'!G27</f>
        <v>-68.161741370000001</v>
      </c>
      <c r="H27" s="527">
        <f>'Covid-19'!H27</f>
        <v>20.90594815</v>
      </c>
      <c r="I27" s="542">
        <f>'Covid-19'!I27</f>
        <v>-20.90594815</v>
      </c>
      <c r="J27" s="527">
        <f>'Covid-19'!J27</f>
        <v>15.359197999999999</v>
      </c>
      <c r="K27" s="542">
        <f>'Covid-19'!K27</f>
        <v>-15.359197999999999</v>
      </c>
      <c r="L27" s="527">
        <f>'Covid-19'!L27</f>
        <v>0</v>
      </c>
      <c r="M27" s="542">
        <f>'Covid-19'!M27</f>
        <v>0</v>
      </c>
    </row>
    <row r="28" spans="1:13" ht="15.5" x14ac:dyDescent="0.35">
      <c r="A28" s="553" t="s">
        <v>122</v>
      </c>
      <c r="B28" s="533">
        <f>'Covid-19'!B28</f>
        <v>631.83905000000004</v>
      </c>
      <c r="C28" s="534">
        <f>'Covid-19'!C28</f>
        <v>-622.37720810999997</v>
      </c>
      <c r="D28" s="533">
        <f>'Covid-19'!D28</f>
        <v>1497.2107644100001</v>
      </c>
      <c r="E28" s="534">
        <f>'Covid-19'!E28</f>
        <v>-1456.25409341</v>
      </c>
      <c r="F28" s="533">
        <f>'Covid-19'!F28</f>
        <v>594.38529026999981</v>
      </c>
      <c r="G28" s="534">
        <f>'Covid-19'!G28</f>
        <v>-623.97303616999989</v>
      </c>
      <c r="H28" s="533">
        <f>'Covid-19'!H28</f>
        <v>63.402514999999994</v>
      </c>
      <c r="I28" s="534">
        <f>'Covid-19'!I28</f>
        <v>-97.271488949999991</v>
      </c>
      <c r="J28" s="533">
        <f>'Covid-19'!J28</f>
        <v>53.14683999999999</v>
      </c>
      <c r="K28" s="534">
        <f>'Covid-19'!K28</f>
        <v>-72.03926899999999</v>
      </c>
      <c r="L28" s="533">
        <f>'Covid-19'!L28</f>
        <v>5.330508</v>
      </c>
      <c r="M28" s="534">
        <f>'Covid-19'!M28</f>
        <v>-7.4185970000000001</v>
      </c>
    </row>
    <row r="29" spans="1:13" ht="15.5" x14ac:dyDescent="0.35">
      <c r="A29" s="550" t="s">
        <v>1993</v>
      </c>
      <c r="B29" s="527">
        <f>'Covid-19'!B29</f>
        <v>133.10977500000001</v>
      </c>
      <c r="C29" s="535">
        <f>'Covid-19'!C29</f>
        <v>-123.64793311000001</v>
      </c>
      <c r="D29" s="527">
        <f>'Covid-19'!D29</f>
        <v>578.44283900000016</v>
      </c>
      <c r="E29" s="535">
        <f>'Covid-19'!E29</f>
        <v>-538.17287899999985</v>
      </c>
      <c r="F29" s="527">
        <f>'Covid-19'!F29</f>
        <v>378.4128495999999</v>
      </c>
      <c r="G29" s="542">
        <f>'Covid-19'!G29</f>
        <v>-408.00059549999992</v>
      </c>
      <c r="H29" s="527">
        <f>'Covid-19'!H29</f>
        <v>63.402514999999994</v>
      </c>
      <c r="I29" s="542">
        <f>'Covid-19'!I29</f>
        <v>-83.803772949999995</v>
      </c>
      <c r="J29" s="527">
        <f>'Covid-19'!J29</f>
        <v>49.081646999999997</v>
      </c>
      <c r="K29" s="542">
        <f>'Covid-19'!K29</f>
        <v>-67.974075999999997</v>
      </c>
      <c r="L29" s="527">
        <f>'Covid-19'!L29</f>
        <v>5.330508</v>
      </c>
      <c r="M29" s="542">
        <f>'Covid-19'!M29</f>
        <v>-7.4185970000000001</v>
      </c>
    </row>
    <row r="30" spans="1:13" ht="15.5" x14ac:dyDescent="0.35">
      <c r="A30" s="550" t="s">
        <v>1953</v>
      </c>
      <c r="B30" s="527">
        <f>'Covid-19'!B30</f>
        <v>408.375744</v>
      </c>
      <c r="C30" s="535">
        <f>'Covid-19'!C30</f>
        <v>-408.375744</v>
      </c>
      <c r="D30" s="527">
        <f>'Covid-19'!D30</f>
        <v>227.910798</v>
      </c>
      <c r="E30" s="535">
        <f>'Covid-19'!E30</f>
        <v>-227.910798</v>
      </c>
      <c r="F30" s="527">
        <f>'Covid-19'!F30</f>
        <v>68.769563000000005</v>
      </c>
      <c r="G30" s="542">
        <f>'Covid-19'!G30</f>
        <v>-68.769563000000005</v>
      </c>
      <c r="H30" s="527">
        <f>'Covid-19'!H30</f>
        <v>0</v>
      </c>
      <c r="I30" s="542">
        <f>'Covid-19'!I30</f>
        <v>0</v>
      </c>
      <c r="J30" s="527">
        <f>'Covid-19'!J30</f>
        <v>0</v>
      </c>
      <c r="K30" s="542">
        <f>'Covid-19'!K30</f>
        <v>0</v>
      </c>
      <c r="L30" s="527">
        <f>'Covid-19'!L30</f>
        <v>0</v>
      </c>
      <c r="M30" s="542">
        <f>'Covid-19'!M30</f>
        <v>0</v>
      </c>
    </row>
    <row r="31" spans="1:13" ht="15.5" x14ac:dyDescent="0.35">
      <c r="A31" s="550" t="s">
        <v>1763</v>
      </c>
      <c r="B31" s="527">
        <f>'Covid-19'!B31</f>
        <v>6.7655999999999994E-2</v>
      </c>
      <c r="C31" s="535">
        <f>'Covid-19'!C31</f>
        <v>-6.7655999999999994E-2</v>
      </c>
      <c r="D31" s="527">
        <f>'Covid-19'!D31</f>
        <v>513.12829199999999</v>
      </c>
      <c r="E31" s="535">
        <f>'Covid-19'!E31</f>
        <v>-513.12829199999999</v>
      </c>
      <c r="F31" s="527">
        <f>'Covid-19'!F31</f>
        <v>55.725071</v>
      </c>
      <c r="G31" s="541">
        <f>'Covid-19'!G31</f>
        <v>-55.725071</v>
      </c>
      <c r="H31" s="527">
        <f>'Covid-19'!H31</f>
        <v>0</v>
      </c>
      <c r="I31" s="541">
        <f>'Covid-19'!I31</f>
        <v>0</v>
      </c>
      <c r="J31" s="527">
        <f>'Covid-19'!J31</f>
        <v>2.6224999999999998E-2</v>
      </c>
      <c r="K31" s="541">
        <f>'Covid-19'!K31</f>
        <v>-2.6224999999999998E-2</v>
      </c>
      <c r="L31" s="527">
        <f>'Covid-19'!L31</f>
        <v>0</v>
      </c>
      <c r="M31" s="541">
        <f>'Covid-19'!M31</f>
        <v>0</v>
      </c>
    </row>
    <row r="32" spans="1:13" ht="15.5" x14ac:dyDescent="0.35">
      <c r="A32" s="552" t="s">
        <v>1764</v>
      </c>
      <c r="B32" s="527">
        <f>'Covid-19'!B32</f>
        <v>37.540770000000002</v>
      </c>
      <c r="C32" s="535">
        <f>'Covid-19'!C32</f>
        <v>-37.540770000000002</v>
      </c>
      <c r="D32" s="527">
        <f>'Covid-19'!D32</f>
        <v>24.146602999999999</v>
      </c>
      <c r="E32" s="535">
        <f>'Covid-19'!E32</f>
        <v>-24.146602999999999</v>
      </c>
      <c r="F32" s="527">
        <f>'Covid-19'!F32</f>
        <v>0.21742600000000001</v>
      </c>
      <c r="G32" s="542">
        <f>'Covid-19'!G32</f>
        <v>-0.21742600000000001</v>
      </c>
      <c r="H32" s="527">
        <f>'Covid-19'!H32</f>
        <v>0</v>
      </c>
      <c r="I32" s="542">
        <f>'Covid-19'!I32</f>
        <v>0</v>
      </c>
      <c r="J32" s="527">
        <f>'Covid-19'!J32</f>
        <v>0</v>
      </c>
      <c r="K32" s="542">
        <f>'Covid-19'!K32</f>
        <v>0</v>
      </c>
      <c r="L32" s="527">
        <f>'Covid-19'!L32</f>
        <v>0</v>
      </c>
      <c r="M32" s="542">
        <f>'Covid-19'!M32</f>
        <v>0</v>
      </c>
    </row>
    <row r="33" spans="1:13" ht="15.5" x14ac:dyDescent="0.35">
      <c r="A33" s="550" t="s">
        <v>1765</v>
      </c>
      <c r="B33" s="527">
        <f>'Covid-19'!B33</f>
        <v>21.134721999999996</v>
      </c>
      <c r="C33" s="535">
        <f>'Covid-19'!C33</f>
        <v>-21.134721999999996</v>
      </c>
      <c r="D33" s="527">
        <f>'Covid-19'!D33</f>
        <v>19.821274999999996</v>
      </c>
      <c r="E33" s="535">
        <f>'Covid-19'!E33</f>
        <v>-19.821274999999996</v>
      </c>
      <c r="F33" s="527">
        <f>'Covid-19'!F33</f>
        <v>4.7907249999999992</v>
      </c>
      <c r="G33" s="542">
        <f>'Covid-19'!G33</f>
        <v>-4.7907249999999992</v>
      </c>
      <c r="H33" s="527">
        <f>'Covid-19'!H33</f>
        <v>0</v>
      </c>
      <c r="I33" s="542">
        <f>'Covid-19'!I33</f>
        <v>0</v>
      </c>
      <c r="J33" s="527">
        <f>'Covid-19'!J33</f>
        <v>0</v>
      </c>
      <c r="K33" s="542">
        <f>'Covid-19'!K33</f>
        <v>0</v>
      </c>
      <c r="L33" s="527">
        <f>'Covid-19'!L33</f>
        <v>0</v>
      </c>
      <c r="M33" s="542">
        <f>'Covid-19'!M33</f>
        <v>0</v>
      </c>
    </row>
    <row r="34" spans="1:13" ht="15.5" x14ac:dyDescent="0.35">
      <c r="A34" s="552" t="s">
        <v>1994</v>
      </c>
      <c r="B34" s="527">
        <f>'Covid-19'!B34</f>
        <v>22.05678</v>
      </c>
      <c r="C34" s="535">
        <f>'Covid-19'!C34</f>
        <v>-22.05678</v>
      </c>
      <c r="D34" s="527">
        <f>'Covid-19'!D34</f>
        <v>36.901719999999997</v>
      </c>
      <c r="E34" s="535">
        <f>'Covid-19'!E34</f>
        <v>-36.901719999999997</v>
      </c>
      <c r="F34" s="527">
        <f>'Covid-19'!F34</f>
        <v>16.005141000000002</v>
      </c>
      <c r="G34" s="542">
        <f>'Covid-19'!G34</f>
        <v>-16.005141000000002</v>
      </c>
      <c r="H34" s="527">
        <f>'Covid-19'!H34</f>
        <v>0</v>
      </c>
      <c r="I34" s="542">
        <f>'Covid-19'!I34</f>
        <v>0</v>
      </c>
      <c r="J34" s="527">
        <f>'Covid-19'!J34</f>
        <v>0</v>
      </c>
      <c r="K34" s="542">
        <f>'Covid-19'!K34</f>
        <v>0</v>
      </c>
      <c r="L34" s="527">
        <f>'Covid-19'!L34</f>
        <v>0</v>
      </c>
      <c r="M34" s="542">
        <f>'Covid-19'!M34</f>
        <v>0</v>
      </c>
    </row>
    <row r="35" spans="1:13" ht="31" x14ac:dyDescent="0.35">
      <c r="A35" s="552" t="s">
        <v>1766</v>
      </c>
      <c r="B35" s="527">
        <f>'Covid-19'!B35</f>
        <v>0</v>
      </c>
      <c r="C35" s="535">
        <f>'Covid-19'!C35</f>
        <v>0</v>
      </c>
      <c r="D35" s="527">
        <f>'Covid-19'!D35</f>
        <v>52.511577999999993</v>
      </c>
      <c r="E35" s="535">
        <f>'Covid-19'!E35</f>
        <v>-51.82486699999999</v>
      </c>
      <c r="F35" s="527">
        <f>'Covid-19'!F35</f>
        <v>52.009733000000004</v>
      </c>
      <c r="G35" s="542">
        <f>'Covid-19'!G35</f>
        <v>-52.009733000000004</v>
      </c>
      <c r="H35" s="527">
        <f>'Covid-19'!H35</f>
        <v>0</v>
      </c>
      <c r="I35" s="542">
        <f>'Covid-19'!I35</f>
        <v>-13.467715999999999</v>
      </c>
      <c r="J35" s="527">
        <f>'Covid-19'!J35</f>
        <v>4.0389679999999997</v>
      </c>
      <c r="K35" s="542">
        <f>'Covid-19'!K35</f>
        <v>-4.0389679999999997</v>
      </c>
      <c r="L35" s="527">
        <f>'Covid-19'!L35</f>
        <v>0</v>
      </c>
      <c r="M35" s="542">
        <f>'Covid-19'!M35</f>
        <v>0</v>
      </c>
    </row>
    <row r="36" spans="1:13" ht="15.5" x14ac:dyDescent="0.35">
      <c r="A36" s="553" t="s">
        <v>246</v>
      </c>
      <c r="B36" s="545">
        <f>'Covid-19'!B36</f>
        <v>27.301991000000001</v>
      </c>
      <c r="C36" s="546">
        <f>'Covid-19'!C36</f>
        <v>0</v>
      </c>
      <c r="D36" s="533">
        <f>'Covid-19'!D36</f>
        <v>57.197071000000001</v>
      </c>
      <c r="E36" s="534">
        <f>'Covid-19'!E36</f>
        <v>-8.5823999999999998</v>
      </c>
      <c r="F36" s="545">
        <f>'Covid-19'!F36</f>
        <v>170.58406099999999</v>
      </c>
      <c r="G36" s="534">
        <f>'Covid-19'!G36</f>
        <v>-6.88</v>
      </c>
      <c r="H36" s="545">
        <f>'Covid-19'!H36</f>
        <v>0</v>
      </c>
      <c r="I36" s="534">
        <f>'Covid-19'!I36</f>
        <v>0</v>
      </c>
      <c r="J36" s="545">
        <f>'Covid-19'!J36</f>
        <v>0</v>
      </c>
      <c r="K36" s="534">
        <f>'Covid-19'!K36</f>
        <v>0</v>
      </c>
      <c r="L36" s="545">
        <f>'Covid-19'!L36</f>
        <v>0</v>
      </c>
      <c r="M36" s="534">
        <f>'Covid-19'!M36</f>
        <v>0</v>
      </c>
    </row>
    <row r="37" spans="1:13" ht="15.5" x14ac:dyDescent="0.35">
      <c r="A37" s="550" t="s">
        <v>1767</v>
      </c>
      <c r="B37" s="527">
        <f>'Covid-19'!B37</f>
        <v>9.3443529999999999</v>
      </c>
      <c r="C37" s="535">
        <f>'Covid-19'!C37</f>
        <v>0</v>
      </c>
      <c r="D37" s="527">
        <f>'Covid-19'!D37</f>
        <v>36.971586000000002</v>
      </c>
      <c r="E37" s="535">
        <f>'Covid-19'!E37</f>
        <v>0</v>
      </c>
      <c r="F37" s="527">
        <f>'Covid-19'!F37</f>
        <v>136.58406099999999</v>
      </c>
      <c r="G37" s="542">
        <f>'Covid-19'!G37</f>
        <v>0</v>
      </c>
      <c r="H37" s="527">
        <f>'Covid-19'!H37</f>
        <v>0</v>
      </c>
      <c r="I37" s="542">
        <f>'Covid-19'!I37</f>
        <v>0</v>
      </c>
      <c r="J37" s="527">
        <f>'Covid-19'!J37</f>
        <v>0</v>
      </c>
      <c r="K37" s="542">
        <f>'Covid-19'!K37</f>
        <v>0</v>
      </c>
      <c r="L37" s="527">
        <f>'Covid-19'!L37</f>
        <v>0</v>
      </c>
      <c r="M37" s="542">
        <f>'Covid-19'!M37</f>
        <v>0</v>
      </c>
    </row>
    <row r="38" spans="1:13" ht="16" thickBot="1" x14ac:dyDescent="0.4">
      <c r="A38" s="555" t="s">
        <v>1770</v>
      </c>
      <c r="B38" s="547">
        <f>'Covid-19'!B38</f>
        <v>0.222636</v>
      </c>
      <c r="C38" s="548">
        <f>'Covid-19'!C38</f>
        <v>0</v>
      </c>
      <c r="D38" s="547">
        <f>'Covid-19'!D38</f>
        <v>20.225484999999999</v>
      </c>
      <c r="E38" s="548">
        <f>'Covid-19'!E38</f>
        <v>0</v>
      </c>
      <c r="F38" s="547">
        <f>'Covid-19'!F38</f>
        <v>34</v>
      </c>
      <c r="G38" s="548">
        <f>'Covid-19'!G38</f>
        <v>0</v>
      </c>
      <c r="H38" s="547">
        <f>'Covid-19'!H38</f>
        <v>0</v>
      </c>
      <c r="I38" s="548">
        <f>'Covid-19'!I38</f>
        <v>0</v>
      </c>
      <c r="J38" s="547">
        <f>'Covid-19'!J38</f>
        <v>0</v>
      </c>
      <c r="K38" s="548">
        <f>'Covid-19'!K38</f>
        <v>0</v>
      </c>
      <c r="L38" s="547">
        <f>'Covid-19'!L38</f>
        <v>0</v>
      </c>
      <c r="M38" s="548">
        <f>'Covid-19'!M38</f>
        <v>0</v>
      </c>
    </row>
    <row r="39" spans="1:13" ht="15.5" x14ac:dyDescent="0.35">
      <c r="A39" s="536"/>
      <c r="B39" s="537"/>
      <c r="C39" s="537"/>
      <c r="D39" s="537"/>
      <c r="E39" s="537"/>
      <c r="F39" s="537"/>
      <c r="G39" s="537"/>
      <c r="H39" s="537"/>
      <c r="I39" s="537"/>
      <c r="J39" s="537"/>
      <c r="K39" s="537"/>
    </row>
    <row r="40" spans="1:13" ht="16" x14ac:dyDescent="0.35">
      <c r="A40" s="538" t="s">
        <v>2257</v>
      </c>
      <c r="B40" s="529"/>
      <c r="C40" s="529"/>
      <c r="D40" s="529"/>
      <c r="E40" s="529"/>
      <c r="F40" s="529"/>
      <c r="G40" s="529"/>
    </row>
  </sheetData>
  <mergeCells count="12">
    <mergeCell ref="L4:M4"/>
    <mergeCell ref="L5:M5"/>
    <mergeCell ref="F5:G5"/>
    <mergeCell ref="H5:I5"/>
    <mergeCell ref="J5:K5"/>
    <mergeCell ref="F4:G4"/>
    <mergeCell ref="H4:K4"/>
    <mergeCell ref="A4:A6"/>
    <mergeCell ref="B4:C4"/>
    <mergeCell ref="D4:E4"/>
    <mergeCell ref="B5:C5"/>
    <mergeCell ref="D5: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4880-A65C-48A5-9E3C-513EEBA992F7}">
  <sheetPr>
    <tabColor rgb="FF00B050"/>
  </sheetPr>
  <dimension ref="A2:L52"/>
  <sheetViews>
    <sheetView zoomScale="40" zoomScaleNormal="40" workbookViewId="0">
      <selection activeCell="I55" sqref="I55"/>
    </sheetView>
  </sheetViews>
  <sheetFormatPr defaultColWidth="8.7265625" defaultRowHeight="14.5" outlineLevelRow="1" outlineLevelCol="1" x14ac:dyDescent="0.35"/>
  <cols>
    <col min="1" max="1" width="133" customWidth="1"/>
    <col min="2" max="2" width="19.7265625" hidden="1" customWidth="1" outlineLevel="1"/>
    <col min="3" max="3" width="20" customWidth="1" collapsed="1"/>
    <col min="4" max="5" width="18.26953125" hidden="1" customWidth="1" outlineLevel="1"/>
    <col min="6" max="6" width="31.1796875" customWidth="1" collapsed="1"/>
    <col min="7" max="7" width="19" customWidth="1"/>
    <col min="8" max="8" width="23.81640625" customWidth="1"/>
    <col min="9" max="9" width="27" customWidth="1"/>
    <col min="10" max="10" width="29" customWidth="1"/>
    <col min="11" max="11" width="24.54296875" customWidth="1"/>
    <col min="12" max="13" width="36.7265625" customWidth="1"/>
  </cols>
  <sheetData>
    <row r="2" spans="1:10" ht="17.5" x14ac:dyDescent="0.35">
      <c r="A2" s="531" t="s">
        <v>2229</v>
      </c>
      <c r="I2" s="778"/>
    </row>
    <row r="4" spans="1:10" ht="25" x14ac:dyDescent="0.5">
      <c r="A4" s="1060" t="s">
        <v>1760</v>
      </c>
      <c r="B4" s="1062">
        <v>2021</v>
      </c>
      <c r="C4" s="1063"/>
      <c r="D4" s="1062">
        <v>2022</v>
      </c>
      <c r="E4" s="1064"/>
      <c r="F4" s="1063"/>
      <c r="G4" s="1062">
        <v>2023</v>
      </c>
      <c r="H4" s="1064"/>
      <c r="I4" s="1064"/>
      <c r="J4" s="996">
        <v>2024</v>
      </c>
    </row>
    <row r="5" spans="1:10" ht="50.5" customHeight="1" x14ac:dyDescent="0.35">
      <c r="A5" s="1061"/>
      <c r="B5" s="769" t="s">
        <v>739</v>
      </c>
      <c r="C5" s="769" t="s">
        <v>2230</v>
      </c>
      <c r="D5" s="770" t="s">
        <v>739</v>
      </c>
      <c r="E5" s="769" t="s">
        <v>2251</v>
      </c>
      <c r="F5" s="771" t="s">
        <v>2230</v>
      </c>
      <c r="G5" s="770" t="s">
        <v>739</v>
      </c>
      <c r="H5" s="984" t="s">
        <v>2370</v>
      </c>
      <c r="I5" s="984" t="s">
        <v>2230</v>
      </c>
      <c r="J5" s="997" t="s">
        <v>739</v>
      </c>
    </row>
    <row r="6" spans="1:10" ht="25" x14ac:dyDescent="0.5">
      <c r="A6" s="772" t="s">
        <v>306</v>
      </c>
      <c r="B6" s="773">
        <f>'Energo atbalsts'!B6</f>
        <v>2.97</v>
      </c>
      <c r="C6" s="773">
        <f>'Energo atbalsts'!C6</f>
        <v>1.8805700000000001</v>
      </c>
      <c r="D6" s="773">
        <f>'Energo atbalsts'!D6</f>
        <v>836.07835399999999</v>
      </c>
      <c r="E6" s="773">
        <f>'Energo atbalsts'!E6</f>
        <v>658.70002045000001</v>
      </c>
      <c r="F6" s="773">
        <f>'Energo atbalsts'!F6</f>
        <v>603.54405190000011</v>
      </c>
      <c r="G6" s="773">
        <f>'Energo atbalsts'!G6</f>
        <v>652.03893900000003</v>
      </c>
      <c r="H6" s="985">
        <f>'Energo atbalsts'!H6</f>
        <v>484.2</v>
      </c>
      <c r="I6" s="998">
        <f>'Energo atbalsts'!I6</f>
        <v>454.44529630999995</v>
      </c>
      <c r="J6" s="998">
        <f>'Energo atbalsts'!J6</f>
        <v>50</v>
      </c>
    </row>
    <row r="7" spans="1:10" ht="30" customHeight="1" x14ac:dyDescent="0.35">
      <c r="A7" s="707" t="s">
        <v>2290</v>
      </c>
      <c r="B7" s="708">
        <f>'Energo atbalsts'!B7</f>
        <v>2.97</v>
      </c>
      <c r="C7" s="708">
        <f>'Energo atbalsts'!C7</f>
        <v>1.8805700000000001</v>
      </c>
      <c r="D7" s="708">
        <f>'Energo atbalsts'!D7</f>
        <v>571.1295419999999</v>
      </c>
      <c r="E7" s="859">
        <f>'Energo atbalsts'!E7</f>
        <v>381.10527745000002</v>
      </c>
      <c r="F7" s="708">
        <f>'Energo atbalsts'!F7</f>
        <v>339.56395824000003</v>
      </c>
      <c r="G7" s="708">
        <f>'Energo atbalsts'!G7</f>
        <v>546.95583599999998</v>
      </c>
      <c r="H7" s="986">
        <f>'Energo atbalsts'!H7</f>
        <v>363</v>
      </c>
      <c r="I7" s="782">
        <f>'Energo atbalsts'!I7</f>
        <v>363.24295230999996</v>
      </c>
      <c r="J7" s="782">
        <f>'Energo atbalsts'!J7</f>
        <v>0</v>
      </c>
    </row>
    <row r="8" spans="1:10" ht="18.649999999999999" hidden="1" customHeight="1" outlineLevel="1" x14ac:dyDescent="0.35">
      <c r="A8" s="1036" t="s">
        <v>2240</v>
      </c>
      <c r="B8" s="1037"/>
      <c r="C8" s="1037"/>
      <c r="D8" s="1037"/>
      <c r="E8" s="1037"/>
      <c r="F8" s="1037"/>
      <c r="G8" s="1037"/>
      <c r="H8" s="1037"/>
      <c r="I8" s="1037"/>
      <c r="J8" s="1038"/>
    </row>
    <row r="9" spans="1:10" ht="18.649999999999999" hidden="1" customHeight="1" outlineLevel="1" x14ac:dyDescent="0.35">
      <c r="A9" s="709" t="s">
        <v>2231</v>
      </c>
      <c r="B9" s="710"/>
      <c r="C9" s="711"/>
      <c r="D9" s="711">
        <f>'Energo atbalsts'!D9</f>
        <v>141.39400000000001</v>
      </c>
      <c r="E9" s="711">
        <f>'Energo atbalsts'!E9</f>
        <v>134.75700000000001</v>
      </c>
      <c r="F9" s="712">
        <f>'Energo atbalsts'!F9</f>
        <v>134.73500000000001</v>
      </c>
      <c r="G9" s="712"/>
      <c r="H9" s="989"/>
      <c r="I9" s="987"/>
      <c r="J9" s="854"/>
    </row>
    <row r="10" spans="1:10" ht="18.649999999999999" hidden="1" customHeight="1" outlineLevel="1" x14ac:dyDescent="0.35">
      <c r="A10" s="714" t="s">
        <v>2361</v>
      </c>
      <c r="B10" s="715">
        <f>'Energo atbalsts'!B10</f>
        <v>2.97</v>
      </c>
      <c r="C10" s="711">
        <f>'Energo atbalsts'!C10</f>
        <v>1.8805700000000001</v>
      </c>
      <c r="D10" s="711">
        <f>'Energo atbalsts'!D10</f>
        <v>17.524920000000002</v>
      </c>
      <c r="E10" s="711">
        <f>'Energo atbalsts'!E10</f>
        <v>17.524920000000002</v>
      </c>
      <c r="F10" s="712">
        <f>'Energo atbalsts'!F10</f>
        <v>12.701000000000001</v>
      </c>
      <c r="G10" s="712"/>
      <c r="H10" s="712">
        <f>'Energo atbalsts'!H10</f>
        <v>11</v>
      </c>
      <c r="I10" s="712">
        <f>'Energo atbalsts'!I10</f>
        <v>11</v>
      </c>
      <c r="J10" s="854"/>
    </row>
    <row r="11" spans="1:10" ht="18.649999999999999" hidden="1" customHeight="1" outlineLevel="1" x14ac:dyDescent="0.35">
      <c r="A11" s="714" t="s">
        <v>2232</v>
      </c>
      <c r="B11" s="710"/>
      <c r="C11" s="713"/>
      <c r="D11" s="711">
        <f>'Energo atbalsts'!D11</f>
        <v>18.427592000000001</v>
      </c>
      <c r="E11" s="711">
        <f>'Energo atbalsts'!E11</f>
        <v>18.427592000000001</v>
      </c>
      <c r="F11" s="712">
        <f>'Energo atbalsts'!F11</f>
        <v>14.3</v>
      </c>
      <c r="G11" s="716"/>
      <c r="H11" s="1003"/>
      <c r="I11" s="987"/>
      <c r="J11" s="854"/>
    </row>
    <row r="12" spans="1:10" ht="18.649999999999999" hidden="1" customHeight="1" outlineLevel="1" x14ac:dyDescent="0.35">
      <c r="A12" s="714" t="s">
        <v>2233</v>
      </c>
      <c r="B12" s="710"/>
      <c r="C12" s="713"/>
      <c r="D12" s="711">
        <f>'Energo atbalsts'!D12</f>
        <v>7</v>
      </c>
      <c r="E12" s="711">
        <f>'Energo atbalsts'!E12</f>
        <v>8.7140000000000004</v>
      </c>
      <c r="F12" s="712">
        <f>'Energo atbalsts'!F12</f>
        <v>8.74</v>
      </c>
      <c r="G12" s="712"/>
      <c r="H12" s="989"/>
      <c r="I12" s="987"/>
      <c r="J12" s="854"/>
    </row>
    <row r="13" spans="1:10" ht="18.649999999999999" hidden="1" customHeight="1" outlineLevel="1" x14ac:dyDescent="0.35">
      <c r="A13" s="714" t="s">
        <v>2234</v>
      </c>
      <c r="B13" s="710"/>
      <c r="C13" s="710"/>
      <c r="D13" s="715">
        <f>'Energo atbalsts'!D13</f>
        <v>27.400020999999999</v>
      </c>
      <c r="E13" s="711">
        <f>'Energo atbalsts'!E13</f>
        <v>26.451000000000001</v>
      </c>
      <c r="F13" s="712">
        <f>'Energo atbalsts'!F13</f>
        <v>27.02</v>
      </c>
      <c r="G13" s="717"/>
      <c r="H13" s="1004"/>
      <c r="I13" s="988"/>
      <c r="J13" s="854"/>
    </row>
    <row r="14" spans="1:10" ht="18.649999999999999" hidden="1" customHeight="1" outlineLevel="1" x14ac:dyDescent="0.35">
      <c r="A14" s="714" t="s">
        <v>2235</v>
      </c>
      <c r="B14" s="710"/>
      <c r="C14" s="710"/>
      <c r="D14" s="715">
        <f>'Energo atbalsts'!D14</f>
        <v>21.200391</v>
      </c>
      <c r="E14" s="711">
        <f>'Energo atbalsts'!E14</f>
        <v>21.813641860000001</v>
      </c>
      <c r="F14" s="712">
        <f>'Energo atbalsts'!F14</f>
        <v>18.03</v>
      </c>
      <c r="G14" s="717"/>
      <c r="H14" s="1004"/>
      <c r="I14" s="988"/>
      <c r="J14" s="854"/>
    </row>
    <row r="15" spans="1:10" ht="18.649999999999999" hidden="1" customHeight="1" outlineLevel="1" x14ac:dyDescent="0.35">
      <c r="A15" s="1033" t="s">
        <v>2320</v>
      </c>
      <c r="B15" s="1034"/>
      <c r="C15" s="1034"/>
      <c r="D15" s="1034"/>
      <c r="E15" s="1034"/>
      <c r="F15" s="1034"/>
      <c r="G15" s="1034"/>
      <c r="H15" s="1034"/>
      <c r="I15" s="1034"/>
      <c r="J15" s="1035"/>
    </row>
    <row r="16" spans="1:10" ht="35.5" hidden="1" customHeight="1" outlineLevel="1" x14ac:dyDescent="0.35">
      <c r="A16" s="784" t="s">
        <v>2298</v>
      </c>
      <c r="B16" s="710"/>
      <c r="C16" s="710"/>
      <c r="D16" s="715">
        <f>'Energo atbalsts'!D16</f>
        <v>15.16</v>
      </c>
      <c r="E16" s="715">
        <f>'Energo atbalsts'!E16</f>
        <v>1.829451E-2</v>
      </c>
      <c r="F16" s="712">
        <f>'Energo atbalsts'!F16</f>
        <v>3.4189689999999995E-2</v>
      </c>
      <c r="G16" s="712">
        <f>'Energo atbalsts'!G16</f>
        <v>37.9</v>
      </c>
      <c r="H16" s="989">
        <f>'Energo atbalsts'!H16</f>
        <v>0.23578093</v>
      </c>
      <c r="I16" s="989">
        <f>'Energo atbalsts'!I16</f>
        <v>0.23578093</v>
      </c>
      <c r="J16" s="854"/>
    </row>
    <row r="17" spans="1:12" ht="18.649999999999999" hidden="1" customHeight="1" outlineLevel="1" x14ac:dyDescent="0.35">
      <c r="A17" s="784" t="s">
        <v>2294</v>
      </c>
      <c r="B17" s="710"/>
      <c r="C17" s="710"/>
      <c r="D17" s="715">
        <f>'Energo atbalsts'!D17</f>
        <v>26.133745999999999</v>
      </c>
      <c r="E17" s="715">
        <f>'Energo atbalsts'!E17</f>
        <v>13.799999999999999</v>
      </c>
      <c r="F17" s="712">
        <f>'Energo atbalsts'!F17</f>
        <v>6.0525767500000001</v>
      </c>
      <c r="G17" s="712">
        <f>'Energo atbalsts'!G17</f>
        <v>17.426254</v>
      </c>
      <c r="H17" s="989">
        <f>'Energo atbalsts'!H17</f>
        <v>4.8108551500000001</v>
      </c>
      <c r="I17" s="989">
        <f>'Energo atbalsts'!I17</f>
        <v>4.8108551500000001</v>
      </c>
      <c r="J17" s="965"/>
      <c r="K17" s="718"/>
    </row>
    <row r="18" spans="1:12" ht="18.649999999999999" hidden="1" customHeight="1" outlineLevel="1" x14ac:dyDescent="0.35">
      <c r="A18" s="784" t="s">
        <v>2295</v>
      </c>
      <c r="B18" s="710"/>
      <c r="C18" s="710"/>
      <c r="D18" s="715">
        <f>'Energo atbalsts'!D18</f>
        <v>71.999398999999997</v>
      </c>
      <c r="E18" s="715">
        <f>'Energo atbalsts'!E18</f>
        <v>32.234999999999999</v>
      </c>
      <c r="F18" s="712">
        <f>'Energo atbalsts'!F18</f>
        <v>26.41057481</v>
      </c>
      <c r="G18" s="712">
        <f>'Energo atbalsts'!G18</f>
        <v>96.000601000000003</v>
      </c>
      <c r="H18" s="989">
        <f>'Energo atbalsts'!H18</f>
        <v>100.84080710000001</v>
      </c>
      <c r="I18" s="989">
        <f>'Energo atbalsts'!I18</f>
        <v>100.84080710000001</v>
      </c>
      <c r="J18" s="854"/>
    </row>
    <row r="19" spans="1:12" ht="18.649999999999999" hidden="1" customHeight="1" outlineLevel="1" x14ac:dyDescent="0.35">
      <c r="A19" s="784" t="s">
        <v>2236</v>
      </c>
      <c r="B19" s="710"/>
      <c r="C19" s="710"/>
      <c r="D19" s="715">
        <f>'Energo atbalsts'!D19</f>
        <v>21.7728</v>
      </c>
      <c r="E19" s="715">
        <f>'Energo atbalsts'!E19</f>
        <v>0.20217096000000001</v>
      </c>
      <c r="F19" s="712">
        <f>'Energo atbalsts'!F19</f>
        <v>0.10880424</v>
      </c>
      <c r="G19" s="712">
        <f>'Energo atbalsts'!G19</f>
        <v>21.7728</v>
      </c>
      <c r="H19" s="989">
        <f>'Energo atbalsts'!H19</f>
        <v>9.6340389999999998E-2</v>
      </c>
      <c r="I19" s="989">
        <f>'Energo atbalsts'!I19</f>
        <v>9.6340389999999998E-2</v>
      </c>
      <c r="J19" s="854"/>
    </row>
    <row r="20" spans="1:12" ht="18.649999999999999" hidden="1" customHeight="1" outlineLevel="1" x14ac:dyDescent="0.35">
      <c r="A20" s="784" t="s">
        <v>2254</v>
      </c>
      <c r="B20" s="710"/>
      <c r="C20" s="710"/>
      <c r="D20" s="715">
        <f>'Energo atbalsts'!D20</f>
        <v>4.7953599999999996</v>
      </c>
      <c r="E20" s="715">
        <f>'Energo atbalsts'!E20</f>
        <v>15.13334538</v>
      </c>
      <c r="F20" s="712">
        <f>'Energo atbalsts'!F20</f>
        <v>12.875340019999999</v>
      </c>
      <c r="G20" s="715"/>
      <c r="H20" s="989">
        <f>'Energo atbalsts'!H20</f>
        <v>9.6180000000000002E-2</v>
      </c>
      <c r="I20" s="989">
        <f>'Energo atbalsts'!I20</f>
        <v>9.6180000000000002E-2</v>
      </c>
      <c r="J20" s="966"/>
    </row>
    <row r="21" spans="1:12" ht="18.649999999999999" hidden="1" customHeight="1" outlineLevel="1" x14ac:dyDescent="0.35">
      <c r="A21" s="784" t="s">
        <v>2237</v>
      </c>
      <c r="B21" s="710"/>
      <c r="C21" s="710"/>
      <c r="D21" s="715">
        <f>'Energo atbalsts'!D21</f>
        <v>2.016</v>
      </c>
      <c r="E21" s="715">
        <f>'Energo atbalsts'!E21</f>
        <v>0.11879520000000002</v>
      </c>
      <c r="F21" s="712">
        <f>'Energo atbalsts'!F21</f>
        <v>6.7346650000000008E-2</v>
      </c>
      <c r="G21" s="712">
        <f>'Energo atbalsts'!G21</f>
        <v>2.016</v>
      </c>
      <c r="H21" s="989">
        <f>'Energo atbalsts'!H21</f>
        <v>8.3261269999999998E-2</v>
      </c>
      <c r="I21" s="989">
        <f>'Energo atbalsts'!I21</f>
        <v>8.3261269999999998E-2</v>
      </c>
      <c r="J21" s="966"/>
    </row>
    <row r="22" spans="1:12" ht="18.649999999999999" hidden="1" customHeight="1" outlineLevel="1" x14ac:dyDescent="0.35">
      <c r="A22" s="784" t="s">
        <v>2238</v>
      </c>
      <c r="B22" s="710"/>
      <c r="C22" s="710"/>
      <c r="D22" s="715">
        <f>'Energo atbalsts'!D22</f>
        <v>10.48</v>
      </c>
      <c r="E22" s="715">
        <f>'Energo atbalsts'!E22</f>
        <v>2.5045175399999997</v>
      </c>
      <c r="F22" s="712">
        <f>'Energo atbalsts'!F22</f>
        <v>1.10586641</v>
      </c>
      <c r="G22" s="712">
        <f>'Energo atbalsts'!G22</f>
        <v>11.92</v>
      </c>
      <c r="H22" s="989">
        <f>'Energo atbalsts'!H22</f>
        <v>0.63536852999999993</v>
      </c>
      <c r="I22" s="989">
        <f>'Energo atbalsts'!I22</f>
        <v>0.63536852999999993</v>
      </c>
      <c r="J22" s="966"/>
    </row>
    <row r="23" spans="1:12" ht="18.649999999999999" hidden="1" customHeight="1" outlineLevel="1" x14ac:dyDescent="0.35">
      <c r="A23" s="784" t="s">
        <v>2356</v>
      </c>
      <c r="B23" s="710"/>
      <c r="C23" s="710"/>
      <c r="D23" s="715"/>
      <c r="E23" s="715"/>
      <c r="F23" s="712"/>
      <c r="G23" s="715"/>
      <c r="H23" s="989">
        <f>'Energo atbalsts'!H23</f>
        <v>8.6063909999999993E-2</v>
      </c>
      <c r="I23" s="989">
        <f>'Energo atbalsts'!I23</f>
        <v>8.6063909999999993E-2</v>
      </c>
      <c r="J23" s="966"/>
    </row>
    <row r="24" spans="1:12" ht="18.649999999999999" hidden="1" customHeight="1" outlineLevel="1" x14ac:dyDescent="0.35">
      <c r="A24" s="784" t="s">
        <v>2357</v>
      </c>
      <c r="B24" s="710"/>
      <c r="C24" s="710"/>
      <c r="D24" s="715"/>
      <c r="E24" s="715"/>
      <c r="F24" s="712"/>
      <c r="G24" s="715"/>
      <c r="H24" s="989">
        <f>'Energo atbalsts'!H24</f>
        <v>0.23992831000000001</v>
      </c>
      <c r="I24" s="989">
        <f>'Energo atbalsts'!I24</f>
        <v>0.23992831000000001</v>
      </c>
      <c r="J24" s="966"/>
    </row>
    <row r="25" spans="1:12" ht="18.649999999999999" hidden="1" customHeight="1" outlineLevel="1" x14ac:dyDescent="0.35">
      <c r="A25" s="784" t="s">
        <v>2293</v>
      </c>
      <c r="B25" s="710"/>
      <c r="C25" s="710"/>
      <c r="D25" s="715">
        <f>'Energo atbalsts'!D25</f>
        <v>52.961942999999998</v>
      </c>
      <c r="E25" s="715">
        <f>'Energo atbalsts'!E25</f>
        <v>37.975000000000001</v>
      </c>
      <c r="F25" s="712">
        <f>'Energo atbalsts'!F25</f>
        <v>30.992884499999999</v>
      </c>
      <c r="G25" s="712">
        <f>'Energo atbalsts'!G25</f>
        <v>70.615924000000007</v>
      </c>
      <c r="H25" s="989">
        <f>'Energo atbalsts'!H25</f>
        <v>82.521629129999994</v>
      </c>
      <c r="I25" s="989">
        <f>'Energo atbalsts'!I25</f>
        <v>82.521629129999994</v>
      </c>
      <c r="J25" s="966"/>
    </row>
    <row r="26" spans="1:12" ht="18.649999999999999" hidden="1" customHeight="1" outlineLevel="1" x14ac:dyDescent="0.35">
      <c r="A26" s="784" t="s">
        <v>2292</v>
      </c>
      <c r="B26" s="710"/>
      <c r="C26" s="710"/>
      <c r="D26" s="715">
        <f>'Energo atbalsts'!D26</f>
        <v>3.1114289999999998</v>
      </c>
      <c r="E26" s="715">
        <f>'Energo atbalsts'!E26</f>
        <v>2.46</v>
      </c>
      <c r="F26" s="712">
        <f>'Energo atbalsts'!F26</f>
        <v>1.7142301900000001</v>
      </c>
      <c r="G26" s="712">
        <f>'Energo atbalsts'!G26</f>
        <v>7.7785710000000003</v>
      </c>
      <c r="H26" s="989">
        <f>'Energo atbalsts'!H26</f>
        <v>0.72417978999999999</v>
      </c>
      <c r="I26" s="989">
        <f>'Energo atbalsts'!I26</f>
        <v>0.72417978999999999</v>
      </c>
      <c r="J26" s="966"/>
    </row>
    <row r="27" spans="1:12" ht="46.5" hidden="1" customHeight="1" outlineLevel="1" x14ac:dyDescent="0.35">
      <c r="A27" s="784" t="s">
        <v>2355</v>
      </c>
      <c r="B27" s="710"/>
      <c r="C27" s="710"/>
      <c r="D27" s="715"/>
      <c r="E27" s="715"/>
      <c r="F27" s="712"/>
      <c r="G27" s="715"/>
      <c r="H27" s="989">
        <f>'Energo atbalsts'!H27</f>
        <v>40.865333360000001</v>
      </c>
      <c r="I27" s="989">
        <f>'Energo atbalsts'!I27</f>
        <v>40.865333360000001</v>
      </c>
      <c r="J27" s="966"/>
    </row>
    <row r="28" spans="1:12" ht="18.649999999999999" hidden="1" customHeight="1" outlineLevel="1" x14ac:dyDescent="0.35">
      <c r="A28" s="784" t="s">
        <v>2297</v>
      </c>
      <c r="B28" s="710"/>
      <c r="C28" s="710"/>
      <c r="D28" s="715">
        <f>'Energo atbalsts'!D28</f>
        <v>19.166399999999999</v>
      </c>
      <c r="E28" s="715">
        <f>'Energo atbalsts'!E28</f>
        <v>5.35</v>
      </c>
      <c r="F28" s="712">
        <f>'Energo atbalsts'!F28</f>
        <v>5.13217781</v>
      </c>
      <c r="G28" s="712">
        <f>'Energo atbalsts'!G28</f>
        <v>47.915999999999997</v>
      </c>
      <c r="H28" s="989">
        <f>'Energo atbalsts'!H28</f>
        <v>17.406706759999999</v>
      </c>
      <c r="I28" s="989">
        <f>'Energo atbalsts'!I28</f>
        <v>17.406706759999999</v>
      </c>
      <c r="J28" s="966"/>
    </row>
    <row r="29" spans="1:12" ht="18.649999999999999" hidden="1" customHeight="1" outlineLevel="1" x14ac:dyDescent="0.35">
      <c r="A29" s="784" t="s">
        <v>2253</v>
      </c>
      <c r="B29" s="710"/>
      <c r="C29" s="710"/>
      <c r="D29" s="715">
        <f>'Energo atbalsts'!D29</f>
        <v>24.877208</v>
      </c>
      <c r="E29" s="715">
        <f>'Energo atbalsts'!E29</f>
        <v>17.64</v>
      </c>
      <c r="F29" s="712">
        <f>'Energo atbalsts'!F29</f>
        <v>15.146614980000001</v>
      </c>
      <c r="G29" s="712">
        <f>'Energo atbalsts'!G29</f>
        <v>62.193019</v>
      </c>
      <c r="H29" s="989">
        <f>'Energo atbalsts'!H29</f>
        <v>60.928766580000001</v>
      </c>
      <c r="I29" s="989">
        <f>'Energo atbalsts'!I29</f>
        <v>60.928766580000001</v>
      </c>
      <c r="J29" s="966"/>
    </row>
    <row r="30" spans="1:12" ht="18.649999999999999" hidden="1" customHeight="1" outlineLevel="1" x14ac:dyDescent="0.35">
      <c r="A30" s="784" t="s">
        <v>2291</v>
      </c>
      <c r="B30" s="710"/>
      <c r="C30" s="710"/>
      <c r="D30" s="715">
        <f>'Energo atbalsts'!D30</f>
        <v>85.708332999999996</v>
      </c>
      <c r="E30" s="715">
        <f>'Energo atbalsts'!E30</f>
        <v>25.98</v>
      </c>
      <c r="F30" s="712">
        <f>'Energo atbalsts'!F30</f>
        <v>24.397352189999999</v>
      </c>
      <c r="G30" s="712">
        <f>'Energo atbalsts'!G30</f>
        <v>171.41666699999999</v>
      </c>
      <c r="H30" s="989">
        <f>'Energo atbalsts'!H30</f>
        <v>42.671751100000002</v>
      </c>
      <c r="I30" s="989">
        <f>'Energo atbalsts'!I30</f>
        <v>42.671751100000002</v>
      </c>
      <c r="J30" s="966"/>
    </row>
    <row r="31" spans="1:12" ht="25" customHeight="1" collapsed="1" x14ac:dyDescent="0.55000000000000004">
      <c r="A31" s="781" t="s">
        <v>2239</v>
      </c>
      <c r="B31" s="782">
        <f>'Energo atbalsts'!B31</f>
        <v>0</v>
      </c>
      <c r="C31" s="782">
        <f>'Energo atbalsts'!C31</f>
        <v>0</v>
      </c>
      <c r="D31" s="782">
        <f>'Energo atbalsts'!D31</f>
        <v>214.94881200000003</v>
      </c>
      <c r="E31" s="782">
        <f>'Energo atbalsts'!E31</f>
        <v>253.09474299999999</v>
      </c>
      <c r="F31" s="782">
        <f>'Energo atbalsts'!F31</f>
        <v>240.43266234000004</v>
      </c>
      <c r="G31" s="782">
        <f>'Energo atbalsts'!G31</f>
        <v>74.613102999999995</v>
      </c>
      <c r="H31" s="990">
        <f>'Energo atbalsts'!H31</f>
        <v>60.7</v>
      </c>
      <c r="I31" s="990">
        <f>'Energo atbalsts'!I31</f>
        <v>60.702343999999997</v>
      </c>
      <c r="J31" s="782">
        <f>'Energo atbalsts'!J31</f>
        <v>0</v>
      </c>
      <c r="K31" s="719"/>
      <c r="L31" s="719"/>
    </row>
    <row r="32" spans="1:12" ht="19" hidden="1" customHeight="1" outlineLevel="1" x14ac:dyDescent="0.35">
      <c r="A32" s="1039" t="s">
        <v>2240</v>
      </c>
      <c r="B32" s="1040"/>
      <c r="C32" s="1040"/>
      <c r="D32" s="1040"/>
      <c r="E32" s="1040"/>
      <c r="F32" s="1040"/>
      <c r="G32" s="1040"/>
      <c r="H32" s="1040"/>
      <c r="I32" s="1040"/>
      <c r="J32" s="1041"/>
    </row>
    <row r="33" spans="1:10" ht="41" hidden="1" outlineLevel="1" x14ac:dyDescent="0.35">
      <c r="A33" s="720" t="s">
        <v>2337</v>
      </c>
      <c r="B33" s="710"/>
      <c r="C33" s="713"/>
      <c r="D33" s="711">
        <f>'Energo atbalsts'!D33</f>
        <v>14.068836000000001</v>
      </c>
      <c r="E33" s="711">
        <f>'Energo atbalsts'!E33</f>
        <v>14.068836000000001</v>
      </c>
      <c r="F33" s="712">
        <f>'Energo atbalsts'!F33</f>
        <v>5.5182758200000004</v>
      </c>
      <c r="G33" s="855"/>
      <c r="H33" s="1005"/>
      <c r="I33" s="991"/>
      <c r="J33" s="994"/>
    </row>
    <row r="34" spans="1:10" ht="37" hidden="1" customHeight="1" outlineLevel="1" x14ac:dyDescent="0.35">
      <c r="A34" s="720" t="s">
        <v>2241</v>
      </c>
      <c r="B34" s="710"/>
      <c r="C34" s="713"/>
      <c r="D34" s="711">
        <f>'Energo atbalsts'!D34</f>
        <v>44.250390000000003</v>
      </c>
      <c r="E34" s="711">
        <f>'Energo atbalsts'!E34</f>
        <v>43.84</v>
      </c>
      <c r="F34" s="712">
        <f>'Energo atbalsts'!F34</f>
        <v>43.84920752</v>
      </c>
      <c r="G34" s="855"/>
      <c r="H34" s="1005"/>
      <c r="I34" s="987"/>
      <c r="J34" s="854"/>
    </row>
    <row r="35" spans="1:10" ht="41" hidden="1" outlineLevel="1" x14ac:dyDescent="0.35">
      <c r="A35" s="720" t="s">
        <v>2242</v>
      </c>
      <c r="B35" s="710"/>
      <c r="C35" s="713"/>
      <c r="D35" s="711">
        <f>'Energo atbalsts'!D35</f>
        <v>81.121153000000007</v>
      </c>
      <c r="E35" s="711">
        <f>'Energo atbalsts'!E35</f>
        <v>80.98</v>
      </c>
      <c r="F35" s="712">
        <f>'Energo atbalsts'!F35</f>
        <v>81.042139000000006</v>
      </c>
      <c r="G35" s="855"/>
      <c r="H35" s="1005"/>
      <c r="I35" s="987"/>
      <c r="J35" s="854"/>
    </row>
    <row r="36" spans="1:10" ht="63.75" hidden="1" customHeight="1" outlineLevel="1" x14ac:dyDescent="0.35">
      <c r="A36" s="720" t="s">
        <v>2243</v>
      </c>
      <c r="B36" s="710"/>
      <c r="C36" s="710"/>
      <c r="D36" s="711">
        <f>'Energo atbalsts'!D36</f>
        <v>6.7200000000000003E-3</v>
      </c>
      <c r="E36" s="711">
        <f>'Energo atbalsts'!E36</f>
        <v>2.48E-3</v>
      </c>
      <c r="F36" s="712">
        <f>'Energo atbalsts'!F36</f>
        <v>2E-3</v>
      </c>
      <c r="G36" s="855"/>
      <c r="H36" s="1005"/>
      <c r="I36" s="988"/>
      <c r="J36" s="854"/>
    </row>
    <row r="37" spans="1:10" ht="22.5" hidden="1" customHeight="1" outlineLevel="1" x14ac:dyDescent="0.35">
      <c r="A37" s="1033" t="s">
        <v>2320</v>
      </c>
      <c r="B37" s="1034"/>
      <c r="C37" s="1034"/>
      <c r="D37" s="1034"/>
      <c r="E37" s="1034"/>
      <c r="F37" s="1034"/>
      <c r="G37" s="1034"/>
      <c r="H37" s="1034"/>
      <c r="I37" s="1034"/>
      <c r="J37" s="1035"/>
    </row>
    <row r="38" spans="1:10" ht="41" hidden="1" outlineLevel="1" x14ac:dyDescent="0.35">
      <c r="A38" s="720" t="s">
        <v>2338</v>
      </c>
      <c r="B38" s="856"/>
      <c r="C38" s="857"/>
      <c r="D38" s="857"/>
      <c r="E38" s="857"/>
      <c r="F38" s="857"/>
      <c r="G38" s="858">
        <f>'Energo atbalsts'!G38</f>
        <v>14.721354</v>
      </c>
      <c r="H38" s="989">
        <f>'Energo atbalsts'!H38</f>
        <v>13.7</v>
      </c>
      <c r="I38" s="989">
        <f>'Energo atbalsts'!I38</f>
        <v>13.68</v>
      </c>
      <c r="J38" s="854"/>
    </row>
    <row r="39" spans="1:10" ht="20.5" hidden="1" outlineLevel="1" x14ac:dyDescent="0.35">
      <c r="A39" s="720" t="s">
        <v>2319</v>
      </c>
      <c r="B39" s="722"/>
      <c r="C39" s="722"/>
      <c r="D39" s="715">
        <f>'Energo atbalsts'!D39</f>
        <v>52.130732000000002</v>
      </c>
      <c r="E39" s="715">
        <f>'Energo atbalsts'!E39</f>
        <v>90.832446000000004</v>
      </c>
      <c r="F39" s="712">
        <f>'Energo atbalsts'!F39</f>
        <v>91.4</v>
      </c>
      <c r="G39" s="858"/>
      <c r="H39" s="992"/>
      <c r="I39" s="992"/>
      <c r="J39" s="854"/>
    </row>
    <row r="40" spans="1:10" ht="20.5" hidden="1" outlineLevel="1" x14ac:dyDescent="0.35">
      <c r="A40" s="720" t="s">
        <v>2244</v>
      </c>
      <c r="B40" s="722"/>
      <c r="C40" s="722"/>
      <c r="D40" s="715">
        <f>'Energo atbalsts'!D40</f>
        <v>0.2828</v>
      </c>
      <c r="E40" s="715">
        <f>'Energo atbalsts'!E40</f>
        <v>0.2828</v>
      </c>
      <c r="F40" s="712">
        <f>'Energo atbalsts'!F40</f>
        <v>0.28000000000000003</v>
      </c>
      <c r="G40" s="858"/>
      <c r="H40" s="992"/>
      <c r="I40" s="992"/>
      <c r="J40" s="854"/>
    </row>
    <row r="41" spans="1:10" ht="61.5" hidden="1" outlineLevel="1" x14ac:dyDescent="0.35">
      <c r="A41" s="720" t="s">
        <v>2245</v>
      </c>
      <c r="B41" s="710"/>
      <c r="C41" s="710"/>
      <c r="D41" s="715">
        <f>'Energo atbalsts'!D41</f>
        <v>23.086981000000002</v>
      </c>
      <c r="E41" s="715">
        <f>'Energo atbalsts'!E41</f>
        <v>23.086981000000002</v>
      </c>
      <c r="F41" s="715">
        <f>'Energo atbalsts'!F41</f>
        <v>18.340039999999998</v>
      </c>
      <c r="G41" s="858">
        <f>'Energo atbalsts'!G41</f>
        <v>59.888748</v>
      </c>
      <c r="H41" s="989">
        <f>'Energo atbalsts'!H41</f>
        <v>47</v>
      </c>
      <c r="I41" s="989">
        <f>'Energo atbalsts'!I41</f>
        <v>46.96</v>
      </c>
      <c r="J41" s="965"/>
    </row>
    <row r="42" spans="1:10" ht="82" hidden="1" outlineLevel="1" x14ac:dyDescent="0.35">
      <c r="A42" s="720" t="s">
        <v>2246</v>
      </c>
      <c r="B42" s="710"/>
      <c r="C42" s="710"/>
      <c r="D42" s="715">
        <f>'Energo atbalsts'!D42</f>
        <v>1.1999999999999999E-3</v>
      </c>
      <c r="E42" s="853">
        <f>'Energo atbalsts'!E42</f>
        <v>1.1999999999999999E-3</v>
      </c>
      <c r="F42" s="853">
        <f>'Energo atbalsts'!F42</f>
        <v>1E-3</v>
      </c>
      <c r="G42" s="858">
        <f>'Energo atbalsts'!G42</f>
        <v>3.0010000000000002E-3</v>
      </c>
      <c r="H42" s="989">
        <f>'Energo atbalsts'!H42</f>
        <v>0</v>
      </c>
      <c r="I42" s="989">
        <f>'Energo atbalsts'!I42</f>
        <v>0</v>
      </c>
      <c r="J42" s="995"/>
    </row>
    <row r="43" spans="1:10" ht="20" collapsed="1" x14ac:dyDescent="0.4">
      <c r="A43" s="860" t="s">
        <v>2371</v>
      </c>
      <c r="B43" s="861"/>
      <c r="C43" s="862">
        <f>'Energo atbalsts'!C43</f>
        <v>0</v>
      </c>
      <c r="D43" s="862">
        <f>'Energo atbalsts'!D43</f>
        <v>0</v>
      </c>
      <c r="E43" s="862">
        <f>'Energo atbalsts'!E43</f>
        <v>0</v>
      </c>
      <c r="F43" s="862">
        <f>'Energo atbalsts'!F43</f>
        <v>0</v>
      </c>
      <c r="G43" s="862">
        <f>'Energo atbalsts'!G43</f>
        <v>30.47</v>
      </c>
      <c r="H43" s="993">
        <f>'Energo atbalsts'!H43</f>
        <v>30.5</v>
      </c>
      <c r="I43" s="993">
        <f>'Energo atbalsts'!I43</f>
        <v>30.5</v>
      </c>
      <c r="J43" s="862">
        <f>'Energo atbalsts'!J43</f>
        <v>0</v>
      </c>
    </row>
    <row r="44" spans="1:10" ht="22.5" customHeight="1" x14ac:dyDescent="0.4">
      <c r="A44" s="860" t="s">
        <v>2339</v>
      </c>
      <c r="B44" s="861"/>
      <c r="C44" s="862">
        <f>'Energo atbalsts'!C44</f>
        <v>0</v>
      </c>
      <c r="D44" s="862">
        <f>'Energo atbalsts'!D44</f>
        <v>50</v>
      </c>
      <c r="E44" s="862">
        <f>'Energo atbalsts'!E44</f>
        <v>24.5</v>
      </c>
      <c r="F44" s="862">
        <f>'Energo atbalsts'!F44</f>
        <v>23.547431320000001</v>
      </c>
      <c r="G44" s="862">
        <f>'Energo atbalsts'!G44</f>
        <v>0</v>
      </c>
      <c r="H44" s="993">
        <f>'Energo atbalsts'!H44</f>
        <v>0</v>
      </c>
      <c r="I44" s="993">
        <f>'Energo atbalsts'!I44</f>
        <v>0</v>
      </c>
      <c r="J44" s="862">
        <f>'Energo atbalsts'!J44</f>
        <v>0</v>
      </c>
    </row>
    <row r="45" spans="1:10" ht="22.5" customHeight="1" x14ac:dyDescent="0.4">
      <c r="A45" s="860" t="s">
        <v>2372</v>
      </c>
      <c r="B45" s="861"/>
      <c r="C45" s="862">
        <f>'Energo atbalsts'!C45</f>
        <v>0</v>
      </c>
      <c r="D45" s="862"/>
      <c r="E45" s="862"/>
      <c r="F45" s="862">
        <f>'Energo atbalsts'!F45</f>
        <v>0</v>
      </c>
      <c r="G45" s="862">
        <f>'Energo atbalsts'!G45</f>
        <v>0</v>
      </c>
      <c r="H45" s="993">
        <f>'Energo atbalsts'!H45</f>
        <v>30</v>
      </c>
      <c r="I45" s="993">
        <f>'Energo atbalsts'!I45</f>
        <v>0</v>
      </c>
      <c r="J45" s="862">
        <f>'Energo atbalsts'!J45</f>
        <v>50</v>
      </c>
    </row>
    <row r="46" spans="1:10" ht="15" customHeight="1" x14ac:dyDescent="0.35">
      <c r="A46" s="723"/>
      <c r="B46" s="724"/>
      <c r="C46" s="725"/>
      <c r="D46" s="726"/>
      <c r="E46" s="726"/>
      <c r="F46" s="726"/>
      <c r="G46" s="726"/>
      <c r="H46" s="726"/>
      <c r="I46" s="727"/>
    </row>
    <row r="47" spans="1:10" ht="20.5" customHeight="1" x14ac:dyDescent="0.35">
      <c r="A47" s="1065" t="s">
        <v>2316</v>
      </c>
      <c r="B47" s="1065"/>
      <c r="C47" s="1065"/>
      <c r="D47" s="1065"/>
      <c r="E47" s="1065"/>
      <c r="F47" s="1065"/>
      <c r="G47" s="1065"/>
      <c r="H47" s="1065"/>
      <c r="I47" s="1065"/>
    </row>
    <row r="48" spans="1:10" ht="20.5" x14ac:dyDescent="0.35">
      <c r="A48" s="1066" t="s">
        <v>2349</v>
      </c>
      <c r="B48" s="1066"/>
      <c r="C48" s="1066"/>
      <c r="D48" s="1066"/>
      <c r="E48" s="1066"/>
      <c r="F48" s="1066"/>
      <c r="G48" s="1066"/>
      <c r="H48" s="1066"/>
      <c r="I48" s="1066"/>
    </row>
    <row r="49" spans="1:10" ht="20.5" x14ac:dyDescent="0.35">
      <c r="A49" s="1065" t="s">
        <v>2317</v>
      </c>
      <c r="B49" s="1065"/>
      <c r="C49" s="1065"/>
      <c r="D49" s="1065"/>
      <c r="E49" s="1065"/>
      <c r="F49" s="1065"/>
      <c r="G49" s="1065"/>
      <c r="H49" s="1065"/>
      <c r="I49" s="1065"/>
    </row>
    <row r="50" spans="1:10" ht="25" customHeight="1" x14ac:dyDescent="0.45">
      <c r="A50" s="1059" t="s">
        <v>2318</v>
      </c>
      <c r="B50" s="1059"/>
      <c r="C50" s="1059"/>
      <c r="D50" s="1059" t="s">
        <v>2210</v>
      </c>
      <c r="E50" s="1059"/>
      <c r="F50" s="1059"/>
      <c r="G50" s="1059"/>
      <c r="H50" s="1059"/>
      <c r="I50" s="1059" t="s">
        <v>2211</v>
      </c>
    </row>
    <row r="51" spans="1:10" ht="42" customHeight="1" x14ac:dyDescent="0.45">
      <c r="A51" s="1058" t="s">
        <v>2373</v>
      </c>
      <c r="B51" s="1058"/>
      <c r="C51" s="1058"/>
      <c r="D51" s="1058"/>
      <c r="E51" s="1058"/>
      <c r="F51" s="1058"/>
      <c r="G51" s="1058"/>
      <c r="H51" s="1058"/>
      <c r="I51" s="1058"/>
      <c r="J51" s="1058"/>
    </row>
    <row r="52" spans="1:10" x14ac:dyDescent="0.35">
      <c r="I52" s="718"/>
    </row>
  </sheetData>
  <mergeCells count="13">
    <mergeCell ref="A51:J51"/>
    <mergeCell ref="A50:I50"/>
    <mergeCell ref="A4:A5"/>
    <mergeCell ref="B4:C4"/>
    <mergeCell ref="D4:F4"/>
    <mergeCell ref="A47:I47"/>
    <mergeCell ref="A48:I48"/>
    <mergeCell ref="A49:I49"/>
    <mergeCell ref="G4:I4"/>
    <mergeCell ref="A8:J8"/>
    <mergeCell ref="A32:J32"/>
    <mergeCell ref="A37:J37"/>
    <mergeCell ref="A15:J15"/>
  </mergeCells>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9164-28F8-4B29-94E4-BBBA2FCF7612}">
  <sheetPr>
    <tabColor rgb="FF00B050"/>
  </sheetPr>
  <dimension ref="A1:G20"/>
  <sheetViews>
    <sheetView zoomScale="90" zoomScaleNormal="90" workbookViewId="0">
      <selection activeCell="E6" sqref="E6"/>
    </sheetView>
  </sheetViews>
  <sheetFormatPr defaultColWidth="8.7265625" defaultRowHeight="14" outlineLevelCol="1" x14ac:dyDescent="0.3"/>
  <cols>
    <col min="1" max="1" width="82.81640625" style="702" customWidth="1"/>
    <col min="2" max="2" width="12.54296875" style="702" hidden="1" customWidth="1" outlineLevel="1"/>
    <col min="3" max="3" width="14.54296875" style="702" customWidth="1" collapsed="1"/>
    <col min="4" max="4" width="9.1796875" style="702" customWidth="1"/>
    <col min="5" max="5" width="14.26953125" style="702" customWidth="1"/>
    <col min="6" max="6" width="11.1796875" style="702" customWidth="1"/>
    <col min="7" max="7" width="8.7265625" style="702"/>
    <col min="8" max="8" width="9.1796875" style="702" customWidth="1"/>
    <col min="9" max="16384" width="8.7265625" style="702"/>
  </cols>
  <sheetData>
    <row r="1" spans="1:7" ht="15.5" x14ac:dyDescent="0.35">
      <c r="B1" s="728"/>
      <c r="C1" s="729"/>
      <c r="D1" s="729"/>
    </row>
    <row r="2" spans="1:7" ht="17.5" x14ac:dyDescent="0.35">
      <c r="A2" s="774" t="s">
        <v>2247</v>
      </c>
      <c r="B2" s="775"/>
      <c r="C2" s="776"/>
      <c r="D2" s="776"/>
    </row>
    <row r="4" spans="1:7" ht="14.5" customHeight="1" x14ac:dyDescent="0.3">
      <c r="A4" s="1067" t="s">
        <v>1760</v>
      </c>
      <c r="B4" s="1044">
        <v>2022</v>
      </c>
      <c r="C4" s="1044"/>
      <c r="D4" s="1045">
        <v>2023</v>
      </c>
      <c r="E4" s="1046"/>
      <c r="F4" s="999">
        <v>2024</v>
      </c>
    </row>
    <row r="5" spans="1:7" ht="26.15" customHeight="1" x14ac:dyDescent="0.3">
      <c r="A5" s="1068"/>
      <c r="B5" s="777" t="s">
        <v>739</v>
      </c>
      <c r="C5" s="787" t="s">
        <v>1978</v>
      </c>
      <c r="D5" s="777" t="s">
        <v>739</v>
      </c>
      <c r="E5" s="787" t="s">
        <v>1978</v>
      </c>
      <c r="F5" s="777" t="s">
        <v>739</v>
      </c>
    </row>
    <row r="6" spans="1:7" x14ac:dyDescent="0.3">
      <c r="A6" s="731" t="s">
        <v>2248</v>
      </c>
      <c r="B6" s="732">
        <f>'Atbalsts Ukrainai'!B6</f>
        <v>7.7107599999999996</v>
      </c>
      <c r="C6" s="732">
        <f>'Atbalsts Ukrainai'!C6</f>
        <v>7.702718</v>
      </c>
      <c r="D6" s="732" t="str">
        <f>'Atbalsts Ukrainai'!D6</f>
        <v>-</v>
      </c>
      <c r="E6" s="732">
        <f>'Atbalsts Ukrainai'!E6</f>
        <v>10</v>
      </c>
      <c r="F6" s="732" t="str">
        <f>'Atbalsts Ukrainai'!F6</f>
        <v>-</v>
      </c>
    </row>
    <row r="7" spans="1:7" x14ac:dyDescent="0.3">
      <c r="A7" s="731" t="s">
        <v>2249</v>
      </c>
      <c r="B7" s="732">
        <f>'Atbalsts Ukrainai'!B7</f>
        <v>54.780085999999997</v>
      </c>
      <c r="C7" s="732">
        <f>'Atbalsts Ukrainai'!C7</f>
        <v>56.771385999999985</v>
      </c>
      <c r="D7" s="732" t="str">
        <f>'Atbalsts Ukrainai'!D7</f>
        <v>-</v>
      </c>
      <c r="E7" s="732">
        <f>'Atbalsts Ukrainai'!E7</f>
        <v>28.867369</v>
      </c>
      <c r="F7" s="732" t="str">
        <f>'Atbalsts Ukrainai'!F7</f>
        <v>-</v>
      </c>
    </row>
    <row r="8" spans="1:7" x14ac:dyDescent="0.3">
      <c r="A8" s="731" t="s">
        <v>2250</v>
      </c>
      <c r="B8" s="732">
        <f>'Atbalsts Ukrainai'!B8</f>
        <v>16.920591999999999</v>
      </c>
      <c r="C8" s="732">
        <f>'Atbalsts Ukrainai'!C8</f>
        <v>16.536028000000002</v>
      </c>
      <c r="D8" s="732" t="str">
        <f>'Atbalsts Ukrainai'!D8</f>
        <v>-</v>
      </c>
      <c r="E8" s="732">
        <f>'Atbalsts Ukrainai'!E8</f>
        <v>29.000039999999998</v>
      </c>
      <c r="F8" s="732" t="str">
        <f>'Atbalsts Ukrainai'!F8</f>
        <v>-</v>
      </c>
      <c r="G8" s="733"/>
    </row>
    <row r="9" spans="1:7" x14ac:dyDescent="0.3">
      <c r="A9" s="734" t="s">
        <v>306</v>
      </c>
      <c r="B9" s="735">
        <f>'Atbalsts Ukrainai'!B9</f>
        <v>79.411438000000004</v>
      </c>
      <c r="C9" s="735">
        <f>'Atbalsts Ukrainai'!C9</f>
        <v>81.010131999999984</v>
      </c>
      <c r="D9" s="735">
        <f>'Atbalsts Ukrainai'!D9</f>
        <v>102</v>
      </c>
      <c r="E9" s="735">
        <f>'Atbalsts Ukrainai'!E9</f>
        <v>67.867408999999995</v>
      </c>
      <c r="F9" s="735">
        <f>'Atbalsts Ukrainai'!F9</f>
        <v>70</v>
      </c>
    </row>
    <row r="10" spans="1:7" x14ac:dyDescent="0.3">
      <c r="B10" s="736"/>
    </row>
    <row r="14" spans="1:7" x14ac:dyDescent="0.3">
      <c r="B14" s="737"/>
      <c r="C14" s="730"/>
      <c r="D14" s="730"/>
    </row>
    <row r="15" spans="1:7" x14ac:dyDescent="0.3">
      <c r="B15" s="730"/>
      <c r="C15" s="738"/>
      <c r="D15" s="738"/>
    </row>
    <row r="16" spans="1:7" x14ac:dyDescent="0.3">
      <c r="B16" s="739"/>
      <c r="C16" s="740"/>
      <c r="D16" s="740"/>
    </row>
    <row r="17" spans="2:4" x14ac:dyDescent="0.3">
      <c r="B17" s="739"/>
      <c r="C17" s="741"/>
      <c r="D17" s="741"/>
    </row>
    <row r="18" spans="2:4" x14ac:dyDescent="0.3">
      <c r="B18" s="739"/>
      <c r="C18" s="740"/>
      <c r="D18" s="740"/>
    </row>
    <row r="19" spans="2:4" x14ac:dyDescent="0.3">
      <c r="B19" s="739"/>
      <c r="C19" s="740"/>
      <c r="D19" s="740"/>
    </row>
    <row r="20" spans="2:4" x14ac:dyDescent="0.3">
      <c r="B20" s="730"/>
      <c r="C20" s="742"/>
      <c r="D20" s="742"/>
    </row>
  </sheetData>
  <mergeCells count="3">
    <mergeCell ref="A4:A5"/>
    <mergeCell ref="B4:C4"/>
    <mergeCell ref="D4:E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C1E3-AE6D-40E6-B0BC-EF1E0902F79A}">
  <sheetPr>
    <tabColor rgb="FFFF0000"/>
  </sheetPr>
  <dimension ref="A1:Y46"/>
  <sheetViews>
    <sheetView zoomScale="50" zoomScaleNormal="50" workbookViewId="0">
      <selection activeCell="AC24" sqref="AC24"/>
    </sheetView>
  </sheetViews>
  <sheetFormatPr defaultColWidth="8.7265625" defaultRowHeight="15.5" x14ac:dyDescent="0.35"/>
  <cols>
    <col min="1" max="1" width="55.7265625" style="528" customWidth="1"/>
    <col min="2" max="2" width="10.1796875" style="529" customWidth="1"/>
    <col min="3" max="3" width="11.453125" style="529" hidden="1" customWidth="1"/>
    <col min="4" max="4" width="10.54296875" style="529" customWidth="1"/>
    <col min="5" max="5" width="23.453125" style="529" hidden="1" customWidth="1"/>
    <col min="6" max="6" width="13.26953125" style="529" customWidth="1"/>
    <col min="7" max="7" width="16.81640625" style="528" customWidth="1"/>
    <col min="8" max="8" width="25.54296875" style="528" customWidth="1"/>
    <col min="9" max="9" width="3.453125" style="528" customWidth="1"/>
    <col min="10" max="23" width="8.7265625" style="528"/>
    <col min="24" max="24" width="16.1796875" style="528" customWidth="1"/>
    <col min="25" max="16384" width="8.7265625" style="528"/>
  </cols>
  <sheetData>
    <row r="1" spans="1:8" x14ac:dyDescent="0.35">
      <c r="F1" s="640"/>
      <c r="H1" s="641"/>
    </row>
    <row r="2" spans="1:8" ht="20" x14ac:dyDescent="0.35">
      <c r="A2" s="531" t="s">
        <v>2145</v>
      </c>
      <c r="F2" s="642"/>
      <c r="H2" s="643"/>
    </row>
    <row r="3" spans="1:8" ht="18" thickBot="1" x14ac:dyDescent="0.4">
      <c r="A3" s="531"/>
    </row>
    <row r="4" spans="1:8" ht="16" thickBot="1" x14ac:dyDescent="0.4">
      <c r="A4" s="1055" t="s">
        <v>1737</v>
      </c>
      <c r="B4" s="1053">
        <v>2020</v>
      </c>
      <c r="C4" s="1057"/>
      <c r="D4" s="1053">
        <v>2021</v>
      </c>
      <c r="E4" s="1054"/>
      <c r="F4" s="1070">
        <v>2022</v>
      </c>
      <c r="G4" s="1071"/>
      <c r="H4" s="1072"/>
    </row>
    <row r="5" spans="1:8" ht="45.5" thickBot="1" x14ac:dyDescent="0.4">
      <c r="A5" s="1013"/>
      <c r="B5" s="644" t="s">
        <v>1950</v>
      </c>
      <c r="C5" s="645" t="s">
        <v>2146</v>
      </c>
      <c r="D5" s="644" t="s">
        <v>1950</v>
      </c>
      <c r="E5" s="645" t="s">
        <v>2146</v>
      </c>
      <c r="F5" s="646" t="s">
        <v>2147</v>
      </c>
      <c r="G5" s="647" t="s">
        <v>2148</v>
      </c>
      <c r="H5" s="648" t="s">
        <v>2146</v>
      </c>
    </row>
    <row r="6" spans="1:8" x14ac:dyDescent="0.35">
      <c r="A6" s="649" t="s">
        <v>1738</v>
      </c>
      <c r="B6" s="650">
        <f t="shared" ref="B6:E6" si="0">B9+B13+B21+B30+B38</f>
        <v>1279.5963616900003</v>
      </c>
      <c r="C6" s="651">
        <f t="shared" si="0"/>
        <v>0</v>
      </c>
      <c r="D6" s="650">
        <f t="shared" si="0"/>
        <v>2283.6463718799996</v>
      </c>
      <c r="E6" s="651">
        <f t="shared" si="0"/>
        <v>0</v>
      </c>
      <c r="F6" s="652">
        <f>F9+F13+F21+F30+F38</f>
        <v>1538.58380852</v>
      </c>
      <c r="G6" s="653">
        <f>G9+G13+G21+G30+G38</f>
        <v>522.9</v>
      </c>
      <c r="H6" s="654"/>
    </row>
    <row r="7" spans="1:8" x14ac:dyDescent="0.35">
      <c r="A7" s="655" t="s">
        <v>1739</v>
      </c>
      <c r="B7" s="656">
        <f>B6/B8*100</f>
        <v>4.343946639813967</v>
      </c>
      <c r="C7" s="656" t="e">
        <f t="shared" ref="C7" si="1">C6/C8*100</f>
        <v>#DIV/0!</v>
      </c>
      <c r="D7" s="656">
        <f>D6/D8*100</f>
        <v>6.9481436452368621</v>
      </c>
      <c r="E7" s="657"/>
      <c r="F7" s="658">
        <f>F6/F8*100</f>
        <v>4.0105930415243858</v>
      </c>
      <c r="G7" s="659">
        <f>G6/G8*100</f>
        <v>1.363032088209994</v>
      </c>
      <c r="H7" s="660"/>
    </row>
    <row r="8" spans="1:8" x14ac:dyDescent="0.35">
      <c r="A8" s="661" t="s">
        <v>2149</v>
      </c>
      <c r="B8" s="526">
        <v>29457</v>
      </c>
      <c r="C8" s="662"/>
      <c r="D8" s="526">
        <v>32867</v>
      </c>
      <c r="E8" s="663"/>
      <c r="F8" s="664">
        <v>38363</v>
      </c>
      <c r="G8" s="665">
        <v>38363</v>
      </c>
      <c r="H8" s="666"/>
    </row>
    <row r="9" spans="1:8" x14ac:dyDescent="0.35">
      <c r="A9" s="667" t="s">
        <v>49</v>
      </c>
      <c r="B9" s="668">
        <v>250.99299999999999</v>
      </c>
      <c r="C9" s="669"/>
      <c r="D9" s="668">
        <v>62.55</v>
      </c>
      <c r="E9" s="669"/>
      <c r="F9" s="668">
        <v>35.5</v>
      </c>
      <c r="G9" s="670">
        <v>1.5</v>
      </c>
      <c r="H9" s="671"/>
    </row>
    <row r="10" spans="1:8" ht="84" x14ac:dyDescent="0.35">
      <c r="A10" s="672" t="s">
        <v>1740</v>
      </c>
      <c r="B10" s="673">
        <v>161.99299999999999</v>
      </c>
      <c r="C10" s="674" t="s">
        <v>2150</v>
      </c>
      <c r="D10" s="673">
        <v>62.55</v>
      </c>
      <c r="E10" s="674" t="s">
        <v>2151</v>
      </c>
      <c r="F10" s="673">
        <v>0</v>
      </c>
      <c r="G10" s="675">
        <v>1.5</v>
      </c>
      <c r="H10" s="676" t="s">
        <v>2152</v>
      </c>
    </row>
    <row r="11" spans="1:8" x14ac:dyDescent="0.35">
      <c r="A11" s="672" t="s">
        <v>1741</v>
      </c>
      <c r="B11" s="673">
        <v>60</v>
      </c>
      <c r="C11" s="674"/>
      <c r="D11" s="673">
        <v>0</v>
      </c>
      <c r="E11" s="674"/>
      <c r="F11" s="673">
        <v>0</v>
      </c>
      <c r="G11" s="677">
        <v>0</v>
      </c>
      <c r="H11" s="666"/>
    </row>
    <row r="12" spans="1:8" x14ac:dyDescent="0.35">
      <c r="A12" s="672" t="s">
        <v>1742</v>
      </c>
      <c r="B12" s="673">
        <v>29</v>
      </c>
      <c r="C12" s="678"/>
      <c r="D12" s="673">
        <v>0</v>
      </c>
      <c r="E12" s="678"/>
      <c r="F12" s="673">
        <v>30</v>
      </c>
      <c r="G12" s="677">
        <v>0</v>
      </c>
      <c r="H12" s="666"/>
    </row>
    <row r="13" spans="1:8" x14ac:dyDescent="0.35">
      <c r="A13" s="679" t="s">
        <v>50</v>
      </c>
      <c r="B13" s="680">
        <v>129.58778200000003</v>
      </c>
      <c r="C13" s="681"/>
      <c r="D13" s="680">
        <v>533.45613600000001</v>
      </c>
      <c r="E13" s="681"/>
      <c r="F13" s="680">
        <v>107.3</v>
      </c>
      <c r="G13" s="682">
        <v>77.8</v>
      </c>
      <c r="H13" s="671"/>
    </row>
    <row r="14" spans="1:8" ht="70" x14ac:dyDescent="0.35">
      <c r="A14" s="661" t="s">
        <v>1743</v>
      </c>
      <c r="B14" s="673">
        <v>60.503</v>
      </c>
      <c r="C14" s="674" t="s">
        <v>2153</v>
      </c>
      <c r="D14" s="673">
        <v>135.88231999999999</v>
      </c>
      <c r="E14" s="674" t="s">
        <v>2154</v>
      </c>
      <c r="F14" s="673">
        <v>0</v>
      </c>
      <c r="G14" s="683">
        <v>0</v>
      </c>
      <c r="H14" s="666"/>
    </row>
    <row r="15" spans="1:8" ht="168" x14ac:dyDescent="0.35">
      <c r="A15" s="684" t="s">
        <v>1744</v>
      </c>
      <c r="B15" s="673">
        <v>47.3</v>
      </c>
      <c r="C15" s="685" t="s">
        <v>2155</v>
      </c>
      <c r="D15" s="673">
        <v>32.712878000000003</v>
      </c>
      <c r="E15" s="685" t="s">
        <v>2156</v>
      </c>
      <c r="F15" s="673">
        <v>57</v>
      </c>
      <c r="G15" s="675">
        <v>7</v>
      </c>
      <c r="H15" s="686" t="s">
        <v>2157</v>
      </c>
    </row>
    <row r="16" spans="1:8" ht="42" x14ac:dyDescent="0.35">
      <c r="A16" s="684" t="s">
        <v>1745</v>
      </c>
      <c r="B16" s="527">
        <v>5.1554669999999998</v>
      </c>
      <c r="C16" s="674" t="s">
        <v>2158</v>
      </c>
      <c r="D16" s="527">
        <v>10.821989</v>
      </c>
      <c r="E16" s="674" t="s">
        <v>2159</v>
      </c>
      <c r="F16" s="673">
        <v>0</v>
      </c>
      <c r="G16" s="687">
        <v>0</v>
      </c>
      <c r="H16" s="666"/>
    </row>
    <row r="17" spans="1:8" ht="42" x14ac:dyDescent="0.35">
      <c r="A17" s="684" t="s">
        <v>1746</v>
      </c>
      <c r="B17" s="527">
        <v>2.8330139999999999</v>
      </c>
      <c r="C17" s="674" t="s">
        <v>2160</v>
      </c>
      <c r="D17" s="527">
        <v>32.656832999999999</v>
      </c>
      <c r="E17" s="674" t="s">
        <v>2161</v>
      </c>
      <c r="F17" s="673">
        <v>13.317109000000002</v>
      </c>
      <c r="G17" s="688">
        <v>40.4</v>
      </c>
      <c r="H17" s="689" t="s">
        <v>2162</v>
      </c>
    </row>
    <row r="18" spans="1:8" ht="31" x14ac:dyDescent="0.35">
      <c r="A18" s="684" t="s">
        <v>2163</v>
      </c>
      <c r="B18" s="527">
        <v>0</v>
      </c>
      <c r="C18" s="674"/>
      <c r="D18" s="527">
        <v>15.038055999999999</v>
      </c>
      <c r="E18" s="674" t="s">
        <v>2164</v>
      </c>
      <c r="F18" s="673">
        <v>30.059118999999999</v>
      </c>
      <c r="G18" s="690">
        <v>23.751359999999998</v>
      </c>
      <c r="H18" s="691" t="s">
        <v>2165</v>
      </c>
    </row>
    <row r="19" spans="1:8" ht="31" x14ac:dyDescent="0.35">
      <c r="A19" s="684" t="s">
        <v>1747</v>
      </c>
      <c r="B19" s="527">
        <v>0</v>
      </c>
      <c r="C19" s="674"/>
      <c r="D19" s="527">
        <v>187.92102600000001</v>
      </c>
      <c r="E19" s="674" t="s">
        <v>2166</v>
      </c>
      <c r="F19" s="673">
        <v>0</v>
      </c>
      <c r="G19" s="688">
        <v>0.191</v>
      </c>
      <c r="H19" s="691" t="s">
        <v>2167</v>
      </c>
    </row>
    <row r="20" spans="1:8" ht="31" x14ac:dyDescent="0.35">
      <c r="A20" s="684" t="s">
        <v>1748</v>
      </c>
      <c r="B20" s="527">
        <v>0</v>
      </c>
      <c r="C20" s="674"/>
      <c r="D20" s="527">
        <v>110.007152</v>
      </c>
      <c r="E20" s="674" t="s">
        <v>2168</v>
      </c>
      <c r="F20" s="673">
        <v>0</v>
      </c>
      <c r="G20" s="688">
        <v>1.7000000000000001E-2</v>
      </c>
      <c r="H20" s="691" t="s">
        <v>2169</v>
      </c>
    </row>
    <row r="21" spans="1:8" x14ac:dyDescent="0.35">
      <c r="A21" s="679" t="s">
        <v>51</v>
      </c>
      <c r="B21" s="680">
        <v>239.96399569000002</v>
      </c>
      <c r="C21" s="681"/>
      <c r="D21" s="680">
        <v>133.31562346999999</v>
      </c>
      <c r="E21" s="681"/>
      <c r="F21" s="680">
        <v>199.76380852000003</v>
      </c>
      <c r="G21" s="682">
        <v>25.6</v>
      </c>
      <c r="H21" s="671"/>
    </row>
    <row r="22" spans="1:8" ht="42" x14ac:dyDescent="0.35">
      <c r="A22" s="661" t="s">
        <v>1749</v>
      </c>
      <c r="B22" s="673">
        <v>91.8</v>
      </c>
      <c r="C22" s="685" t="s">
        <v>2170</v>
      </c>
      <c r="D22" s="673">
        <v>14.8</v>
      </c>
      <c r="E22" s="685" t="s">
        <v>2171</v>
      </c>
      <c r="F22" s="673">
        <v>5</v>
      </c>
      <c r="G22" s="687">
        <v>0</v>
      </c>
      <c r="H22" s="666"/>
    </row>
    <row r="23" spans="1:8" ht="28" x14ac:dyDescent="0.35">
      <c r="A23" s="661" t="s">
        <v>1750</v>
      </c>
      <c r="B23" s="673">
        <v>3</v>
      </c>
      <c r="C23" s="685" t="s">
        <v>2172</v>
      </c>
      <c r="D23" s="673">
        <v>5.8999999999999997E-2</v>
      </c>
      <c r="E23" s="685" t="s">
        <v>2173</v>
      </c>
      <c r="F23" s="673">
        <v>0</v>
      </c>
      <c r="G23" s="687">
        <v>0</v>
      </c>
      <c r="H23" s="666"/>
    </row>
    <row r="24" spans="1:8" ht="56" x14ac:dyDescent="0.35">
      <c r="A24" s="672" t="s">
        <v>1751</v>
      </c>
      <c r="B24" s="673">
        <v>92.5</v>
      </c>
      <c r="C24" s="685" t="s">
        <v>2174</v>
      </c>
      <c r="D24" s="673">
        <v>13.3</v>
      </c>
      <c r="E24" s="685" t="s">
        <v>2175</v>
      </c>
      <c r="F24" s="673">
        <v>30</v>
      </c>
      <c r="G24" s="687">
        <v>1.7</v>
      </c>
      <c r="H24" s="691" t="s">
        <v>2176</v>
      </c>
    </row>
    <row r="25" spans="1:8" ht="31" x14ac:dyDescent="0.35">
      <c r="A25" s="672" t="s">
        <v>2177</v>
      </c>
      <c r="B25" s="673">
        <v>0</v>
      </c>
      <c r="C25" s="674" t="s">
        <v>2178</v>
      </c>
      <c r="D25" s="673">
        <v>0</v>
      </c>
      <c r="E25" s="674" t="s">
        <v>2179</v>
      </c>
      <c r="F25" s="673">
        <v>0</v>
      </c>
      <c r="G25" s="677"/>
      <c r="H25" s="666"/>
    </row>
    <row r="26" spans="1:8" ht="46.5" x14ac:dyDescent="0.35">
      <c r="A26" s="672" t="s">
        <v>2180</v>
      </c>
      <c r="B26" s="673">
        <v>0</v>
      </c>
      <c r="C26" s="674" t="s">
        <v>2178</v>
      </c>
      <c r="D26" s="673">
        <v>0</v>
      </c>
      <c r="E26" s="674" t="s">
        <v>2179</v>
      </c>
      <c r="F26" s="673">
        <v>0</v>
      </c>
      <c r="G26" s="677"/>
      <c r="H26" s="666"/>
    </row>
    <row r="27" spans="1:8" ht="42" x14ac:dyDescent="0.35">
      <c r="A27" s="672" t="s">
        <v>1752</v>
      </c>
      <c r="B27" s="673">
        <v>0</v>
      </c>
      <c r="C27" s="674" t="s">
        <v>2178</v>
      </c>
      <c r="D27" s="673">
        <v>16.088100000000001</v>
      </c>
      <c r="E27" s="674" t="s">
        <v>2181</v>
      </c>
      <c r="F27" s="673">
        <v>18.899999999999999</v>
      </c>
      <c r="G27" s="688">
        <v>1.1736</v>
      </c>
      <c r="H27" s="689" t="s">
        <v>2182</v>
      </c>
    </row>
    <row r="28" spans="1:8" ht="31" x14ac:dyDescent="0.35">
      <c r="A28" s="672" t="s">
        <v>1753</v>
      </c>
      <c r="B28" s="673">
        <v>0</v>
      </c>
      <c r="C28" s="674" t="s">
        <v>2178</v>
      </c>
      <c r="D28" s="673">
        <v>0</v>
      </c>
      <c r="E28" s="674"/>
      <c r="F28" s="673">
        <v>70</v>
      </c>
      <c r="G28" s="687">
        <v>0</v>
      </c>
      <c r="H28" s="666"/>
    </row>
    <row r="29" spans="1:8" ht="70" x14ac:dyDescent="0.35">
      <c r="A29" s="661" t="s">
        <v>1754</v>
      </c>
      <c r="B29" s="673">
        <v>50.124114689999999</v>
      </c>
      <c r="C29" s="685" t="s">
        <v>2183</v>
      </c>
      <c r="D29" s="673">
        <v>83.737523469999999</v>
      </c>
      <c r="E29" s="685" t="s">
        <v>2183</v>
      </c>
      <c r="F29" s="527">
        <v>62.861289520000007</v>
      </c>
      <c r="G29" s="688">
        <v>23.8</v>
      </c>
      <c r="H29" s="666"/>
    </row>
    <row r="30" spans="1:8" x14ac:dyDescent="0.35">
      <c r="A30" s="679" t="s">
        <v>52</v>
      </c>
      <c r="B30" s="680">
        <v>631.79394600000012</v>
      </c>
      <c r="C30" s="681"/>
      <c r="D30" s="680">
        <v>1497.1246124100001</v>
      </c>
      <c r="E30" s="681"/>
      <c r="F30" s="692">
        <v>959.5</v>
      </c>
      <c r="G30" s="682">
        <v>377.2</v>
      </c>
      <c r="H30" s="671"/>
    </row>
    <row r="31" spans="1:8" ht="42" x14ac:dyDescent="0.35">
      <c r="A31" s="661" t="s">
        <v>2184</v>
      </c>
      <c r="B31" s="673">
        <v>133.1</v>
      </c>
      <c r="C31" s="685" t="s">
        <v>2185</v>
      </c>
      <c r="D31" s="673">
        <v>578.44283900000016</v>
      </c>
      <c r="E31" s="685" t="s">
        <v>2186</v>
      </c>
      <c r="F31" s="673">
        <v>551.1</v>
      </c>
      <c r="G31" s="688">
        <v>214.2</v>
      </c>
      <c r="H31" s="666"/>
    </row>
    <row r="32" spans="1:8" ht="42" x14ac:dyDescent="0.35">
      <c r="A32" s="661" t="s">
        <v>1755</v>
      </c>
      <c r="B32" s="673">
        <v>408.41</v>
      </c>
      <c r="C32" s="685" t="s">
        <v>2185</v>
      </c>
      <c r="D32" s="673">
        <v>227.910798</v>
      </c>
      <c r="E32" s="685" t="s">
        <v>2187</v>
      </c>
      <c r="F32" s="673">
        <v>68.8</v>
      </c>
      <c r="G32" s="690">
        <v>45</v>
      </c>
      <c r="H32" s="666"/>
    </row>
    <row r="33" spans="1:25" ht="42" x14ac:dyDescent="0.35">
      <c r="A33" s="661" t="s">
        <v>1756</v>
      </c>
      <c r="B33" s="673">
        <v>0.02</v>
      </c>
      <c r="C33" s="674" t="s">
        <v>2188</v>
      </c>
      <c r="D33" s="673">
        <v>513.12829199999999</v>
      </c>
      <c r="E33" s="674" t="s">
        <v>2189</v>
      </c>
      <c r="F33" s="673">
        <v>160.035</v>
      </c>
      <c r="G33" s="688">
        <v>57.89</v>
      </c>
      <c r="H33" s="676" t="s">
        <v>2190</v>
      </c>
    </row>
    <row r="34" spans="1:25" ht="42" x14ac:dyDescent="0.35">
      <c r="A34" s="672" t="s">
        <v>1757</v>
      </c>
      <c r="B34" s="673">
        <v>37.54</v>
      </c>
      <c r="C34" s="685" t="s">
        <v>2185</v>
      </c>
      <c r="D34" s="673">
        <v>24.146602999999999</v>
      </c>
      <c r="E34" s="685"/>
      <c r="F34" s="527">
        <v>0.3</v>
      </c>
      <c r="G34" s="688">
        <v>0</v>
      </c>
      <c r="H34" s="666"/>
      <c r="J34" s="693"/>
      <c r="K34" s="693"/>
      <c r="L34" s="693"/>
      <c r="M34" s="693"/>
      <c r="N34" s="693"/>
      <c r="O34" s="693"/>
      <c r="P34" s="693"/>
      <c r="Q34" s="693"/>
      <c r="R34" s="693"/>
      <c r="S34" s="693"/>
      <c r="T34" s="693"/>
      <c r="U34" s="693"/>
      <c r="V34" s="693"/>
      <c r="W34" s="693"/>
      <c r="X34" s="693"/>
      <c r="Y34" s="693"/>
    </row>
    <row r="35" spans="1:25" ht="42" x14ac:dyDescent="0.35">
      <c r="A35" s="661" t="s">
        <v>1758</v>
      </c>
      <c r="B35" s="673">
        <v>21.1</v>
      </c>
      <c r="C35" s="685" t="s">
        <v>2185</v>
      </c>
      <c r="D35" s="673">
        <v>19.821274999999996</v>
      </c>
      <c r="E35" s="685"/>
      <c r="F35" s="527">
        <v>6.5</v>
      </c>
      <c r="G35" s="688">
        <v>4.8</v>
      </c>
      <c r="H35" s="666"/>
    </row>
    <row r="36" spans="1:25" ht="42" x14ac:dyDescent="0.35">
      <c r="A36" s="672" t="s">
        <v>1759</v>
      </c>
      <c r="B36" s="673">
        <v>22.1</v>
      </c>
      <c r="C36" s="685" t="s">
        <v>2185</v>
      </c>
      <c r="D36" s="673">
        <v>36.901719999999997</v>
      </c>
      <c r="E36" s="685" t="s">
        <v>2191</v>
      </c>
      <c r="F36" s="527">
        <v>16.114344999999997</v>
      </c>
      <c r="G36" s="688">
        <v>15.552</v>
      </c>
      <c r="H36" s="666"/>
    </row>
    <row r="37" spans="1:25" x14ac:dyDescent="0.35">
      <c r="A37" s="661" t="s">
        <v>1768</v>
      </c>
      <c r="B37" s="673">
        <v>0</v>
      </c>
      <c r="C37" s="685"/>
      <c r="D37" s="673">
        <v>52.425425999999995</v>
      </c>
      <c r="E37" s="685"/>
      <c r="F37" s="673">
        <v>94.9</v>
      </c>
      <c r="G37" s="688">
        <v>22.9</v>
      </c>
      <c r="H37" s="666"/>
    </row>
    <row r="38" spans="1:25" x14ac:dyDescent="0.35">
      <c r="A38" s="679" t="s">
        <v>241</v>
      </c>
      <c r="B38" s="694">
        <v>27.257638</v>
      </c>
      <c r="C38" s="681"/>
      <c r="D38" s="694">
        <v>57.2</v>
      </c>
      <c r="E38" s="681"/>
      <c r="F38" s="680">
        <v>236.52</v>
      </c>
      <c r="G38" s="682">
        <v>40.799999999999997</v>
      </c>
      <c r="H38" s="671"/>
    </row>
    <row r="39" spans="1:25" ht="140" x14ac:dyDescent="0.35">
      <c r="A39" s="661" t="s">
        <v>2192</v>
      </c>
      <c r="B39" s="673">
        <v>9.3000000000000007</v>
      </c>
      <c r="C39" s="685" t="s">
        <v>2193</v>
      </c>
      <c r="D39" s="673">
        <v>37</v>
      </c>
      <c r="E39" s="685" t="s">
        <v>2194</v>
      </c>
      <c r="F39" s="673">
        <v>201.02113599999998</v>
      </c>
      <c r="G39" s="687">
        <v>33</v>
      </c>
      <c r="H39" s="666"/>
    </row>
    <row r="40" spans="1:25" x14ac:dyDescent="0.35">
      <c r="A40" s="661" t="s">
        <v>213</v>
      </c>
      <c r="B40" s="673">
        <v>0.2</v>
      </c>
      <c r="C40" s="695"/>
      <c r="D40" s="673">
        <v>20.2</v>
      </c>
      <c r="E40" s="695" t="s">
        <v>2195</v>
      </c>
      <c r="F40" s="673">
        <v>35.498666</v>
      </c>
      <c r="G40" s="677">
        <v>7.8</v>
      </c>
      <c r="H40" s="666"/>
    </row>
    <row r="41" spans="1:25" ht="16" thickBot="1" x14ac:dyDescent="0.4">
      <c r="A41" s="696" t="s">
        <v>2196</v>
      </c>
      <c r="B41" s="697">
        <v>17.7</v>
      </c>
      <c r="C41" s="698"/>
      <c r="D41" s="697">
        <v>0</v>
      </c>
      <c r="E41" s="699" t="s">
        <v>2195</v>
      </c>
      <c r="F41" s="697">
        <v>0</v>
      </c>
      <c r="G41" s="700">
        <v>0</v>
      </c>
      <c r="H41" s="701"/>
    </row>
    <row r="42" spans="1:25" ht="16" x14ac:dyDescent="0.35">
      <c r="A42" s="538" t="s">
        <v>1769</v>
      </c>
    </row>
    <row r="43" spans="1:25" x14ac:dyDescent="0.35">
      <c r="A43" s="1073" t="s">
        <v>2197</v>
      </c>
      <c r="B43" s="1074"/>
      <c r="C43" s="1074"/>
      <c r="D43" s="1074"/>
      <c r="E43" s="1074"/>
      <c r="F43" s="1074"/>
    </row>
    <row r="44" spans="1:25" x14ac:dyDescent="0.35">
      <c r="A44" s="1069" t="s">
        <v>2198</v>
      </c>
      <c r="B44" s="1069"/>
      <c r="C44" s="1069"/>
      <c r="D44" s="1069"/>
      <c r="E44" s="1069"/>
      <c r="F44" s="1069"/>
      <c r="G44" s="1069"/>
      <c r="H44" s="1069"/>
    </row>
    <row r="45" spans="1:25" x14ac:dyDescent="0.35">
      <c r="A45" s="702"/>
    </row>
    <row r="46" spans="1:25" x14ac:dyDescent="0.35">
      <c r="D46" s="703"/>
    </row>
  </sheetData>
  <mergeCells count="6">
    <mergeCell ref="A44:H44"/>
    <mergeCell ref="A4:A5"/>
    <mergeCell ref="B4:C4"/>
    <mergeCell ref="D4:E4"/>
    <mergeCell ref="F4:H4"/>
    <mergeCell ref="A43:F43"/>
  </mergeCells>
  <pageMargins left="0.7" right="0.7" top="0.75" bottom="0.75" header="0.3" footer="0.3"/>
  <drawing r:id="rId1"/>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KOPĀ</vt:lpstr>
      <vt:lpstr>Covid-19</vt:lpstr>
      <vt:lpstr>Energo atbalsts</vt:lpstr>
      <vt:lpstr>Atbalsts Ukrainai</vt:lpstr>
      <vt:lpstr>TOTAL</vt:lpstr>
      <vt:lpstr>C-19_ENG</vt:lpstr>
      <vt:lpstr>Energo_ENG</vt:lpstr>
      <vt:lpstr>UKR_ENG</vt:lpstr>
      <vt:lpstr>C-19 ar saņēmējiem</vt:lpstr>
      <vt:lpstr>C-19_izvērsts</vt:lpstr>
      <vt:lpstr>Support measures</vt:lpstr>
      <vt:lpstr>'C-19_izvērsts'!Print_Area</vt:lpstr>
      <vt:lpstr>'Support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2024-01-30T13:07:41Z</dcterms:modified>
</cp:coreProperties>
</file>